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ink/ink1.xml" ContentType="application/inkml+xml"/>
  <Override PartName="/xl/ink/ink2.xml" ContentType="application/inkml+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hidePivotFieldList="1" checkCompatibility="1" autoCompressPictures="0"/>
  <mc:AlternateContent xmlns:mc="http://schemas.openxmlformats.org/markup-compatibility/2006">
    <mc:Choice Requires="x15">
      <x15ac:absPath xmlns:x15ac="http://schemas.microsoft.com/office/spreadsheetml/2010/11/ac" url="C:\Users\estuart\Desktop\ePB Desktop Beta\ePB 4-2-9 fixing templates\"/>
    </mc:Choice>
  </mc:AlternateContent>
  <xr:revisionPtr revIDLastSave="0" documentId="8_{7311C346-94CD-4FAC-8BE5-840ED3D8EF59}" xr6:coauthVersionLast="36" xr6:coauthVersionMax="36" xr10:uidLastSave="{00000000-0000-0000-0000-000000000000}"/>
  <workbookProtection workbookAlgorithmName="SHA-512" workbookHashValue="9NU+ylGgV9GVKxa8MJ5dMZhqBACSw4UCsq6eBaiyMTnSJqxg+bAUArFNYZuAgPn7LYdV4FBhpU1Zge1wd8N/aA==" workbookSaltValue="pLx0mvilnEll9ZUtVA8KtA==" workbookSpinCount="100000" lockStructure="1"/>
  <bookViews>
    <workbookView xWindow="160" yWindow="660" windowWidth="38080" windowHeight="19540" tabRatio="924" activeTab="1" xr2:uid="{00000000-000D-0000-FFFF-FFFF00000000}"/>
  </bookViews>
  <sheets>
    <sheet name="Template Guide" sheetId="24" r:id="rId1"/>
    <sheet name="Summary Schedule" sheetId="8" r:id="rId2"/>
    <sheet name="Annual Escalation Rates" sheetId="11" r:id="rId3"/>
    <sheet name="Sch1-Ann Cost Sav &amp; Pymts" sheetId="21" r:id="rId4"/>
    <sheet name="Sch1u-Ann Cost Sav &amp; Pymts" sheetId="23" r:id="rId5"/>
    <sheet name="Sch1ee-Ann Cost Sav &amp; Pymts" sheetId="28" r:id="rId6"/>
    <sheet name="Sch1esa-ESA Pymts" sheetId="29" r:id="rId7"/>
    <sheet name="Sch2a-Imp Price by ECM" sheetId="2" r:id="rId8"/>
    <sheet name="Sch2b-Project Imp Pricing" sheetId="19" r:id="rId9"/>
    <sheet name="Sch3-Perf Period Cash Flow" sheetId="3" r:id="rId10"/>
    <sheet name="Sch4-Cost Savings by ECM" sheetId="4" r:id="rId11"/>
    <sheet name="Sch4g-GHG" sheetId="30" r:id="rId12"/>
    <sheet name="Sch5-Cancellation Ceilings" sheetId="5" r:id="rId13"/>
    <sheet name="GHG Emissions" sheetId="31" state="hidden" r:id="rId14"/>
    <sheet name="eGRID subregion name" sheetId="32" state="hidden" r:id="rId15"/>
    <sheet name="Itemized Costs-HIDDEN" sheetId="12" state="hidden" r:id="rId16"/>
    <sheet name="ECM" sheetId="13" state="hidden" r:id="rId17"/>
    <sheet name="Amortization-HIDDEN" sheetId="33" state="hidden" r:id="rId18"/>
    <sheet name="Amortization-HIDDEN-Q" sheetId="34" state="hidden" r:id="rId19"/>
    <sheet name="Amortization-HIDDEN-B" sheetId="35" state="hidden" r:id="rId20"/>
    <sheet name="Amortization-HIDDEN-M" sheetId="36" state="hidden" r:id="rId21"/>
    <sheet name="Scratch Sheet-1" sheetId="14" r:id="rId22"/>
    <sheet name="Scratch Sheet-2" sheetId="15" r:id="rId23"/>
    <sheet name="Scratch Sheet-3" sheetId="16" r:id="rId24"/>
    <sheet name="Scratch Sheet-4" sheetId="17" r:id="rId25"/>
    <sheet name="Scratch Sheet-5" sheetId="18" r:id="rId26"/>
  </sheets>
  <definedNames>
    <definedName name="Area_to_Sort" localSheetId="15">#REF!</definedName>
    <definedName name="ECM" localSheetId="25">ECM!#REF!</definedName>
    <definedName name="ECM">ECM!$A$3:$A$22</definedName>
    <definedName name="MnV">ECM!$D$2:$D$5</definedName>
    <definedName name="PA">ECM!$D$6:$D$9</definedName>
    <definedName name="Total_Payment" localSheetId="15">Scheduled_Payment+Extra_Payment</definedName>
  </definedNames>
  <calcPr calcId="191029"/>
  <extLst>
    <ext xmlns:mx="http://schemas.microsoft.com/office/mac/excel/2008/main" uri="{7523E5D3-25F3-A5E0-1632-64F254C22452}">
      <mx:ArchID Flags="2"/>
    </ext>
  </extLst>
</workbook>
</file>

<file path=xl/calcChain.xml><?xml version="1.0" encoding="utf-8"?>
<calcChain xmlns="http://schemas.openxmlformats.org/spreadsheetml/2006/main">
  <c r="D10" i="36" l="1"/>
  <c r="D10" i="35"/>
  <c r="D10" i="34"/>
  <c r="D10" i="33"/>
  <c r="B2" i="33"/>
  <c r="B2" i="34" s="1"/>
  <c r="B2" i="35" s="1"/>
  <c r="B2" i="36" s="1"/>
  <c r="A2" i="33"/>
  <c r="A2" i="34" s="1"/>
  <c r="A2" i="35" s="1"/>
  <c r="A2" i="36" s="1"/>
  <c r="Q18" i="36"/>
  <c r="R18" i="36" s="1"/>
  <c r="A18" i="36"/>
  <c r="A19" i="36" s="1"/>
  <c r="A20" i="36" s="1"/>
  <c r="A21" i="36" s="1"/>
  <c r="A22" i="36" s="1"/>
  <c r="A23" i="36" s="1"/>
  <c r="A24" i="36" s="1"/>
  <c r="A25" i="36" s="1"/>
  <c r="A26" i="36" s="1"/>
  <c r="A27" i="36" s="1"/>
  <c r="A28" i="36" s="1"/>
  <c r="A29" i="36" s="1"/>
  <c r="A30" i="36" s="1"/>
  <c r="A31" i="36" s="1"/>
  <c r="A32" i="36" s="1"/>
  <c r="A33" i="36" s="1"/>
  <c r="A34" i="36" s="1"/>
  <c r="A35" i="36" s="1"/>
  <c r="A36" i="36" s="1"/>
  <c r="A37" i="36" s="1"/>
  <c r="A38" i="36" s="1"/>
  <c r="A39" i="36" s="1"/>
  <c r="A40" i="36" s="1"/>
  <c r="A41" i="36" s="1"/>
  <c r="A42" i="36" s="1"/>
  <c r="A43" i="36" s="1"/>
  <c r="A44" i="36" s="1"/>
  <c r="A45" i="36" s="1"/>
  <c r="A46" i="36" s="1"/>
  <c r="A47" i="36" s="1"/>
  <c r="A48" i="36" s="1"/>
  <c r="A49" i="36" s="1"/>
  <c r="A50" i="36" s="1"/>
  <c r="A51" i="36" s="1"/>
  <c r="A52" i="36" s="1"/>
  <c r="A53" i="36" s="1"/>
  <c r="A54" i="36" s="1"/>
  <c r="A55" i="36" s="1"/>
  <c r="A56" i="36" s="1"/>
  <c r="A57" i="36" s="1"/>
  <c r="A58" i="36" s="1"/>
  <c r="A59" i="36" s="1"/>
  <c r="A60" i="36" s="1"/>
  <c r="A61" i="36" s="1"/>
  <c r="A62" i="36" s="1"/>
  <c r="A63" i="36" s="1"/>
  <c r="A64" i="36" s="1"/>
  <c r="A65" i="36" s="1"/>
  <c r="A66" i="36" s="1"/>
  <c r="A67" i="36" s="1"/>
  <c r="A68" i="36" s="1"/>
  <c r="A69" i="36" s="1"/>
  <c r="A70" i="36" s="1"/>
  <c r="A71" i="36" s="1"/>
  <c r="A72" i="36" s="1"/>
  <c r="A73" i="36" s="1"/>
  <c r="A74" i="36" s="1"/>
  <c r="A75" i="36" s="1"/>
  <c r="A76" i="36" s="1"/>
  <c r="A77" i="36" s="1"/>
  <c r="A78" i="36" s="1"/>
  <c r="A79" i="36" s="1"/>
  <c r="A80" i="36" s="1"/>
  <c r="A81" i="36" s="1"/>
  <c r="A82" i="36" s="1"/>
  <c r="A83" i="36" s="1"/>
  <c r="A84" i="36" s="1"/>
  <c r="A85" i="36" s="1"/>
  <c r="A86" i="36" s="1"/>
  <c r="A87" i="36" s="1"/>
  <c r="A88" i="36" s="1"/>
  <c r="A89" i="36" s="1"/>
  <c r="A90" i="36" s="1"/>
  <c r="A91" i="36" s="1"/>
  <c r="A92" i="36" s="1"/>
  <c r="A93" i="36" s="1"/>
  <c r="A94" i="36" s="1"/>
  <c r="A95" i="36" s="1"/>
  <c r="A96" i="36" s="1"/>
  <c r="A97" i="36" s="1"/>
  <c r="A98" i="36" s="1"/>
  <c r="A99" i="36" s="1"/>
  <c r="A100" i="36" s="1"/>
  <c r="A101" i="36" s="1"/>
  <c r="A102" i="36" s="1"/>
  <c r="A103" i="36" s="1"/>
  <c r="A104" i="36" s="1"/>
  <c r="A105" i="36" s="1"/>
  <c r="A106" i="36" s="1"/>
  <c r="A107" i="36" s="1"/>
  <c r="A108" i="36" s="1"/>
  <c r="A109" i="36" s="1"/>
  <c r="A110" i="36" s="1"/>
  <c r="A111" i="36" s="1"/>
  <c r="A112" i="36" s="1"/>
  <c r="A113" i="36" s="1"/>
  <c r="A114" i="36" s="1"/>
  <c r="A115" i="36" s="1"/>
  <c r="A116" i="36" s="1"/>
  <c r="A117" i="36" s="1"/>
  <c r="A118" i="36" s="1"/>
  <c r="A119" i="36" s="1"/>
  <c r="A120" i="36" s="1"/>
  <c r="A121" i="36" s="1"/>
  <c r="A122" i="36" s="1"/>
  <c r="A123" i="36" s="1"/>
  <c r="A124" i="36" s="1"/>
  <c r="A125" i="36" s="1"/>
  <c r="A126" i="36" s="1"/>
  <c r="A127" i="36" s="1"/>
  <c r="A128" i="36" s="1"/>
  <c r="A129" i="36" s="1"/>
  <c r="A130" i="36" s="1"/>
  <c r="A131" i="36" s="1"/>
  <c r="A132" i="36" s="1"/>
  <c r="A133" i="36" s="1"/>
  <c r="A134" i="36" s="1"/>
  <c r="A135" i="36" s="1"/>
  <c r="A136" i="36" s="1"/>
  <c r="A137" i="36" s="1"/>
  <c r="A138" i="36" s="1"/>
  <c r="A139" i="36" s="1"/>
  <c r="A140" i="36" s="1"/>
  <c r="A141" i="36" s="1"/>
  <c r="A142" i="36" s="1"/>
  <c r="A143" i="36" s="1"/>
  <c r="A144" i="36" s="1"/>
  <c r="A145" i="36" s="1"/>
  <c r="A146" i="36" s="1"/>
  <c r="A147" i="36" s="1"/>
  <c r="A148" i="36" s="1"/>
  <c r="A149" i="36" s="1"/>
  <c r="A150" i="36" s="1"/>
  <c r="A151" i="36" s="1"/>
  <c r="A152" i="36" s="1"/>
  <c r="A153" i="36" s="1"/>
  <c r="A154" i="36" s="1"/>
  <c r="A155" i="36" s="1"/>
  <c r="A156" i="36" s="1"/>
  <c r="A157" i="36" s="1"/>
  <c r="A158" i="36" s="1"/>
  <c r="A159" i="36" s="1"/>
  <c r="A160" i="36" s="1"/>
  <c r="A161" i="36" s="1"/>
  <c r="A162" i="36" s="1"/>
  <c r="A163" i="36" s="1"/>
  <c r="A164" i="36" s="1"/>
  <c r="A165" i="36" s="1"/>
  <c r="A166" i="36" s="1"/>
  <c r="A167" i="36" s="1"/>
  <c r="A168" i="36" s="1"/>
  <c r="A169" i="36" s="1"/>
  <c r="A170" i="36" s="1"/>
  <c r="A171" i="36" s="1"/>
  <c r="A172" i="36" s="1"/>
  <c r="A173" i="36" s="1"/>
  <c r="A174" i="36" s="1"/>
  <c r="A175" i="36" s="1"/>
  <c r="A176" i="36" s="1"/>
  <c r="A177" i="36" s="1"/>
  <c r="A178" i="36" s="1"/>
  <c r="A179" i="36" s="1"/>
  <c r="A180" i="36" s="1"/>
  <c r="A181" i="36" s="1"/>
  <c r="A182" i="36" s="1"/>
  <c r="A183" i="36" s="1"/>
  <c r="A184" i="36" s="1"/>
  <c r="A185" i="36" s="1"/>
  <c r="A186" i="36" s="1"/>
  <c r="A187" i="36" s="1"/>
  <c r="A188" i="36" s="1"/>
  <c r="A189" i="36" s="1"/>
  <c r="A190" i="36" s="1"/>
  <c r="A191" i="36" s="1"/>
  <c r="A192" i="36" s="1"/>
  <c r="A193" i="36" s="1"/>
  <c r="A194" i="36" s="1"/>
  <c r="A195" i="36" s="1"/>
  <c r="A196" i="36" s="1"/>
  <c r="A197" i="36" s="1"/>
  <c r="A198" i="36" s="1"/>
  <c r="A199" i="36" s="1"/>
  <c r="A200" i="36" s="1"/>
  <c r="A201" i="36" s="1"/>
  <c r="A202" i="36" s="1"/>
  <c r="A203" i="36" s="1"/>
  <c r="A204" i="36" s="1"/>
  <c r="A205" i="36" s="1"/>
  <c r="A206" i="36" s="1"/>
  <c r="A207" i="36" s="1"/>
  <c r="A208" i="36" s="1"/>
  <c r="A209" i="36" s="1"/>
  <c r="A210" i="36" s="1"/>
  <c r="A211" i="36" s="1"/>
  <c r="A212" i="36" s="1"/>
  <c r="A213" i="36" s="1"/>
  <c r="A214" i="36" s="1"/>
  <c r="A215" i="36" s="1"/>
  <c r="A216" i="36" s="1"/>
  <c r="A217" i="36" s="1"/>
  <c r="A218" i="36" s="1"/>
  <c r="A219" i="36" s="1"/>
  <c r="A220" i="36" s="1"/>
  <c r="A221" i="36" s="1"/>
  <c r="A222" i="36" s="1"/>
  <c r="A223" i="36" s="1"/>
  <c r="A224" i="36" s="1"/>
  <c r="A225" i="36" s="1"/>
  <c r="A226" i="36" s="1"/>
  <c r="A227" i="36" s="1"/>
  <c r="A228" i="36" s="1"/>
  <c r="A229" i="36" s="1"/>
  <c r="A230" i="36" s="1"/>
  <c r="A231" i="36" s="1"/>
  <c r="A232" i="36" s="1"/>
  <c r="A233" i="36" s="1"/>
  <c r="A234" i="36" s="1"/>
  <c r="A235" i="36" s="1"/>
  <c r="A236" i="36" s="1"/>
  <c r="A237" i="36" s="1"/>
  <c r="A238" i="36" s="1"/>
  <c r="A239" i="36" s="1"/>
  <c r="A240" i="36" s="1"/>
  <c r="A241" i="36" s="1"/>
  <c r="A242" i="36" s="1"/>
  <c r="A243" i="36" s="1"/>
  <c r="A244" i="36" s="1"/>
  <c r="A245" i="36" s="1"/>
  <c r="A246" i="36" s="1"/>
  <c r="A247" i="36" s="1"/>
  <c r="A248" i="36" s="1"/>
  <c r="A249" i="36" s="1"/>
  <c r="A250" i="36" s="1"/>
  <c r="A251" i="36" s="1"/>
  <c r="A252" i="36" s="1"/>
  <c r="A253" i="36" s="1"/>
  <c r="A254" i="36" s="1"/>
  <c r="A255" i="36" s="1"/>
  <c r="A256" i="36" s="1"/>
  <c r="A257" i="36" s="1"/>
  <c r="A258" i="36" s="1"/>
  <c r="A259" i="36" s="1"/>
  <c r="A260" i="36" s="1"/>
  <c r="A261" i="36" s="1"/>
  <c r="A262" i="36" s="1"/>
  <c r="A263" i="36" s="1"/>
  <c r="A264" i="36" s="1"/>
  <c r="A265" i="36" s="1"/>
  <c r="A266" i="36" s="1"/>
  <c r="A267" i="36" s="1"/>
  <c r="A268" i="36" s="1"/>
  <c r="A269" i="36" s="1"/>
  <c r="A270" i="36" s="1"/>
  <c r="A271" i="36" s="1"/>
  <c r="A272" i="36" s="1"/>
  <c r="A273" i="36" s="1"/>
  <c r="A274" i="36" s="1"/>
  <c r="A275" i="36" s="1"/>
  <c r="A276" i="36" s="1"/>
  <c r="A277" i="36" s="1"/>
  <c r="A278" i="36" s="1"/>
  <c r="A279" i="36" s="1"/>
  <c r="A280" i="36" s="1"/>
  <c r="A281" i="36" s="1"/>
  <c r="A282" i="36" s="1"/>
  <c r="A283" i="36" s="1"/>
  <c r="A284" i="36" s="1"/>
  <c r="A285" i="36" s="1"/>
  <c r="A286" i="36" s="1"/>
  <c r="A287" i="36" s="1"/>
  <c r="A288" i="36" s="1"/>
  <c r="A289" i="36" s="1"/>
  <c r="A290" i="36" s="1"/>
  <c r="A291" i="36" s="1"/>
  <c r="A292" i="36" s="1"/>
  <c r="A293" i="36" s="1"/>
  <c r="A294" i="36" s="1"/>
  <c r="A295" i="36" s="1"/>
  <c r="A296" i="36" s="1"/>
  <c r="A297" i="36" s="1"/>
  <c r="A298" i="36" s="1"/>
  <c r="A299" i="36" s="1"/>
  <c r="A300" i="36" s="1"/>
  <c r="A301" i="36" s="1"/>
  <c r="A302" i="36" s="1"/>
  <c r="A303" i="36" s="1"/>
  <c r="A304" i="36" s="1"/>
  <c r="A305" i="36" s="1"/>
  <c r="A306" i="36" s="1"/>
  <c r="A307" i="36" s="1"/>
  <c r="A308" i="36" s="1"/>
  <c r="A309" i="36" s="1"/>
  <c r="A310" i="36" s="1"/>
  <c r="A311" i="36" s="1"/>
  <c r="A312" i="36" s="1"/>
  <c r="A313" i="36" s="1"/>
  <c r="A314" i="36" s="1"/>
  <c r="A315" i="36" s="1"/>
  <c r="A316" i="36" s="1"/>
  <c r="A317" i="36" s="1"/>
  <c r="A318" i="36" s="1"/>
  <c r="A319" i="36" s="1"/>
  <c r="A320" i="36" s="1"/>
  <c r="A321" i="36" s="1"/>
  <c r="A322" i="36" s="1"/>
  <c r="A323" i="36" s="1"/>
  <c r="A324" i="36" s="1"/>
  <c r="A325" i="36" s="1"/>
  <c r="A326" i="36" s="1"/>
  <c r="A327" i="36" s="1"/>
  <c r="A328" i="36" s="1"/>
  <c r="A329" i="36" s="1"/>
  <c r="A330" i="36" s="1"/>
  <c r="A331" i="36" s="1"/>
  <c r="A332" i="36" s="1"/>
  <c r="A333" i="36" s="1"/>
  <c r="A334" i="36" s="1"/>
  <c r="A335" i="36" s="1"/>
  <c r="A336" i="36" s="1"/>
  <c r="A337" i="36" s="1"/>
  <c r="A338" i="36" s="1"/>
  <c r="A339" i="36" s="1"/>
  <c r="A340" i="36" s="1"/>
  <c r="A341" i="36" s="1"/>
  <c r="A342" i="36" s="1"/>
  <c r="A343" i="36" s="1"/>
  <c r="A344" i="36" s="1"/>
  <c r="A345" i="36" s="1"/>
  <c r="A346" i="36" s="1"/>
  <c r="A347" i="36" s="1"/>
  <c r="A348" i="36" s="1"/>
  <c r="A349" i="36" s="1"/>
  <c r="A350" i="36" s="1"/>
  <c r="A351" i="36" s="1"/>
  <c r="A352" i="36" s="1"/>
  <c r="A353" i="36" s="1"/>
  <c r="A354" i="36" s="1"/>
  <c r="A355" i="36" s="1"/>
  <c r="A356" i="36" s="1"/>
  <c r="A357" i="36" s="1"/>
  <c r="A358" i="36" s="1"/>
  <c r="A359" i="36" s="1"/>
  <c r="A360" i="36" s="1"/>
  <c r="A361" i="36" s="1"/>
  <c r="A362" i="36" s="1"/>
  <c r="A363" i="36" s="1"/>
  <c r="A364" i="36" s="1"/>
  <c r="A365" i="36" s="1"/>
  <c r="A366" i="36" s="1"/>
  <c r="A367" i="36" s="1"/>
  <c r="A368" i="36" s="1"/>
  <c r="A369" i="36" s="1"/>
  <c r="A370" i="36" s="1"/>
  <c r="A371" i="36" s="1"/>
  <c r="A372" i="36" s="1"/>
  <c r="A373" i="36" s="1"/>
  <c r="A374" i="36" s="1"/>
  <c r="A375" i="36" s="1"/>
  <c r="A376" i="36" s="1"/>
  <c r="A377" i="36" s="1"/>
  <c r="A378" i="36" s="1"/>
  <c r="A379" i="36" s="1"/>
  <c r="A380" i="36" s="1"/>
  <c r="A381" i="36" s="1"/>
  <c r="A382" i="36" s="1"/>
  <c r="A383" i="36" s="1"/>
  <c r="A384" i="36" s="1"/>
  <c r="A385" i="36" s="1"/>
  <c r="A386" i="36" s="1"/>
  <c r="A387" i="36" s="1"/>
  <c r="A388" i="36" s="1"/>
  <c r="A389" i="36" s="1"/>
  <c r="A390" i="36" s="1"/>
  <c r="A391" i="36" s="1"/>
  <c r="A392" i="36" s="1"/>
  <c r="A393" i="36" s="1"/>
  <c r="A394" i="36" s="1"/>
  <c r="A395" i="36" s="1"/>
  <c r="A396" i="36" s="1"/>
  <c r="A397" i="36" s="1"/>
  <c r="A398" i="36" s="1"/>
  <c r="A399" i="36" s="1"/>
  <c r="A400" i="36" s="1"/>
  <c r="A401" i="36" s="1"/>
  <c r="A402" i="36" s="1"/>
  <c r="A403" i="36" s="1"/>
  <c r="A404" i="36" s="1"/>
  <c r="A405" i="36" s="1"/>
  <c r="A406" i="36" s="1"/>
  <c r="A407" i="36" s="1"/>
  <c r="A408" i="36" s="1"/>
  <c r="A409" i="36" s="1"/>
  <c r="A410" i="36" s="1"/>
  <c r="A411" i="36" s="1"/>
  <c r="A412" i="36" s="1"/>
  <c r="A413" i="36" s="1"/>
  <c r="A414" i="36" s="1"/>
  <c r="A415" i="36" s="1"/>
  <c r="A416" i="36" s="1"/>
  <c r="A417" i="36" s="1"/>
  <c r="A418" i="36" s="1"/>
  <c r="A419" i="36" s="1"/>
  <c r="A420" i="36" s="1"/>
  <c r="A421" i="36" s="1"/>
  <c r="A422" i="36" s="1"/>
  <c r="A423" i="36" s="1"/>
  <c r="A424" i="36" s="1"/>
  <c r="A425" i="36" s="1"/>
  <c r="A426" i="36" s="1"/>
  <c r="A427" i="36" s="1"/>
  <c r="A428" i="36" s="1"/>
  <c r="A429" i="36" s="1"/>
  <c r="A430" i="36" s="1"/>
  <c r="A431" i="36" s="1"/>
  <c r="A432" i="36" s="1"/>
  <c r="A433" i="36" s="1"/>
  <c r="A434" i="36" s="1"/>
  <c r="A435" i="36" s="1"/>
  <c r="A436" i="36" s="1"/>
  <c r="A437" i="36" s="1"/>
  <c r="A438" i="36" s="1"/>
  <c r="A439" i="36" s="1"/>
  <c r="A440" i="36" s="1"/>
  <c r="A441" i="36" s="1"/>
  <c r="A442" i="36" s="1"/>
  <c r="A443" i="36" s="1"/>
  <c r="A444" i="36" s="1"/>
  <c r="A445" i="36" s="1"/>
  <c r="A446" i="36" s="1"/>
  <c r="A447" i="36" s="1"/>
  <c r="A448" i="36" s="1"/>
  <c r="A449" i="36" s="1"/>
  <c r="A450" i="36" s="1"/>
  <c r="A451" i="36" s="1"/>
  <c r="A452" i="36" s="1"/>
  <c r="A453" i="36" s="1"/>
  <c r="A454" i="36" s="1"/>
  <c r="A455" i="36" s="1"/>
  <c r="A456" i="36" s="1"/>
  <c r="A457" i="36" s="1"/>
  <c r="A458" i="36" s="1"/>
  <c r="A459" i="36" s="1"/>
  <c r="A460" i="36" s="1"/>
  <c r="A461" i="36" s="1"/>
  <c r="A462" i="36" s="1"/>
  <c r="A463" i="36" s="1"/>
  <c r="A464" i="36" s="1"/>
  <c r="A465" i="36" s="1"/>
  <c r="A466" i="36" s="1"/>
  <c r="A467" i="36" s="1"/>
  <c r="A468" i="36" s="1"/>
  <c r="A469" i="36" s="1"/>
  <c r="A470" i="36" s="1"/>
  <c r="A471" i="36" s="1"/>
  <c r="A472" i="36" s="1"/>
  <c r="A473" i="36" s="1"/>
  <c r="A474" i="36" s="1"/>
  <c r="A475" i="36" s="1"/>
  <c r="A476" i="36" s="1"/>
  <c r="A477" i="36" s="1"/>
  <c r="A478" i="36" s="1"/>
  <c r="A479" i="36" s="1"/>
  <c r="A480" i="36" s="1"/>
  <c r="A481" i="36" s="1"/>
  <c r="A482" i="36" s="1"/>
  <c r="A483" i="36" s="1"/>
  <c r="A484" i="36" s="1"/>
  <c r="A485" i="36" s="1"/>
  <c r="A486" i="36" s="1"/>
  <c r="A487" i="36" s="1"/>
  <c r="A488" i="36" s="1"/>
  <c r="A489" i="36" s="1"/>
  <c r="A490" i="36" s="1"/>
  <c r="A491" i="36" s="1"/>
  <c r="A492" i="36" s="1"/>
  <c r="A493" i="36" s="1"/>
  <c r="A494" i="36" s="1"/>
  <c r="A495" i="36" s="1"/>
  <c r="A496" i="36" s="1"/>
  <c r="A497" i="36" s="1"/>
  <c r="U17" i="36"/>
  <c r="S17" i="36"/>
  <c r="R17" i="36"/>
  <c r="O16" i="36"/>
  <c r="N16" i="36"/>
  <c r="A23" i="35"/>
  <c r="A24" i="35" s="1"/>
  <c r="A25" i="35" s="1"/>
  <c r="A26" i="35" s="1"/>
  <c r="A27" i="35" s="1"/>
  <c r="A28" i="35" s="1"/>
  <c r="A29" i="35" s="1"/>
  <c r="A30" i="35" s="1"/>
  <c r="A31" i="35" s="1"/>
  <c r="A32" i="35" s="1"/>
  <c r="A33" i="35" s="1"/>
  <c r="A34" i="35" s="1"/>
  <c r="A35" i="35" s="1"/>
  <c r="A36" i="35" s="1"/>
  <c r="A37" i="35" s="1"/>
  <c r="A38" i="35" s="1"/>
  <c r="A39" i="35" s="1"/>
  <c r="A40" i="35" s="1"/>
  <c r="A41" i="35" s="1"/>
  <c r="A42" i="35" s="1"/>
  <c r="A43" i="35" s="1"/>
  <c r="A44" i="35" s="1"/>
  <c r="A45" i="35" s="1"/>
  <c r="A46" i="35" s="1"/>
  <c r="A47" i="35" s="1"/>
  <c r="A48" i="35" s="1"/>
  <c r="A49" i="35" s="1"/>
  <c r="A50" i="35" s="1"/>
  <c r="A51" i="35" s="1"/>
  <c r="A52" i="35" s="1"/>
  <c r="A53" i="35" s="1"/>
  <c r="A54" i="35" s="1"/>
  <c r="A55" i="35" s="1"/>
  <c r="A56" i="35" s="1"/>
  <c r="A57" i="35" s="1"/>
  <c r="A58" i="35" s="1"/>
  <c r="A59" i="35" s="1"/>
  <c r="A60" i="35" s="1"/>
  <c r="A61" i="35" s="1"/>
  <c r="A62" i="35" s="1"/>
  <c r="A63" i="35" s="1"/>
  <c r="A64" i="35" s="1"/>
  <c r="A65" i="35" s="1"/>
  <c r="A66" i="35" s="1"/>
  <c r="A67" i="35" s="1"/>
  <c r="A68" i="35" s="1"/>
  <c r="A69" i="35" s="1"/>
  <c r="A70" i="35" s="1"/>
  <c r="A71" i="35" s="1"/>
  <c r="A72" i="35" s="1"/>
  <c r="A73" i="35" s="1"/>
  <c r="A74" i="35" s="1"/>
  <c r="A75" i="35" s="1"/>
  <c r="A76" i="35" s="1"/>
  <c r="A77" i="35" s="1"/>
  <c r="A78" i="35" s="1"/>
  <c r="A79" i="35" s="1"/>
  <c r="A80" i="35" s="1"/>
  <c r="A81" i="35" s="1"/>
  <c r="A82" i="35" s="1"/>
  <c r="A83" i="35" s="1"/>
  <c r="A84" i="35" s="1"/>
  <c r="A85" i="35" s="1"/>
  <c r="A86" i="35" s="1"/>
  <c r="A87" i="35" s="1"/>
  <c r="A88" i="35" s="1"/>
  <c r="A89" i="35" s="1"/>
  <c r="A90" i="35" s="1"/>
  <c r="A91" i="35" s="1"/>
  <c r="A92" i="35" s="1"/>
  <c r="A93" i="35" s="1"/>
  <c r="A94" i="35" s="1"/>
  <c r="A95" i="35" s="1"/>
  <c r="A96" i="35" s="1"/>
  <c r="A97" i="35" s="1"/>
  <c r="A98" i="35" s="1"/>
  <c r="A99" i="35" s="1"/>
  <c r="A100" i="35" s="1"/>
  <c r="A101" i="35" s="1"/>
  <c r="A102" i="35" s="1"/>
  <c r="A103" i="35" s="1"/>
  <c r="A104" i="35" s="1"/>
  <c r="A105" i="35" s="1"/>
  <c r="A106" i="35" s="1"/>
  <c r="A107" i="35" s="1"/>
  <c r="A108" i="35" s="1"/>
  <c r="A109" i="35" s="1"/>
  <c r="A110" i="35" s="1"/>
  <c r="A111" i="35" s="1"/>
  <c r="A112" i="35" s="1"/>
  <c r="A113" i="35" s="1"/>
  <c r="A114" i="35" s="1"/>
  <c r="A115" i="35" s="1"/>
  <c r="A116" i="35" s="1"/>
  <c r="A117" i="35" s="1"/>
  <c r="A118" i="35" s="1"/>
  <c r="A119" i="35" s="1"/>
  <c r="A120" i="35" s="1"/>
  <c r="A121" i="35" s="1"/>
  <c r="A122" i="35" s="1"/>
  <c r="A123" i="35" s="1"/>
  <c r="A124" i="35" s="1"/>
  <c r="A125" i="35" s="1"/>
  <c r="A126" i="35" s="1"/>
  <c r="A127" i="35" s="1"/>
  <c r="A128" i="35" s="1"/>
  <c r="A129" i="35" s="1"/>
  <c r="A130" i="35" s="1"/>
  <c r="A131" i="35" s="1"/>
  <c r="A132" i="35" s="1"/>
  <c r="A133" i="35" s="1"/>
  <c r="A134" i="35" s="1"/>
  <c r="A135" i="35" s="1"/>
  <c r="A136" i="35" s="1"/>
  <c r="A137" i="35" s="1"/>
  <c r="A138" i="35" s="1"/>
  <c r="A139" i="35" s="1"/>
  <c r="A140" i="35" s="1"/>
  <c r="A141" i="35" s="1"/>
  <c r="A142" i="35" s="1"/>
  <c r="A143" i="35" s="1"/>
  <c r="A144" i="35" s="1"/>
  <c r="A145" i="35" s="1"/>
  <c r="A146" i="35" s="1"/>
  <c r="A147" i="35" s="1"/>
  <c r="A148" i="35" s="1"/>
  <c r="A149" i="35" s="1"/>
  <c r="A150" i="35" s="1"/>
  <c r="A151" i="35" s="1"/>
  <c r="A152" i="35" s="1"/>
  <c r="A153" i="35" s="1"/>
  <c r="A154" i="35" s="1"/>
  <c r="A155" i="35" s="1"/>
  <c r="A156" i="35" s="1"/>
  <c r="A157" i="35" s="1"/>
  <c r="A158" i="35" s="1"/>
  <c r="A159" i="35" s="1"/>
  <c r="A160" i="35" s="1"/>
  <c r="A161" i="35" s="1"/>
  <c r="A162" i="35" s="1"/>
  <c r="A163" i="35" s="1"/>
  <c r="A164" i="35" s="1"/>
  <c r="A165" i="35" s="1"/>
  <c r="A166" i="35" s="1"/>
  <c r="A167" i="35" s="1"/>
  <c r="A168" i="35" s="1"/>
  <c r="A169" i="35" s="1"/>
  <c r="A170" i="35" s="1"/>
  <c r="A171" i="35" s="1"/>
  <c r="A172" i="35" s="1"/>
  <c r="A173" i="35" s="1"/>
  <c r="A174" i="35" s="1"/>
  <c r="A175" i="35" s="1"/>
  <c r="A176" i="35" s="1"/>
  <c r="A177" i="35" s="1"/>
  <c r="A178" i="35" s="1"/>
  <c r="A179" i="35" s="1"/>
  <c r="A180" i="35" s="1"/>
  <c r="A181" i="35" s="1"/>
  <c r="A182" i="35" s="1"/>
  <c r="A183" i="35" s="1"/>
  <c r="A184" i="35" s="1"/>
  <c r="A185" i="35" s="1"/>
  <c r="A186" i="35" s="1"/>
  <c r="A187" i="35" s="1"/>
  <c r="A188" i="35" s="1"/>
  <c r="A189" i="35" s="1"/>
  <c r="A190" i="35" s="1"/>
  <c r="A191" i="35" s="1"/>
  <c r="A192" i="35" s="1"/>
  <c r="A193" i="35" s="1"/>
  <c r="A194" i="35" s="1"/>
  <c r="A195" i="35" s="1"/>
  <c r="A196" i="35" s="1"/>
  <c r="A197" i="35" s="1"/>
  <c r="A198" i="35" s="1"/>
  <c r="A199" i="35" s="1"/>
  <c r="A200" i="35" s="1"/>
  <c r="A201" i="35" s="1"/>
  <c r="A202" i="35" s="1"/>
  <c r="A203" i="35" s="1"/>
  <c r="A204" i="35" s="1"/>
  <c r="A205" i="35" s="1"/>
  <c r="A206" i="35" s="1"/>
  <c r="A207" i="35" s="1"/>
  <c r="A208" i="35" s="1"/>
  <c r="A209" i="35" s="1"/>
  <c r="A210" i="35" s="1"/>
  <c r="A211" i="35" s="1"/>
  <c r="A212" i="35" s="1"/>
  <c r="A213" i="35" s="1"/>
  <c r="A214" i="35" s="1"/>
  <c r="A215" i="35" s="1"/>
  <c r="A216" i="35" s="1"/>
  <c r="A217" i="35" s="1"/>
  <c r="A218" i="35" s="1"/>
  <c r="A219" i="35" s="1"/>
  <c r="A220" i="35" s="1"/>
  <c r="A221" i="35" s="1"/>
  <c r="A222" i="35" s="1"/>
  <c r="A223" i="35" s="1"/>
  <c r="A224" i="35" s="1"/>
  <c r="A225" i="35" s="1"/>
  <c r="A226" i="35" s="1"/>
  <c r="A227" i="35" s="1"/>
  <c r="A228" i="35" s="1"/>
  <c r="A229" i="35" s="1"/>
  <c r="A230" i="35" s="1"/>
  <c r="A231" i="35" s="1"/>
  <c r="A232" i="35" s="1"/>
  <c r="A233" i="35" s="1"/>
  <c r="A234" i="35" s="1"/>
  <c r="A235" i="35" s="1"/>
  <c r="A236" i="35" s="1"/>
  <c r="A237" i="35" s="1"/>
  <c r="A238" i="35" s="1"/>
  <c r="A239" i="35" s="1"/>
  <c r="A240" i="35" s="1"/>
  <c r="A241" i="35" s="1"/>
  <c r="A242" i="35" s="1"/>
  <c r="A243" i="35" s="1"/>
  <c r="A244" i="35" s="1"/>
  <c r="A245" i="35" s="1"/>
  <c r="A246" i="35" s="1"/>
  <c r="A247" i="35" s="1"/>
  <c r="A248" i="35" s="1"/>
  <c r="A249" i="35" s="1"/>
  <c r="A250" i="35" s="1"/>
  <c r="A251" i="35" s="1"/>
  <c r="A252" i="35" s="1"/>
  <c r="A253" i="35" s="1"/>
  <c r="A254" i="35" s="1"/>
  <c r="A255" i="35" s="1"/>
  <c r="A256" i="35" s="1"/>
  <c r="A257" i="35" s="1"/>
  <c r="A258" i="35" s="1"/>
  <c r="A259" i="35" s="1"/>
  <c r="A260" i="35" s="1"/>
  <c r="A261" i="35" s="1"/>
  <c r="A262" i="35" s="1"/>
  <c r="A263" i="35" s="1"/>
  <c r="A264" i="35" s="1"/>
  <c r="A265" i="35" s="1"/>
  <c r="A266" i="35" s="1"/>
  <c r="A267" i="35" s="1"/>
  <c r="A268" i="35" s="1"/>
  <c r="A269" i="35" s="1"/>
  <c r="A270" i="35" s="1"/>
  <c r="A271" i="35" s="1"/>
  <c r="A272" i="35" s="1"/>
  <c r="A273" i="35" s="1"/>
  <c r="A274" i="35" s="1"/>
  <c r="A275" i="35" s="1"/>
  <c r="A276" i="35" s="1"/>
  <c r="A277" i="35" s="1"/>
  <c r="A278" i="35" s="1"/>
  <c r="A279" i="35" s="1"/>
  <c r="A280" i="35" s="1"/>
  <c r="A281" i="35" s="1"/>
  <c r="A282" i="35" s="1"/>
  <c r="A283" i="35" s="1"/>
  <c r="A284" i="35" s="1"/>
  <c r="A285" i="35" s="1"/>
  <c r="A286" i="35" s="1"/>
  <c r="A287" i="35" s="1"/>
  <c r="A288" i="35" s="1"/>
  <c r="A289" i="35" s="1"/>
  <c r="A290" i="35" s="1"/>
  <c r="A291" i="35" s="1"/>
  <c r="A292" i="35" s="1"/>
  <c r="A293" i="35" s="1"/>
  <c r="A294" i="35" s="1"/>
  <c r="A295" i="35" s="1"/>
  <c r="A296" i="35" s="1"/>
  <c r="A297" i="35" s="1"/>
  <c r="A298" i="35" s="1"/>
  <c r="A299" i="35" s="1"/>
  <c r="A300" i="35" s="1"/>
  <c r="A301" i="35" s="1"/>
  <c r="A302" i="35" s="1"/>
  <c r="A303" i="35" s="1"/>
  <c r="A304" i="35" s="1"/>
  <c r="A305" i="35" s="1"/>
  <c r="A306" i="35" s="1"/>
  <c r="A307" i="35" s="1"/>
  <c r="A308" i="35" s="1"/>
  <c r="A309" i="35" s="1"/>
  <c r="A310" i="35" s="1"/>
  <c r="A311" i="35" s="1"/>
  <c r="A312" i="35" s="1"/>
  <c r="A313" i="35" s="1"/>
  <c r="A314" i="35" s="1"/>
  <c r="A315" i="35" s="1"/>
  <c r="A316" i="35" s="1"/>
  <c r="A317" i="35" s="1"/>
  <c r="A318" i="35" s="1"/>
  <c r="A319" i="35" s="1"/>
  <c r="A320" i="35" s="1"/>
  <c r="A321" i="35" s="1"/>
  <c r="A322" i="35" s="1"/>
  <c r="A323" i="35" s="1"/>
  <c r="A324" i="35" s="1"/>
  <c r="A325" i="35" s="1"/>
  <c r="A326" i="35" s="1"/>
  <c r="A327" i="35" s="1"/>
  <c r="A328" i="35" s="1"/>
  <c r="A329" i="35" s="1"/>
  <c r="A330" i="35" s="1"/>
  <c r="A331" i="35" s="1"/>
  <c r="A332" i="35" s="1"/>
  <c r="A333" i="35" s="1"/>
  <c r="A334" i="35" s="1"/>
  <c r="A335" i="35" s="1"/>
  <c r="A336" i="35" s="1"/>
  <c r="A337" i="35" s="1"/>
  <c r="A338" i="35" s="1"/>
  <c r="A339" i="35" s="1"/>
  <c r="A340" i="35" s="1"/>
  <c r="A341" i="35" s="1"/>
  <c r="A342" i="35" s="1"/>
  <c r="A343" i="35" s="1"/>
  <c r="A344" i="35" s="1"/>
  <c r="A345" i="35" s="1"/>
  <c r="A346" i="35" s="1"/>
  <c r="A347" i="35" s="1"/>
  <c r="A348" i="35" s="1"/>
  <c r="A349" i="35" s="1"/>
  <c r="A350" i="35" s="1"/>
  <c r="A351" i="35" s="1"/>
  <c r="A352" i="35" s="1"/>
  <c r="A353" i="35" s="1"/>
  <c r="A354" i="35" s="1"/>
  <c r="A355" i="35" s="1"/>
  <c r="A356" i="35" s="1"/>
  <c r="A357" i="35" s="1"/>
  <c r="A358" i="35" s="1"/>
  <c r="A359" i="35" s="1"/>
  <c r="A360" i="35" s="1"/>
  <c r="A361" i="35" s="1"/>
  <c r="A362" i="35" s="1"/>
  <c r="A363" i="35" s="1"/>
  <c r="A364" i="35" s="1"/>
  <c r="A365" i="35" s="1"/>
  <c r="A366" i="35" s="1"/>
  <c r="A367" i="35" s="1"/>
  <c r="A368" i="35" s="1"/>
  <c r="A369" i="35" s="1"/>
  <c r="A370" i="35" s="1"/>
  <c r="A371" i="35" s="1"/>
  <c r="A372" i="35" s="1"/>
  <c r="A373" i="35" s="1"/>
  <c r="A374" i="35" s="1"/>
  <c r="A375" i="35" s="1"/>
  <c r="A376" i="35" s="1"/>
  <c r="A377" i="35" s="1"/>
  <c r="A378" i="35" s="1"/>
  <c r="A379" i="35" s="1"/>
  <c r="A380" i="35" s="1"/>
  <c r="A381" i="35" s="1"/>
  <c r="A382" i="35" s="1"/>
  <c r="A383" i="35" s="1"/>
  <c r="A384" i="35" s="1"/>
  <c r="A385" i="35" s="1"/>
  <c r="A386" i="35" s="1"/>
  <c r="A387" i="35" s="1"/>
  <c r="A388" i="35" s="1"/>
  <c r="A389" i="35" s="1"/>
  <c r="A390" i="35" s="1"/>
  <c r="A391" i="35" s="1"/>
  <c r="A392" i="35" s="1"/>
  <c r="A393" i="35" s="1"/>
  <c r="A394" i="35" s="1"/>
  <c r="A395" i="35" s="1"/>
  <c r="A396" i="35" s="1"/>
  <c r="A397" i="35" s="1"/>
  <c r="A398" i="35" s="1"/>
  <c r="A399" i="35" s="1"/>
  <c r="A400" i="35" s="1"/>
  <c r="A401" i="35" s="1"/>
  <c r="A402" i="35" s="1"/>
  <c r="A403" i="35" s="1"/>
  <c r="A404" i="35" s="1"/>
  <c r="A405" i="35" s="1"/>
  <c r="A406" i="35" s="1"/>
  <c r="A407" i="35" s="1"/>
  <c r="A408" i="35" s="1"/>
  <c r="A409" i="35" s="1"/>
  <c r="A410" i="35" s="1"/>
  <c r="A411" i="35" s="1"/>
  <c r="A412" i="35" s="1"/>
  <c r="A413" i="35" s="1"/>
  <c r="A414" i="35" s="1"/>
  <c r="A415" i="35" s="1"/>
  <c r="A416" i="35" s="1"/>
  <c r="A417" i="35" s="1"/>
  <c r="A418" i="35" s="1"/>
  <c r="A419" i="35" s="1"/>
  <c r="A420" i="35" s="1"/>
  <c r="A421" i="35" s="1"/>
  <c r="A422" i="35" s="1"/>
  <c r="A423" i="35" s="1"/>
  <c r="A424" i="35" s="1"/>
  <c r="A425" i="35" s="1"/>
  <c r="A426" i="35" s="1"/>
  <c r="A427" i="35" s="1"/>
  <c r="A428" i="35" s="1"/>
  <c r="A429" i="35" s="1"/>
  <c r="A430" i="35" s="1"/>
  <c r="A431" i="35" s="1"/>
  <c r="A432" i="35" s="1"/>
  <c r="A433" i="35" s="1"/>
  <c r="A434" i="35" s="1"/>
  <c r="A435" i="35" s="1"/>
  <c r="A436" i="35" s="1"/>
  <c r="A437" i="35" s="1"/>
  <c r="A438" i="35" s="1"/>
  <c r="A439" i="35" s="1"/>
  <c r="A440" i="35" s="1"/>
  <c r="A441" i="35" s="1"/>
  <c r="A442" i="35" s="1"/>
  <c r="A443" i="35" s="1"/>
  <c r="A444" i="35" s="1"/>
  <c r="A445" i="35" s="1"/>
  <c r="A446" i="35" s="1"/>
  <c r="A447" i="35" s="1"/>
  <c r="A448" i="35" s="1"/>
  <c r="A449" i="35" s="1"/>
  <c r="A450" i="35" s="1"/>
  <c r="A451" i="35" s="1"/>
  <c r="A452" i="35" s="1"/>
  <c r="A453" i="35" s="1"/>
  <c r="A454" i="35" s="1"/>
  <c r="A455" i="35" s="1"/>
  <c r="A456" i="35" s="1"/>
  <c r="A457" i="35" s="1"/>
  <c r="A458" i="35" s="1"/>
  <c r="A459" i="35" s="1"/>
  <c r="A460" i="35" s="1"/>
  <c r="A461" i="35" s="1"/>
  <c r="A462" i="35" s="1"/>
  <c r="A463" i="35" s="1"/>
  <c r="A464" i="35" s="1"/>
  <c r="A465" i="35" s="1"/>
  <c r="A466" i="35" s="1"/>
  <c r="A467" i="35" s="1"/>
  <c r="A468" i="35" s="1"/>
  <c r="A469" i="35" s="1"/>
  <c r="A470" i="35" s="1"/>
  <c r="A471" i="35" s="1"/>
  <c r="A472" i="35" s="1"/>
  <c r="A473" i="35" s="1"/>
  <c r="A474" i="35" s="1"/>
  <c r="A475" i="35" s="1"/>
  <c r="A476" i="35" s="1"/>
  <c r="A477" i="35" s="1"/>
  <c r="A478" i="35" s="1"/>
  <c r="A479" i="35" s="1"/>
  <c r="A480" i="35" s="1"/>
  <c r="A481" i="35" s="1"/>
  <c r="A482" i="35" s="1"/>
  <c r="A483" i="35" s="1"/>
  <c r="A484" i="35" s="1"/>
  <c r="A485" i="35" s="1"/>
  <c r="A486" i="35" s="1"/>
  <c r="A487" i="35" s="1"/>
  <c r="A488" i="35" s="1"/>
  <c r="A489" i="35" s="1"/>
  <c r="A490" i="35" s="1"/>
  <c r="A491" i="35" s="1"/>
  <c r="A492" i="35" s="1"/>
  <c r="A493" i="35" s="1"/>
  <c r="A494" i="35" s="1"/>
  <c r="A495" i="35" s="1"/>
  <c r="A496" i="35" s="1"/>
  <c r="A497" i="35" s="1"/>
  <c r="A22" i="35"/>
  <c r="A20" i="35"/>
  <c r="A21" i="35" s="1"/>
  <c r="A19" i="35"/>
  <c r="Q18" i="35"/>
  <c r="U18" i="35" s="1"/>
  <c r="A18" i="35"/>
  <c r="U17" i="35"/>
  <c r="S17" i="35"/>
  <c r="R17" i="35"/>
  <c r="V17" i="35" s="1"/>
  <c r="O16" i="35"/>
  <c r="N16" i="35"/>
  <c r="A26" i="34"/>
  <c r="A27" i="34" s="1"/>
  <c r="A28" i="34" s="1"/>
  <c r="A29" i="34" s="1"/>
  <c r="A30" i="34" s="1"/>
  <c r="A31" i="34" s="1"/>
  <c r="A32" i="34" s="1"/>
  <c r="A33" i="34" s="1"/>
  <c r="A34" i="34" s="1"/>
  <c r="A35" i="34" s="1"/>
  <c r="A36" i="34" s="1"/>
  <c r="A37" i="34" s="1"/>
  <c r="A38" i="34" s="1"/>
  <c r="A39" i="34" s="1"/>
  <c r="A40" i="34" s="1"/>
  <c r="A41" i="34" s="1"/>
  <c r="A42" i="34" s="1"/>
  <c r="A43" i="34" s="1"/>
  <c r="A44" i="34" s="1"/>
  <c r="A45" i="34" s="1"/>
  <c r="A46" i="34" s="1"/>
  <c r="A47" i="34" s="1"/>
  <c r="A48" i="34" s="1"/>
  <c r="A49" i="34" s="1"/>
  <c r="A50" i="34" s="1"/>
  <c r="A51" i="34" s="1"/>
  <c r="A52" i="34" s="1"/>
  <c r="A53" i="34" s="1"/>
  <c r="A54" i="34" s="1"/>
  <c r="A55" i="34" s="1"/>
  <c r="A56" i="34" s="1"/>
  <c r="A57" i="34" s="1"/>
  <c r="A58" i="34" s="1"/>
  <c r="A59" i="34" s="1"/>
  <c r="A60" i="34" s="1"/>
  <c r="A61" i="34" s="1"/>
  <c r="A62" i="34" s="1"/>
  <c r="A63" i="34" s="1"/>
  <c r="A64" i="34" s="1"/>
  <c r="A65" i="34" s="1"/>
  <c r="A66" i="34" s="1"/>
  <c r="A67" i="34" s="1"/>
  <c r="A68" i="34" s="1"/>
  <c r="A69" i="34" s="1"/>
  <c r="A70" i="34" s="1"/>
  <c r="A71" i="34" s="1"/>
  <c r="A72" i="34" s="1"/>
  <c r="A73" i="34" s="1"/>
  <c r="A74" i="34" s="1"/>
  <c r="A75" i="34" s="1"/>
  <c r="A76" i="34" s="1"/>
  <c r="A77" i="34" s="1"/>
  <c r="A78" i="34" s="1"/>
  <c r="A79" i="34" s="1"/>
  <c r="A80" i="34" s="1"/>
  <c r="A81" i="34" s="1"/>
  <c r="A82" i="34" s="1"/>
  <c r="A83" i="34" s="1"/>
  <c r="A84" i="34" s="1"/>
  <c r="A85" i="34" s="1"/>
  <c r="A86" i="34" s="1"/>
  <c r="A87" i="34" s="1"/>
  <c r="A88" i="34" s="1"/>
  <c r="A89" i="34" s="1"/>
  <c r="A90" i="34" s="1"/>
  <c r="A91" i="34" s="1"/>
  <c r="A92" i="34" s="1"/>
  <c r="A93" i="34" s="1"/>
  <c r="A94" i="34" s="1"/>
  <c r="A95" i="34" s="1"/>
  <c r="A96" i="34" s="1"/>
  <c r="A97" i="34" s="1"/>
  <c r="A98" i="34" s="1"/>
  <c r="A99" i="34" s="1"/>
  <c r="A100" i="34" s="1"/>
  <c r="A101" i="34" s="1"/>
  <c r="A102" i="34" s="1"/>
  <c r="A103" i="34" s="1"/>
  <c r="A104" i="34" s="1"/>
  <c r="A105" i="34" s="1"/>
  <c r="A106" i="34" s="1"/>
  <c r="A107" i="34" s="1"/>
  <c r="A108" i="34" s="1"/>
  <c r="A109" i="34" s="1"/>
  <c r="A110" i="34" s="1"/>
  <c r="A111" i="34" s="1"/>
  <c r="A112" i="34" s="1"/>
  <c r="A113" i="34" s="1"/>
  <c r="A114" i="34" s="1"/>
  <c r="A115" i="34" s="1"/>
  <c r="A116" i="34" s="1"/>
  <c r="A117" i="34" s="1"/>
  <c r="A118" i="34" s="1"/>
  <c r="A119" i="34" s="1"/>
  <c r="A120" i="34" s="1"/>
  <c r="A121" i="34" s="1"/>
  <c r="A122" i="34" s="1"/>
  <c r="A123" i="34" s="1"/>
  <c r="A124" i="34" s="1"/>
  <c r="A125" i="34" s="1"/>
  <c r="A126" i="34" s="1"/>
  <c r="A127" i="34" s="1"/>
  <c r="A128" i="34" s="1"/>
  <c r="A129" i="34" s="1"/>
  <c r="A130" i="34" s="1"/>
  <c r="A131" i="34" s="1"/>
  <c r="A132" i="34" s="1"/>
  <c r="A133" i="34" s="1"/>
  <c r="A134" i="34" s="1"/>
  <c r="A135" i="34" s="1"/>
  <c r="A136" i="34" s="1"/>
  <c r="A137" i="34" s="1"/>
  <c r="A138" i="34" s="1"/>
  <c r="A139" i="34" s="1"/>
  <c r="A140" i="34" s="1"/>
  <c r="A141" i="34" s="1"/>
  <c r="A142" i="34" s="1"/>
  <c r="A143" i="34" s="1"/>
  <c r="A144" i="34" s="1"/>
  <c r="A145" i="34" s="1"/>
  <c r="A146" i="34" s="1"/>
  <c r="A147" i="34" s="1"/>
  <c r="A148" i="34" s="1"/>
  <c r="A149" i="34" s="1"/>
  <c r="A150" i="34" s="1"/>
  <c r="A151" i="34" s="1"/>
  <c r="A152" i="34" s="1"/>
  <c r="A153" i="34" s="1"/>
  <c r="A154" i="34" s="1"/>
  <c r="A155" i="34" s="1"/>
  <c r="A156" i="34" s="1"/>
  <c r="A157" i="34" s="1"/>
  <c r="A158" i="34" s="1"/>
  <c r="A159" i="34" s="1"/>
  <c r="A160" i="34" s="1"/>
  <c r="A161" i="34" s="1"/>
  <c r="A162" i="34" s="1"/>
  <c r="A163" i="34" s="1"/>
  <c r="A164" i="34" s="1"/>
  <c r="A165" i="34" s="1"/>
  <c r="A166" i="34" s="1"/>
  <c r="A167" i="34" s="1"/>
  <c r="A168" i="34" s="1"/>
  <c r="A169" i="34" s="1"/>
  <c r="A170" i="34" s="1"/>
  <c r="A171" i="34" s="1"/>
  <c r="A172" i="34" s="1"/>
  <c r="A173" i="34" s="1"/>
  <c r="A174" i="34" s="1"/>
  <c r="A175" i="34" s="1"/>
  <c r="A176" i="34" s="1"/>
  <c r="A177" i="34" s="1"/>
  <c r="A178" i="34" s="1"/>
  <c r="A179" i="34" s="1"/>
  <c r="A180" i="34" s="1"/>
  <c r="A181" i="34" s="1"/>
  <c r="A182" i="34" s="1"/>
  <c r="A183" i="34" s="1"/>
  <c r="A184" i="34" s="1"/>
  <c r="A185" i="34" s="1"/>
  <c r="A186" i="34" s="1"/>
  <c r="A187" i="34" s="1"/>
  <c r="A188" i="34" s="1"/>
  <c r="A189" i="34" s="1"/>
  <c r="A190" i="34" s="1"/>
  <c r="A191" i="34" s="1"/>
  <c r="A192" i="34" s="1"/>
  <c r="A193" i="34" s="1"/>
  <c r="A194" i="34" s="1"/>
  <c r="A195" i="34" s="1"/>
  <c r="A196" i="34" s="1"/>
  <c r="A197" i="34" s="1"/>
  <c r="A198" i="34" s="1"/>
  <c r="A199" i="34" s="1"/>
  <c r="A200" i="34" s="1"/>
  <c r="A201" i="34" s="1"/>
  <c r="A202" i="34" s="1"/>
  <c r="A203" i="34" s="1"/>
  <c r="A204" i="34" s="1"/>
  <c r="A205" i="34" s="1"/>
  <c r="A206" i="34" s="1"/>
  <c r="A207" i="34" s="1"/>
  <c r="A208" i="34" s="1"/>
  <c r="A209" i="34" s="1"/>
  <c r="A210" i="34" s="1"/>
  <c r="A211" i="34" s="1"/>
  <c r="A212" i="34" s="1"/>
  <c r="A213" i="34" s="1"/>
  <c r="A214" i="34" s="1"/>
  <c r="A215" i="34" s="1"/>
  <c r="A216" i="34" s="1"/>
  <c r="A217" i="34" s="1"/>
  <c r="A218" i="34" s="1"/>
  <c r="A219" i="34" s="1"/>
  <c r="A220" i="34" s="1"/>
  <c r="A221" i="34" s="1"/>
  <c r="A222" i="34" s="1"/>
  <c r="A223" i="34" s="1"/>
  <c r="A224" i="34" s="1"/>
  <c r="A225" i="34" s="1"/>
  <c r="A226" i="34" s="1"/>
  <c r="A227" i="34" s="1"/>
  <c r="A228" i="34" s="1"/>
  <c r="A229" i="34" s="1"/>
  <c r="A230" i="34" s="1"/>
  <c r="A231" i="34" s="1"/>
  <c r="A232" i="34" s="1"/>
  <c r="A233" i="34" s="1"/>
  <c r="A234" i="34" s="1"/>
  <c r="A235" i="34" s="1"/>
  <c r="A236" i="34" s="1"/>
  <c r="A237" i="34" s="1"/>
  <c r="A238" i="34" s="1"/>
  <c r="A239" i="34" s="1"/>
  <c r="A240" i="34" s="1"/>
  <c r="A241" i="34" s="1"/>
  <c r="A242" i="34" s="1"/>
  <c r="A243" i="34" s="1"/>
  <c r="A244" i="34" s="1"/>
  <c r="A245" i="34" s="1"/>
  <c r="A246" i="34" s="1"/>
  <c r="A247" i="34" s="1"/>
  <c r="A248" i="34" s="1"/>
  <c r="A249" i="34" s="1"/>
  <c r="A250" i="34" s="1"/>
  <c r="A251" i="34" s="1"/>
  <c r="A252" i="34" s="1"/>
  <c r="A253" i="34" s="1"/>
  <c r="A254" i="34" s="1"/>
  <c r="A255" i="34" s="1"/>
  <c r="A256" i="34" s="1"/>
  <c r="A257" i="34" s="1"/>
  <c r="A258" i="34" s="1"/>
  <c r="A259" i="34" s="1"/>
  <c r="A260" i="34" s="1"/>
  <c r="A261" i="34" s="1"/>
  <c r="A262" i="34" s="1"/>
  <c r="A263" i="34" s="1"/>
  <c r="A264" i="34" s="1"/>
  <c r="A265" i="34" s="1"/>
  <c r="A266" i="34" s="1"/>
  <c r="A267" i="34" s="1"/>
  <c r="A268" i="34" s="1"/>
  <c r="A269" i="34" s="1"/>
  <c r="A270" i="34" s="1"/>
  <c r="A271" i="34" s="1"/>
  <c r="A272" i="34" s="1"/>
  <c r="A273" i="34" s="1"/>
  <c r="A274" i="34" s="1"/>
  <c r="A275" i="34" s="1"/>
  <c r="A276" i="34" s="1"/>
  <c r="A277" i="34" s="1"/>
  <c r="A278" i="34" s="1"/>
  <c r="A279" i="34" s="1"/>
  <c r="A280" i="34" s="1"/>
  <c r="A281" i="34" s="1"/>
  <c r="A282" i="34" s="1"/>
  <c r="A283" i="34" s="1"/>
  <c r="A284" i="34" s="1"/>
  <c r="A285" i="34" s="1"/>
  <c r="A286" i="34" s="1"/>
  <c r="A287" i="34" s="1"/>
  <c r="A288" i="34" s="1"/>
  <c r="A289" i="34" s="1"/>
  <c r="A290" i="34" s="1"/>
  <c r="A291" i="34" s="1"/>
  <c r="A292" i="34" s="1"/>
  <c r="A293" i="34" s="1"/>
  <c r="A294" i="34" s="1"/>
  <c r="A295" i="34" s="1"/>
  <c r="A296" i="34" s="1"/>
  <c r="A297" i="34" s="1"/>
  <c r="A298" i="34" s="1"/>
  <c r="A299" i="34" s="1"/>
  <c r="A300" i="34" s="1"/>
  <c r="A301" i="34" s="1"/>
  <c r="A302" i="34" s="1"/>
  <c r="A303" i="34" s="1"/>
  <c r="A304" i="34" s="1"/>
  <c r="A305" i="34" s="1"/>
  <c r="A306" i="34" s="1"/>
  <c r="A307" i="34" s="1"/>
  <c r="A308" i="34" s="1"/>
  <c r="A309" i="34" s="1"/>
  <c r="A310" i="34" s="1"/>
  <c r="A311" i="34" s="1"/>
  <c r="A312" i="34" s="1"/>
  <c r="A313" i="34" s="1"/>
  <c r="A314" i="34" s="1"/>
  <c r="A315" i="34" s="1"/>
  <c r="A316" i="34" s="1"/>
  <c r="A317" i="34" s="1"/>
  <c r="A318" i="34" s="1"/>
  <c r="A319" i="34" s="1"/>
  <c r="A320" i="34" s="1"/>
  <c r="A321" i="34" s="1"/>
  <c r="A322" i="34" s="1"/>
  <c r="A323" i="34" s="1"/>
  <c r="A324" i="34" s="1"/>
  <c r="A325" i="34" s="1"/>
  <c r="A326" i="34" s="1"/>
  <c r="A327" i="34" s="1"/>
  <c r="A328" i="34" s="1"/>
  <c r="A329" i="34" s="1"/>
  <c r="A330" i="34" s="1"/>
  <c r="A331" i="34" s="1"/>
  <c r="A332" i="34" s="1"/>
  <c r="A333" i="34" s="1"/>
  <c r="A334" i="34" s="1"/>
  <c r="A335" i="34" s="1"/>
  <c r="A336" i="34" s="1"/>
  <c r="A337" i="34" s="1"/>
  <c r="A338" i="34" s="1"/>
  <c r="A339" i="34" s="1"/>
  <c r="A340" i="34" s="1"/>
  <c r="A341" i="34" s="1"/>
  <c r="A342" i="34" s="1"/>
  <c r="A343" i="34" s="1"/>
  <c r="A344" i="34" s="1"/>
  <c r="A345" i="34" s="1"/>
  <c r="A346" i="34" s="1"/>
  <c r="A347" i="34" s="1"/>
  <c r="A348" i="34" s="1"/>
  <c r="A349" i="34" s="1"/>
  <c r="A350" i="34" s="1"/>
  <c r="A351" i="34" s="1"/>
  <c r="A352" i="34" s="1"/>
  <c r="A353" i="34" s="1"/>
  <c r="A354" i="34" s="1"/>
  <c r="A355" i="34" s="1"/>
  <c r="A356" i="34" s="1"/>
  <c r="A357" i="34" s="1"/>
  <c r="A358" i="34" s="1"/>
  <c r="A359" i="34" s="1"/>
  <c r="A360" i="34" s="1"/>
  <c r="A361" i="34" s="1"/>
  <c r="A362" i="34" s="1"/>
  <c r="A363" i="34" s="1"/>
  <c r="A364" i="34" s="1"/>
  <c r="A365" i="34" s="1"/>
  <c r="A366" i="34" s="1"/>
  <c r="A367" i="34" s="1"/>
  <c r="A368" i="34" s="1"/>
  <c r="A369" i="34" s="1"/>
  <c r="A370" i="34" s="1"/>
  <c r="A371" i="34" s="1"/>
  <c r="A372" i="34" s="1"/>
  <c r="A373" i="34" s="1"/>
  <c r="A374" i="34" s="1"/>
  <c r="A375" i="34" s="1"/>
  <c r="A376" i="34" s="1"/>
  <c r="A377" i="34" s="1"/>
  <c r="A378" i="34" s="1"/>
  <c r="A379" i="34" s="1"/>
  <c r="A380" i="34" s="1"/>
  <c r="A381" i="34" s="1"/>
  <c r="A382" i="34" s="1"/>
  <c r="A383" i="34" s="1"/>
  <c r="A384" i="34" s="1"/>
  <c r="A385" i="34" s="1"/>
  <c r="A386" i="34" s="1"/>
  <c r="A387" i="34" s="1"/>
  <c r="A388" i="34" s="1"/>
  <c r="A389" i="34" s="1"/>
  <c r="A390" i="34" s="1"/>
  <c r="A391" i="34" s="1"/>
  <c r="A392" i="34" s="1"/>
  <c r="A393" i="34" s="1"/>
  <c r="A394" i="34" s="1"/>
  <c r="A395" i="34" s="1"/>
  <c r="A396" i="34" s="1"/>
  <c r="A397" i="34" s="1"/>
  <c r="A398" i="34" s="1"/>
  <c r="A399" i="34" s="1"/>
  <c r="A400" i="34" s="1"/>
  <c r="A401" i="34" s="1"/>
  <c r="A402" i="34" s="1"/>
  <c r="A403" i="34" s="1"/>
  <c r="A404" i="34" s="1"/>
  <c r="A405" i="34" s="1"/>
  <c r="A406" i="34" s="1"/>
  <c r="A407" i="34" s="1"/>
  <c r="A408" i="34" s="1"/>
  <c r="A409" i="34" s="1"/>
  <c r="A410" i="34" s="1"/>
  <c r="A411" i="34" s="1"/>
  <c r="A412" i="34" s="1"/>
  <c r="A413" i="34" s="1"/>
  <c r="A414" i="34" s="1"/>
  <c r="A415" i="34" s="1"/>
  <c r="A416" i="34" s="1"/>
  <c r="A417" i="34" s="1"/>
  <c r="A418" i="34" s="1"/>
  <c r="A419" i="34" s="1"/>
  <c r="A420" i="34" s="1"/>
  <c r="A421" i="34" s="1"/>
  <c r="A422" i="34" s="1"/>
  <c r="A423" i="34" s="1"/>
  <c r="A424" i="34" s="1"/>
  <c r="A425" i="34" s="1"/>
  <c r="A426" i="34" s="1"/>
  <c r="A427" i="34" s="1"/>
  <c r="A428" i="34" s="1"/>
  <c r="A429" i="34" s="1"/>
  <c r="A430" i="34" s="1"/>
  <c r="A431" i="34" s="1"/>
  <c r="A432" i="34" s="1"/>
  <c r="A433" i="34" s="1"/>
  <c r="A434" i="34" s="1"/>
  <c r="A435" i="34" s="1"/>
  <c r="A436" i="34" s="1"/>
  <c r="A437" i="34" s="1"/>
  <c r="A438" i="34" s="1"/>
  <c r="A439" i="34" s="1"/>
  <c r="A440" i="34" s="1"/>
  <c r="A441" i="34" s="1"/>
  <c r="A442" i="34" s="1"/>
  <c r="A443" i="34" s="1"/>
  <c r="A444" i="34" s="1"/>
  <c r="A445" i="34" s="1"/>
  <c r="A446" i="34" s="1"/>
  <c r="A447" i="34" s="1"/>
  <c r="A448" i="34" s="1"/>
  <c r="A449" i="34" s="1"/>
  <c r="A450" i="34" s="1"/>
  <c r="A451" i="34" s="1"/>
  <c r="A452" i="34" s="1"/>
  <c r="A453" i="34" s="1"/>
  <c r="A454" i="34" s="1"/>
  <c r="A455" i="34" s="1"/>
  <c r="A456" i="34" s="1"/>
  <c r="A457" i="34" s="1"/>
  <c r="A458" i="34" s="1"/>
  <c r="A459" i="34" s="1"/>
  <c r="A460" i="34" s="1"/>
  <c r="A461" i="34" s="1"/>
  <c r="A462" i="34" s="1"/>
  <c r="A463" i="34" s="1"/>
  <c r="A464" i="34" s="1"/>
  <c r="A465" i="34" s="1"/>
  <c r="A466" i="34" s="1"/>
  <c r="A467" i="34" s="1"/>
  <c r="A468" i="34" s="1"/>
  <c r="A469" i="34" s="1"/>
  <c r="A470" i="34" s="1"/>
  <c r="A471" i="34" s="1"/>
  <c r="A472" i="34" s="1"/>
  <c r="A473" i="34" s="1"/>
  <c r="A474" i="34" s="1"/>
  <c r="A475" i="34" s="1"/>
  <c r="A476" i="34" s="1"/>
  <c r="A477" i="34" s="1"/>
  <c r="A478" i="34" s="1"/>
  <c r="A479" i="34" s="1"/>
  <c r="A480" i="34" s="1"/>
  <c r="A481" i="34" s="1"/>
  <c r="A482" i="34" s="1"/>
  <c r="A483" i="34" s="1"/>
  <c r="A484" i="34" s="1"/>
  <c r="A485" i="34" s="1"/>
  <c r="A486" i="34" s="1"/>
  <c r="A487" i="34" s="1"/>
  <c r="A488" i="34" s="1"/>
  <c r="A489" i="34" s="1"/>
  <c r="A490" i="34" s="1"/>
  <c r="A491" i="34" s="1"/>
  <c r="A492" i="34" s="1"/>
  <c r="A493" i="34" s="1"/>
  <c r="A494" i="34" s="1"/>
  <c r="A495" i="34" s="1"/>
  <c r="A496" i="34" s="1"/>
  <c r="A497" i="34" s="1"/>
  <c r="Q18" i="34"/>
  <c r="Q19" i="34" s="1"/>
  <c r="A18" i="34"/>
  <c r="A19" i="34" s="1"/>
  <c r="A20" i="34" s="1"/>
  <c r="A21" i="34" s="1"/>
  <c r="A22" i="34" s="1"/>
  <c r="A23" i="34" s="1"/>
  <c r="A24" i="34" s="1"/>
  <c r="A25" i="34" s="1"/>
  <c r="U17" i="34"/>
  <c r="S17" i="34"/>
  <c r="R17" i="34"/>
  <c r="V17" i="34" s="1"/>
  <c r="O16" i="34"/>
  <c r="N16" i="34"/>
  <c r="P72" i="33"/>
  <c r="P71" i="33"/>
  <c r="P70" i="33"/>
  <c r="P69" i="33"/>
  <c r="P68" i="33"/>
  <c r="P67" i="33"/>
  <c r="P66" i="33"/>
  <c r="P65" i="33"/>
  <c r="P64" i="33"/>
  <c r="P63" i="33"/>
  <c r="P62" i="33"/>
  <c r="P61" i="33"/>
  <c r="P60" i="33"/>
  <c r="P59" i="33"/>
  <c r="P58" i="33"/>
  <c r="P57" i="33"/>
  <c r="Q18" i="33"/>
  <c r="U18" i="33" s="1"/>
  <c r="J18" i="33"/>
  <c r="J19" i="33" s="1"/>
  <c r="J20" i="33" s="1"/>
  <c r="J21" i="33" s="1"/>
  <c r="J22" i="33" s="1"/>
  <c r="J23" i="33" s="1"/>
  <c r="J24" i="33" s="1"/>
  <c r="J25" i="33" s="1"/>
  <c r="J26" i="33" s="1"/>
  <c r="J27" i="33" s="1"/>
  <c r="J28" i="33" s="1"/>
  <c r="J29" i="33" s="1"/>
  <c r="J30" i="33" s="1"/>
  <c r="J31" i="33" s="1"/>
  <c r="J32" i="33" s="1"/>
  <c r="J33" i="33" s="1"/>
  <c r="J34" i="33" s="1"/>
  <c r="J35" i="33" s="1"/>
  <c r="J36" i="33" s="1"/>
  <c r="J37" i="33" s="1"/>
  <c r="J38" i="33" s="1"/>
  <c r="J39" i="33" s="1"/>
  <c r="J40" i="33" s="1"/>
  <c r="J41" i="33" s="1"/>
  <c r="J42" i="33" s="1"/>
  <c r="J43" i="33" s="1"/>
  <c r="J44" i="33" s="1"/>
  <c r="J45" i="33" s="1"/>
  <c r="J46" i="33" s="1"/>
  <c r="J47" i="33" s="1"/>
  <c r="J48" i="33" s="1"/>
  <c r="J49" i="33" s="1"/>
  <c r="J50" i="33" s="1"/>
  <c r="J51" i="33" s="1"/>
  <c r="J52" i="33" s="1"/>
  <c r="J53" i="33" s="1"/>
  <c r="J54" i="33" s="1"/>
  <c r="J55" i="33" s="1"/>
  <c r="J56" i="33" s="1"/>
  <c r="A18" i="33"/>
  <c r="A19" i="33" s="1"/>
  <c r="A20" i="33" s="1"/>
  <c r="A21" i="33" s="1"/>
  <c r="A22" i="33" s="1"/>
  <c r="A23" i="33" s="1"/>
  <c r="A24" i="33" s="1"/>
  <c r="A25" i="33" s="1"/>
  <c r="A26" i="33" s="1"/>
  <c r="A27" i="33" s="1"/>
  <c r="A28" i="33" s="1"/>
  <c r="A29" i="33" s="1"/>
  <c r="A30" i="33" s="1"/>
  <c r="A31" i="33" s="1"/>
  <c r="A32" i="33" s="1"/>
  <c r="A33" i="33" s="1"/>
  <c r="A34" i="33" s="1"/>
  <c r="A35" i="33" s="1"/>
  <c r="A36" i="33" s="1"/>
  <c r="A37" i="33" s="1"/>
  <c r="A38" i="33" s="1"/>
  <c r="A39" i="33" s="1"/>
  <c r="A40" i="33" s="1"/>
  <c r="A41" i="33" s="1"/>
  <c r="A42" i="33" s="1"/>
  <c r="A43" i="33" s="1"/>
  <c r="A44" i="33" s="1"/>
  <c r="A45" i="33" s="1"/>
  <c r="A46" i="33" s="1"/>
  <c r="A47" i="33" s="1"/>
  <c r="A48" i="33" s="1"/>
  <c r="A49" i="33" s="1"/>
  <c r="A50" i="33" s="1"/>
  <c r="A51" i="33" s="1"/>
  <c r="A52" i="33" s="1"/>
  <c r="A53" i="33" s="1"/>
  <c r="A54" i="33" s="1"/>
  <c r="A55" i="33" s="1"/>
  <c r="A56" i="33" s="1"/>
  <c r="A57" i="33" s="1"/>
  <c r="A58" i="33" s="1"/>
  <c r="A59" i="33" s="1"/>
  <c r="A60" i="33" s="1"/>
  <c r="A61" i="33" s="1"/>
  <c r="A62" i="33" s="1"/>
  <c r="A63" i="33" s="1"/>
  <c r="A64" i="33" s="1"/>
  <c r="A65" i="33" s="1"/>
  <c r="A66" i="33" s="1"/>
  <c r="A67" i="33" s="1"/>
  <c r="A68" i="33" s="1"/>
  <c r="A69" i="33" s="1"/>
  <c r="A70" i="33" s="1"/>
  <c r="A71" i="33" s="1"/>
  <c r="A72" i="33" s="1"/>
  <c r="A73" i="33" s="1"/>
  <c r="A74" i="33" s="1"/>
  <c r="A75" i="33" s="1"/>
  <c r="A76" i="33" s="1"/>
  <c r="A77" i="33" s="1"/>
  <c r="A78" i="33" s="1"/>
  <c r="A79" i="33" s="1"/>
  <c r="A80" i="33" s="1"/>
  <c r="A81" i="33" s="1"/>
  <c r="A82" i="33" s="1"/>
  <c r="A83" i="33" s="1"/>
  <c r="A84" i="33" s="1"/>
  <c r="A85" i="33" s="1"/>
  <c r="A86" i="33" s="1"/>
  <c r="A87" i="33" s="1"/>
  <c r="A88" i="33" s="1"/>
  <c r="A89" i="33" s="1"/>
  <c r="A90" i="33" s="1"/>
  <c r="A91" i="33" s="1"/>
  <c r="A92" i="33" s="1"/>
  <c r="A93" i="33" s="1"/>
  <c r="A94" i="33" s="1"/>
  <c r="A95" i="33" s="1"/>
  <c r="A96" i="33" s="1"/>
  <c r="A97" i="33" s="1"/>
  <c r="A98" i="33" s="1"/>
  <c r="A99" i="33" s="1"/>
  <c r="A100" i="33" s="1"/>
  <c r="A101" i="33" s="1"/>
  <c r="A102" i="33" s="1"/>
  <c r="A103" i="33" s="1"/>
  <c r="A104" i="33" s="1"/>
  <c r="A105" i="33" s="1"/>
  <c r="A106" i="33" s="1"/>
  <c r="A107" i="33" s="1"/>
  <c r="A108" i="33" s="1"/>
  <c r="A109" i="33" s="1"/>
  <c r="A110" i="33" s="1"/>
  <c r="A111" i="33" s="1"/>
  <c r="A112" i="33" s="1"/>
  <c r="A113" i="33" s="1"/>
  <c r="A114" i="33" s="1"/>
  <c r="A115" i="33" s="1"/>
  <c r="A116" i="33" s="1"/>
  <c r="A117" i="33" s="1"/>
  <c r="A118" i="33" s="1"/>
  <c r="A119" i="33" s="1"/>
  <c r="A120" i="33" s="1"/>
  <c r="A121" i="33" s="1"/>
  <c r="A122" i="33" s="1"/>
  <c r="A123" i="33" s="1"/>
  <c r="A124" i="33" s="1"/>
  <c r="A125" i="33" s="1"/>
  <c r="A126" i="33" s="1"/>
  <c r="A127" i="33" s="1"/>
  <c r="A128" i="33" s="1"/>
  <c r="A129" i="33" s="1"/>
  <c r="A130" i="33" s="1"/>
  <c r="A131" i="33" s="1"/>
  <c r="A132" i="33" s="1"/>
  <c r="A133" i="33" s="1"/>
  <c r="A134" i="33" s="1"/>
  <c r="A135" i="33" s="1"/>
  <c r="A136" i="33" s="1"/>
  <c r="A137" i="33" s="1"/>
  <c r="A138" i="33" s="1"/>
  <c r="A139" i="33" s="1"/>
  <c r="A140" i="33" s="1"/>
  <c r="A141" i="33" s="1"/>
  <c r="A142" i="33" s="1"/>
  <c r="A143" i="33" s="1"/>
  <c r="A144" i="33" s="1"/>
  <c r="A145" i="33" s="1"/>
  <c r="A146" i="33" s="1"/>
  <c r="A147" i="33" s="1"/>
  <c r="A148" i="33" s="1"/>
  <c r="A149" i="33" s="1"/>
  <c r="A150" i="33" s="1"/>
  <c r="A151" i="33" s="1"/>
  <c r="A152" i="33" s="1"/>
  <c r="A153" i="33" s="1"/>
  <c r="A154" i="33" s="1"/>
  <c r="A155" i="33" s="1"/>
  <c r="A156" i="33" s="1"/>
  <c r="A157" i="33" s="1"/>
  <c r="A158" i="33" s="1"/>
  <c r="A159" i="33" s="1"/>
  <c r="A160" i="33" s="1"/>
  <c r="A161" i="33" s="1"/>
  <c r="A162" i="33" s="1"/>
  <c r="A163" i="33" s="1"/>
  <c r="A164" i="33" s="1"/>
  <c r="A165" i="33" s="1"/>
  <c r="A166" i="33" s="1"/>
  <c r="A167" i="33" s="1"/>
  <c r="A168" i="33" s="1"/>
  <c r="A169" i="33" s="1"/>
  <c r="A170" i="33" s="1"/>
  <c r="A171" i="33" s="1"/>
  <c r="A172" i="33" s="1"/>
  <c r="A173" i="33" s="1"/>
  <c r="A174" i="33" s="1"/>
  <c r="A175" i="33" s="1"/>
  <c r="A176" i="33" s="1"/>
  <c r="A177" i="33" s="1"/>
  <c r="A178" i="33" s="1"/>
  <c r="A179" i="33" s="1"/>
  <c r="A180" i="33" s="1"/>
  <c r="A181" i="33" s="1"/>
  <c r="A182" i="33" s="1"/>
  <c r="A183" i="33" s="1"/>
  <c r="A184" i="33" s="1"/>
  <c r="A185" i="33" s="1"/>
  <c r="A186" i="33" s="1"/>
  <c r="A187" i="33" s="1"/>
  <c r="A188" i="33" s="1"/>
  <c r="A189" i="33" s="1"/>
  <c r="A190" i="33" s="1"/>
  <c r="A191" i="33" s="1"/>
  <c r="A192" i="33" s="1"/>
  <c r="A193" i="33" s="1"/>
  <c r="A194" i="33" s="1"/>
  <c r="A195" i="33" s="1"/>
  <c r="A196" i="33" s="1"/>
  <c r="A197" i="33" s="1"/>
  <c r="A198" i="33" s="1"/>
  <c r="A199" i="33" s="1"/>
  <c r="A200" i="33" s="1"/>
  <c r="A201" i="33" s="1"/>
  <c r="A202" i="33" s="1"/>
  <c r="A203" i="33" s="1"/>
  <c r="A204" i="33" s="1"/>
  <c r="A205" i="33" s="1"/>
  <c r="A206" i="33" s="1"/>
  <c r="A207" i="33" s="1"/>
  <c r="A208" i="33" s="1"/>
  <c r="A209" i="33" s="1"/>
  <c r="A210" i="33" s="1"/>
  <c r="A211" i="33" s="1"/>
  <c r="A212" i="33" s="1"/>
  <c r="A213" i="33" s="1"/>
  <c r="A214" i="33" s="1"/>
  <c r="A215" i="33" s="1"/>
  <c r="A216" i="33" s="1"/>
  <c r="A217" i="33" s="1"/>
  <c r="A218" i="33" s="1"/>
  <c r="A219" i="33" s="1"/>
  <c r="A220" i="33" s="1"/>
  <c r="A221" i="33" s="1"/>
  <c r="A222" i="33" s="1"/>
  <c r="A223" i="33" s="1"/>
  <c r="A224" i="33" s="1"/>
  <c r="A225" i="33" s="1"/>
  <c r="A226" i="33" s="1"/>
  <c r="A227" i="33" s="1"/>
  <c r="A228" i="33" s="1"/>
  <c r="A229" i="33" s="1"/>
  <c r="A230" i="33" s="1"/>
  <c r="A231" i="33" s="1"/>
  <c r="A232" i="33" s="1"/>
  <c r="A233" i="33" s="1"/>
  <c r="A234" i="33" s="1"/>
  <c r="A235" i="33" s="1"/>
  <c r="A236" i="33" s="1"/>
  <c r="A237" i="33" s="1"/>
  <c r="A238" i="33" s="1"/>
  <c r="A239" i="33" s="1"/>
  <c r="A240" i="33" s="1"/>
  <c r="A241" i="33" s="1"/>
  <c r="A242" i="33" s="1"/>
  <c r="A243" i="33" s="1"/>
  <c r="A244" i="33" s="1"/>
  <c r="A245" i="33" s="1"/>
  <c r="A246" i="33" s="1"/>
  <c r="A247" i="33" s="1"/>
  <c r="A248" i="33" s="1"/>
  <c r="A249" i="33" s="1"/>
  <c r="A250" i="33" s="1"/>
  <c r="A251" i="33" s="1"/>
  <c r="A252" i="33" s="1"/>
  <c r="A253" i="33" s="1"/>
  <c r="A254" i="33" s="1"/>
  <c r="A255" i="33" s="1"/>
  <c r="A256" i="33" s="1"/>
  <c r="A257" i="33" s="1"/>
  <c r="A258" i="33" s="1"/>
  <c r="A259" i="33" s="1"/>
  <c r="A260" i="33" s="1"/>
  <c r="A261" i="33" s="1"/>
  <c r="A262" i="33" s="1"/>
  <c r="A263" i="33" s="1"/>
  <c r="A264" i="33" s="1"/>
  <c r="A265" i="33" s="1"/>
  <c r="A266" i="33" s="1"/>
  <c r="A267" i="33" s="1"/>
  <c r="A268" i="33" s="1"/>
  <c r="A269" i="33" s="1"/>
  <c r="A270" i="33" s="1"/>
  <c r="A271" i="33" s="1"/>
  <c r="A272" i="33" s="1"/>
  <c r="A273" i="33" s="1"/>
  <c r="A274" i="33" s="1"/>
  <c r="A275" i="33" s="1"/>
  <c r="A276" i="33" s="1"/>
  <c r="A277" i="33" s="1"/>
  <c r="A278" i="33" s="1"/>
  <c r="A279" i="33" s="1"/>
  <c r="A280" i="33" s="1"/>
  <c r="A281" i="33" s="1"/>
  <c r="A282" i="33" s="1"/>
  <c r="A283" i="33" s="1"/>
  <c r="A284" i="33" s="1"/>
  <c r="A285" i="33" s="1"/>
  <c r="A286" i="33" s="1"/>
  <c r="A287" i="33" s="1"/>
  <c r="A288" i="33" s="1"/>
  <c r="A289" i="33" s="1"/>
  <c r="A290" i="33" s="1"/>
  <c r="A291" i="33" s="1"/>
  <c r="A292" i="33" s="1"/>
  <c r="A293" i="33" s="1"/>
  <c r="A294" i="33" s="1"/>
  <c r="A295" i="33" s="1"/>
  <c r="A296" i="33" s="1"/>
  <c r="A297" i="33" s="1"/>
  <c r="A298" i="33" s="1"/>
  <c r="A299" i="33" s="1"/>
  <c r="A300" i="33" s="1"/>
  <c r="A301" i="33" s="1"/>
  <c r="A302" i="33" s="1"/>
  <c r="A303" i="33" s="1"/>
  <c r="A304" i="33" s="1"/>
  <c r="A305" i="33" s="1"/>
  <c r="A306" i="33" s="1"/>
  <c r="A307" i="33" s="1"/>
  <c r="A308" i="33" s="1"/>
  <c r="A309" i="33" s="1"/>
  <c r="A310" i="33" s="1"/>
  <c r="A311" i="33" s="1"/>
  <c r="A312" i="33" s="1"/>
  <c r="A313" i="33" s="1"/>
  <c r="A314" i="33" s="1"/>
  <c r="A315" i="33" s="1"/>
  <c r="A316" i="33" s="1"/>
  <c r="A317" i="33" s="1"/>
  <c r="A318" i="33" s="1"/>
  <c r="A319" i="33" s="1"/>
  <c r="A320" i="33" s="1"/>
  <c r="A321" i="33" s="1"/>
  <c r="A322" i="33" s="1"/>
  <c r="A323" i="33" s="1"/>
  <c r="A324" i="33" s="1"/>
  <c r="A325" i="33" s="1"/>
  <c r="A326" i="33" s="1"/>
  <c r="A327" i="33" s="1"/>
  <c r="A328" i="33" s="1"/>
  <c r="A329" i="33" s="1"/>
  <c r="A330" i="33" s="1"/>
  <c r="A331" i="33" s="1"/>
  <c r="A332" i="33" s="1"/>
  <c r="A333" i="33" s="1"/>
  <c r="A334" i="33" s="1"/>
  <c r="A335" i="33" s="1"/>
  <c r="A336" i="33" s="1"/>
  <c r="A337" i="33" s="1"/>
  <c r="A338" i="33" s="1"/>
  <c r="A339" i="33" s="1"/>
  <c r="A340" i="33" s="1"/>
  <c r="A341" i="33" s="1"/>
  <c r="A342" i="33" s="1"/>
  <c r="A343" i="33" s="1"/>
  <c r="A344" i="33" s="1"/>
  <c r="A345" i="33" s="1"/>
  <c r="A346" i="33" s="1"/>
  <c r="A347" i="33" s="1"/>
  <c r="A348" i="33" s="1"/>
  <c r="A349" i="33" s="1"/>
  <c r="A350" i="33" s="1"/>
  <c r="A351" i="33" s="1"/>
  <c r="A352" i="33" s="1"/>
  <c r="A353" i="33" s="1"/>
  <c r="A354" i="33" s="1"/>
  <c r="A355" i="33" s="1"/>
  <c r="A356" i="33" s="1"/>
  <c r="A357" i="33" s="1"/>
  <c r="A358" i="33" s="1"/>
  <c r="A359" i="33" s="1"/>
  <c r="A360" i="33" s="1"/>
  <c r="A361" i="33" s="1"/>
  <c r="A362" i="33" s="1"/>
  <c r="A363" i="33" s="1"/>
  <c r="A364" i="33" s="1"/>
  <c r="A365" i="33" s="1"/>
  <c r="A366" i="33" s="1"/>
  <c r="A367" i="33" s="1"/>
  <c r="A368" i="33" s="1"/>
  <c r="A369" i="33" s="1"/>
  <c r="A370" i="33" s="1"/>
  <c r="A371" i="33" s="1"/>
  <c r="A372" i="33" s="1"/>
  <c r="A373" i="33" s="1"/>
  <c r="A374" i="33" s="1"/>
  <c r="A375" i="33" s="1"/>
  <c r="A376" i="33" s="1"/>
  <c r="A377" i="33" s="1"/>
  <c r="A378" i="33" s="1"/>
  <c r="A379" i="33" s="1"/>
  <c r="A380" i="33" s="1"/>
  <c r="A381" i="33" s="1"/>
  <c r="A382" i="33" s="1"/>
  <c r="A383" i="33" s="1"/>
  <c r="A384" i="33" s="1"/>
  <c r="A385" i="33" s="1"/>
  <c r="A386" i="33" s="1"/>
  <c r="A387" i="33" s="1"/>
  <c r="A388" i="33" s="1"/>
  <c r="A389" i="33" s="1"/>
  <c r="A390" i="33" s="1"/>
  <c r="A391" i="33" s="1"/>
  <c r="A392" i="33" s="1"/>
  <c r="A393" i="33" s="1"/>
  <c r="A394" i="33" s="1"/>
  <c r="A395" i="33" s="1"/>
  <c r="A396" i="33" s="1"/>
  <c r="A397" i="33" s="1"/>
  <c r="A398" i="33" s="1"/>
  <c r="A399" i="33" s="1"/>
  <c r="A400" i="33" s="1"/>
  <c r="A401" i="33" s="1"/>
  <c r="A402" i="33" s="1"/>
  <c r="A403" i="33" s="1"/>
  <c r="A404" i="33" s="1"/>
  <c r="A405" i="33" s="1"/>
  <c r="A406" i="33" s="1"/>
  <c r="A407" i="33" s="1"/>
  <c r="A408" i="33" s="1"/>
  <c r="A409" i="33" s="1"/>
  <c r="A410" i="33" s="1"/>
  <c r="A411" i="33" s="1"/>
  <c r="A412" i="33" s="1"/>
  <c r="A413" i="33" s="1"/>
  <c r="A414" i="33" s="1"/>
  <c r="A415" i="33" s="1"/>
  <c r="A416" i="33" s="1"/>
  <c r="A417" i="33" s="1"/>
  <c r="A418" i="33" s="1"/>
  <c r="A419" i="33" s="1"/>
  <c r="A420" i="33" s="1"/>
  <c r="A421" i="33" s="1"/>
  <c r="A422" i="33" s="1"/>
  <c r="A423" i="33" s="1"/>
  <c r="A424" i="33" s="1"/>
  <c r="A425" i="33" s="1"/>
  <c r="A426" i="33" s="1"/>
  <c r="A427" i="33" s="1"/>
  <c r="A428" i="33" s="1"/>
  <c r="A429" i="33" s="1"/>
  <c r="A430" i="33" s="1"/>
  <c r="A431" i="33" s="1"/>
  <c r="A432" i="33" s="1"/>
  <c r="A433" i="33" s="1"/>
  <c r="A434" i="33" s="1"/>
  <c r="A435" i="33" s="1"/>
  <c r="A436" i="33" s="1"/>
  <c r="A437" i="33" s="1"/>
  <c r="A438" i="33" s="1"/>
  <c r="A439" i="33" s="1"/>
  <c r="A440" i="33" s="1"/>
  <c r="A441" i="33" s="1"/>
  <c r="A442" i="33" s="1"/>
  <c r="A443" i="33" s="1"/>
  <c r="A444" i="33" s="1"/>
  <c r="A445" i="33" s="1"/>
  <c r="A446" i="33" s="1"/>
  <c r="A447" i="33" s="1"/>
  <c r="A448" i="33" s="1"/>
  <c r="A449" i="33" s="1"/>
  <c r="A450" i="33" s="1"/>
  <c r="A451" i="33" s="1"/>
  <c r="A452" i="33" s="1"/>
  <c r="A453" i="33" s="1"/>
  <c r="A454" i="33" s="1"/>
  <c r="A455" i="33" s="1"/>
  <c r="A456" i="33" s="1"/>
  <c r="A457" i="33" s="1"/>
  <c r="A458" i="33" s="1"/>
  <c r="A459" i="33" s="1"/>
  <c r="A460" i="33" s="1"/>
  <c r="A461" i="33" s="1"/>
  <c r="A462" i="33" s="1"/>
  <c r="A463" i="33" s="1"/>
  <c r="A464" i="33" s="1"/>
  <c r="A465" i="33" s="1"/>
  <c r="A466" i="33" s="1"/>
  <c r="A467" i="33" s="1"/>
  <c r="A468" i="33" s="1"/>
  <c r="A469" i="33" s="1"/>
  <c r="A470" i="33" s="1"/>
  <c r="A471" i="33" s="1"/>
  <c r="A472" i="33" s="1"/>
  <c r="A473" i="33" s="1"/>
  <c r="A474" i="33" s="1"/>
  <c r="A475" i="33" s="1"/>
  <c r="A476" i="33" s="1"/>
  <c r="A477" i="33" s="1"/>
  <c r="A478" i="33" s="1"/>
  <c r="A479" i="33" s="1"/>
  <c r="A480" i="33" s="1"/>
  <c r="A481" i="33" s="1"/>
  <c r="A482" i="33" s="1"/>
  <c r="A483" i="33" s="1"/>
  <c r="A484" i="33" s="1"/>
  <c r="A485" i="33" s="1"/>
  <c r="A486" i="33" s="1"/>
  <c r="A487" i="33" s="1"/>
  <c r="A488" i="33" s="1"/>
  <c r="A489" i="33" s="1"/>
  <c r="A490" i="33" s="1"/>
  <c r="A491" i="33" s="1"/>
  <c r="A492" i="33" s="1"/>
  <c r="A493" i="33" s="1"/>
  <c r="A494" i="33" s="1"/>
  <c r="A495" i="33" s="1"/>
  <c r="A496" i="33" s="1"/>
  <c r="A497" i="33" s="1"/>
  <c r="U17" i="33"/>
  <c r="S17" i="33"/>
  <c r="R17" i="33"/>
  <c r="V17" i="33" s="1"/>
  <c r="O16" i="33"/>
  <c r="N16" i="33"/>
  <c r="I8" i="33"/>
  <c r="K259" i="2"/>
  <c r="J259" i="2"/>
  <c r="I259" i="2"/>
  <c r="H259" i="2"/>
  <c r="Q19" i="36" l="1"/>
  <c r="S19" i="36" s="1"/>
  <c r="S18" i="36"/>
  <c r="U18" i="36"/>
  <c r="Q19" i="35"/>
  <c r="S19" i="35" s="1"/>
  <c r="Q19" i="33"/>
  <c r="U19" i="33" s="1"/>
  <c r="T17" i="35"/>
  <c r="T17" i="34"/>
  <c r="T17" i="33"/>
  <c r="R18" i="33"/>
  <c r="S18" i="33"/>
  <c r="Q20" i="34"/>
  <c r="U19" i="34"/>
  <c r="R19" i="34"/>
  <c r="S19" i="34"/>
  <c r="S18" i="34"/>
  <c r="U18" i="34"/>
  <c r="R18" i="34"/>
  <c r="R18" i="35"/>
  <c r="S18" i="35"/>
  <c r="V18" i="36"/>
  <c r="T18" i="36"/>
  <c r="R19" i="36"/>
  <c r="V17" i="36"/>
  <c r="T17" i="36"/>
  <c r="AA258" i="4"/>
  <c r="U19" i="35" l="1"/>
  <c r="U19" i="36"/>
  <c r="Q20" i="36"/>
  <c r="S20" i="36" s="1"/>
  <c r="S19" i="33"/>
  <c r="Q20" i="35"/>
  <c r="R20" i="35" s="1"/>
  <c r="R19" i="33"/>
  <c r="T19" i="33" s="1"/>
  <c r="Q20" i="33"/>
  <c r="U20" i="33" s="1"/>
  <c r="R19" i="35"/>
  <c r="V19" i="35" s="1"/>
  <c r="V19" i="36"/>
  <c r="T19" i="36"/>
  <c r="V18" i="33"/>
  <c r="T18" i="33"/>
  <c r="U20" i="36"/>
  <c r="V18" i="34"/>
  <c r="T18" i="34"/>
  <c r="T18" i="35"/>
  <c r="V18" i="35"/>
  <c r="V19" i="34"/>
  <c r="T19" i="34"/>
  <c r="U20" i="34"/>
  <c r="Q21" i="34"/>
  <c r="S20" i="34"/>
  <c r="R20" i="34"/>
  <c r="AG258" i="4"/>
  <c r="AF258" i="4"/>
  <c r="AE258" i="4"/>
  <c r="AD258" i="4"/>
  <c r="AC258" i="4"/>
  <c r="AB258" i="4"/>
  <c r="Z258" i="4"/>
  <c r="Y258" i="4"/>
  <c r="X258" i="4"/>
  <c r="W258" i="4"/>
  <c r="V258" i="4"/>
  <c r="U258" i="4"/>
  <c r="T258" i="4"/>
  <c r="S258" i="4"/>
  <c r="R258" i="4"/>
  <c r="Q258" i="4"/>
  <c r="P258" i="4"/>
  <c r="N258" i="4"/>
  <c r="M258" i="4"/>
  <c r="L258" i="4"/>
  <c r="K258" i="4"/>
  <c r="J258" i="4"/>
  <c r="I258" i="4"/>
  <c r="H258" i="4"/>
  <c r="G258" i="4"/>
  <c r="F258" i="4"/>
  <c r="E258" i="4"/>
  <c r="S20" i="33" l="1"/>
  <c r="T19" i="35"/>
  <c r="S20" i="35"/>
  <c r="U20" i="35"/>
  <c r="Q21" i="36"/>
  <c r="V19" i="33"/>
  <c r="R20" i="36"/>
  <c r="T20" i="36" s="1"/>
  <c r="Q21" i="35"/>
  <c r="R21" i="35" s="1"/>
  <c r="R20" i="33"/>
  <c r="T20" i="33" s="1"/>
  <c r="Q21" i="33"/>
  <c r="S21" i="33" s="1"/>
  <c r="V20" i="35"/>
  <c r="T20" i="35"/>
  <c r="Q22" i="33"/>
  <c r="V20" i="34"/>
  <c r="T20" i="34"/>
  <c r="R21" i="34"/>
  <c r="S21" i="34"/>
  <c r="U21" i="34"/>
  <c r="Q22" i="34"/>
  <c r="U21" i="36"/>
  <c r="Q22" i="36"/>
  <c r="S21" i="36"/>
  <c r="R21" i="36"/>
  <c r="C9" i="29"/>
  <c r="C10" i="29" s="1"/>
  <c r="C11" i="29" s="1"/>
  <c r="C12" i="29" s="1"/>
  <c r="C13" i="29" s="1"/>
  <c r="C14" i="29" s="1"/>
  <c r="C15" i="29" s="1"/>
  <c r="C16" i="29" s="1"/>
  <c r="C17" i="29" s="1"/>
  <c r="C18" i="29" s="1"/>
  <c r="C19" i="29" s="1"/>
  <c r="C20" i="29" s="1"/>
  <c r="C21" i="29" s="1"/>
  <c r="C22" i="29" s="1"/>
  <c r="C23" i="29" s="1"/>
  <c r="C24" i="29" s="1"/>
  <c r="C25" i="29" s="1"/>
  <c r="C26" i="29" s="1"/>
  <c r="C27" i="29" s="1"/>
  <c r="C28" i="29" s="1"/>
  <c r="E28" i="29" s="1"/>
  <c r="C257" i="4"/>
  <c r="B257" i="4"/>
  <c r="A257" i="4"/>
  <c r="C256" i="4"/>
  <c r="B256" i="4"/>
  <c r="A256" i="4"/>
  <c r="C255" i="4"/>
  <c r="B255" i="4"/>
  <c r="A255" i="4"/>
  <c r="C254" i="4"/>
  <c r="B254" i="4"/>
  <c r="A254" i="4"/>
  <c r="C253" i="4"/>
  <c r="B253" i="4"/>
  <c r="A253" i="4"/>
  <c r="C252" i="4"/>
  <c r="B252" i="4"/>
  <c r="A252" i="4"/>
  <c r="C251" i="4"/>
  <c r="B251" i="4"/>
  <c r="A251" i="4"/>
  <c r="C250" i="4"/>
  <c r="B250" i="4"/>
  <c r="A250" i="4"/>
  <c r="C249" i="4"/>
  <c r="B249" i="4"/>
  <c r="A249" i="4"/>
  <c r="C248" i="4"/>
  <c r="B248" i="4"/>
  <c r="A248" i="4"/>
  <c r="C247" i="4"/>
  <c r="B247" i="4"/>
  <c r="A247" i="4"/>
  <c r="C246" i="4"/>
  <c r="B246" i="4"/>
  <c r="A246" i="4"/>
  <c r="C245" i="4"/>
  <c r="B245" i="4"/>
  <c r="A245" i="4"/>
  <c r="C244" i="4"/>
  <c r="B244" i="4"/>
  <c r="A244" i="4"/>
  <c r="C243" i="4"/>
  <c r="B243" i="4"/>
  <c r="A243" i="4"/>
  <c r="C242" i="4"/>
  <c r="B242" i="4"/>
  <c r="A242" i="4"/>
  <c r="C241" i="4"/>
  <c r="B241" i="4"/>
  <c r="A241" i="4"/>
  <c r="C240" i="4"/>
  <c r="B240" i="4"/>
  <c r="A240" i="4"/>
  <c r="C239" i="4"/>
  <c r="B239" i="4"/>
  <c r="A239" i="4"/>
  <c r="C238" i="4"/>
  <c r="B238" i="4"/>
  <c r="A238" i="4"/>
  <c r="C237" i="4"/>
  <c r="B237" i="4"/>
  <c r="A237" i="4"/>
  <c r="C236" i="4"/>
  <c r="B236" i="4"/>
  <c r="A236" i="4"/>
  <c r="C235" i="4"/>
  <c r="B235" i="4"/>
  <c r="A235" i="4"/>
  <c r="C234" i="4"/>
  <c r="B234" i="4"/>
  <c r="A234" i="4"/>
  <c r="C233" i="4"/>
  <c r="B233" i="4"/>
  <c r="A233" i="4"/>
  <c r="C232" i="4"/>
  <c r="B232" i="4"/>
  <c r="A232" i="4"/>
  <c r="C231" i="4"/>
  <c r="B231" i="4"/>
  <c r="A231" i="4"/>
  <c r="C230" i="4"/>
  <c r="B230" i="4"/>
  <c r="A230" i="4"/>
  <c r="C229" i="4"/>
  <c r="B229" i="4"/>
  <c r="A229" i="4"/>
  <c r="C228" i="4"/>
  <c r="B228" i="4"/>
  <c r="A228" i="4"/>
  <c r="C227" i="4"/>
  <c r="B227" i="4"/>
  <c r="A227" i="4"/>
  <c r="C226" i="4"/>
  <c r="B226" i="4"/>
  <c r="A226" i="4"/>
  <c r="C225" i="4"/>
  <c r="B225" i="4"/>
  <c r="A225" i="4"/>
  <c r="C224" i="4"/>
  <c r="B224" i="4"/>
  <c r="A224" i="4"/>
  <c r="C223" i="4"/>
  <c r="B223" i="4"/>
  <c r="A223" i="4"/>
  <c r="C222" i="4"/>
  <c r="B222" i="4"/>
  <c r="A222" i="4"/>
  <c r="C221" i="4"/>
  <c r="B221" i="4"/>
  <c r="A221" i="4"/>
  <c r="C220" i="4"/>
  <c r="B220" i="4"/>
  <c r="A220" i="4"/>
  <c r="C219" i="4"/>
  <c r="B219" i="4"/>
  <c r="A219" i="4"/>
  <c r="C218" i="4"/>
  <c r="B218" i="4"/>
  <c r="A218" i="4"/>
  <c r="C217" i="4"/>
  <c r="B217" i="4"/>
  <c r="A217" i="4"/>
  <c r="C216" i="4"/>
  <c r="B216" i="4"/>
  <c r="A216" i="4"/>
  <c r="C215" i="4"/>
  <c r="B215" i="4"/>
  <c r="A215" i="4"/>
  <c r="C214" i="4"/>
  <c r="B214" i="4"/>
  <c r="A214" i="4"/>
  <c r="C213" i="4"/>
  <c r="B213" i="4"/>
  <c r="A213" i="4"/>
  <c r="C212" i="4"/>
  <c r="B212" i="4"/>
  <c r="A212" i="4"/>
  <c r="C211" i="4"/>
  <c r="B211" i="4"/>
  <c r="A211" i="4"/>
  <c r="C210" i="4"/>
  <c r="B210" i="4"/>
  <c r="A210" i="4"/>
  <c r="C209" i="4"/>
  <c r="B209" i="4"/>
  <c r="A209" i="4"/>
  <c r="C208" i="4"/>
  <c r="B208" i="4"/>
  <c r="A208" i="4"/>
  <c r="C207" i="4"/>
  <c r="B207" i="4"/>
  <c r="A207" i="4"/>
  <c r="C206" i="4"/>
  <c r="B206" i="4"/>
  <c r="A206" i="4"/>
  <c r="C205" i="4"/>
  <c r="B205" i="4"/>
  <c r="A205" i="4"/>
  <c r="C204" i="4"/>
  <c r="B204" i="4"/>
  <c r="A204" i="4"/>
  <c r="C203" i="4"/>
  <c r="B203" i="4"/>
  <c r="A203" i="4"/>
  <c r="C202" i="4"/>
  <c r="B202" i="4"/>
  <c r="A202" i="4"/>
  <c r="C201" i="4"/>
  <c r="B201" i="4"/>
  <c r="A201" i="4"/>
  <c r="C200" i="4"/>
  <c r="B200" i="4"/>
  <c r="A200" i="4"/>
  <c r="C199" i="4"/>
  <c r="B199" i="4"/>
  <c r="A199" i="4"/>
  <c r="C198" i="4"/>
  <c r="B198" i="4"/>
  <c r="A198" i="4"/>
  <c r="C197" i="4"/>
  <c r="B197" i="4"/>
  <c r="A197" i="4"/>
  <c r="C196" i="4"/>
  <c r="B196" i="4"/>
  <c r="A196" i="4"/>
  <c r="C195" i="4"/>
  <c r="B195" i="4"/>
  <c r="A195" i="4"/>
  <c r="C194" i="4"/>
  <c r="B194" i="4"/>
  <c r="A194" i="4"/>
  <c r="C193" i="4"/>
  <c r="B193" i="4"/>
  <c r="A193" i="4"/>
  <c r="C192" i="4"/>
  <c r="B192" i="4"/>
  <c r="A192" i="4"/>
  <c r="C191" i="4"/>
  <c r="B191" i="4"/>
  <c r="A191" i="4"/>
  <c r="C190" i="4"/>
  <c r="B190" i="4"/>
  <c r="A190" i="4"/>
  <c r="C189" i="4"/>
  <c r="B189" i="4"/>
  <c r="A189" i="4"/>
  <c r="C188" i="4"/>
  <c r="B188" i="4"/>
  <c r="A188" i="4"/>
  <c r="C187" i="4"/>
  <c r="B187" i="4"/>
  <c r="A187" i="4"/>
  <c r="C186" i="4"/>
  <c r="B186" i="4"/>
  <c r="A186" i="4"/>
  <c r="C185" i="4"/>
  <c r="B185" i="4"/>
  <c r="A185" i="4"/>
  <c r="C184" i="4"/>
  <c r="B184" i="4"/>
  <c r="A184" i="4"/>
  <c r="C183" i="4"/>
  <c r="B183" i="4"/>
  <c r="A183" i="4"/>
  <c r="C182" i="4"/>
  <c r="B182" i="4"/>
  <c r="A182" i="4"/>
  <c r="C181" i="4"/>
  <c r="B181" i="4"/>
  <c r="A181" i="4"/>
  <c r="C180" i="4"/>
  <c r="B180" i="4"/>
  <c r="A180" i="4"/>
  <c r="C179" i="4"/>
  <c r="B179" i="4"/>
  <c r="A179" i="4"/>
  <c r="C178" i="4"/>
  <c r="B178" i="4"/>
  <c r="A178" i="4"/>
  <c r="C177" i="4"/>
  <c r="B177" i="4"/>
  <c r="A177" i="4"/>
  <c r="C176" i="4"/>
  <c r="B176" i="4"/>
  <c r="A176" i="4"/>
  <c r="C175" i="4"/>
  <c r="B175" i="4"/>
  <c r="A175" i="4"/>
  <c r="C174" i="4"/>
  <c r="B174" i="4"/>
  <c r="A174" i="4"/>
  <c r="C173" i="4"/>
  <c r="B173" i="4"/>
  <c r="A173" i="4"/>
  <c r="C172" i="4"/>
  <c r="B172" i="4"/>
  <c r="A172" i="4"/>
  <c r="C171" i="4"/>
  <c r="B171" i="4"/>
  <c r="A171" i="4"/>
  <c r="C170" i="4"/>
  <c r="B170" i="4"/>
  <c r="A170" i="4"/>
  <c r="C169" i="4"/>
  <c r="B169" i="4"/>
  <c r="A169" i="4"/>
  <c r="C168" i="4"/>
  <c r="B168" i="4"/>
  <c r="A168" i="4"/>
  <c r="C167" i="4"/>
  <c r="B167" i="4"/>
  <c r="A167" i="4"/>
  <c r="C166" i="4"/>
  <c r="B166" i="4"/>
  <c r="A166" i="4"/>
  <c r="C165" i="4"/>
  <c r="B165" i="4"/>
  <c r="A165" i="4"/>
  <c r="C164" i="4"/>
  <c r="B164" i="4"/>
  <c r="A164" i="4"/>
  <c r="C163" i="4"/>
  <c r="B163" i="4"/>
  <c r="A163" i="4"/>
  <c r="C162" i="4"/>
  <c r="B162" i="4"/>
  <c r="A162" i="4"/>
  <c r="C161" i="4"/>
  <c r="B161" i="4"/>
  <c r="A161" i="4"/>
  <c r="C160" i="4"/>
  <c r="B160" i="4"/>
  <c r="A160" i="4"/>
  <c r="C159" i="4"/>
  <c r="B159" i="4"/>
  <c r="A159" i="4"/>
  <c r="C158" i="4"/>
  <c r="B158" i="4"/>
  <c r="A158" i="4"/>
  <c r="C157" i="4"/>
  <c r="B157" i="4"/>
  <c r="A157" i="4"/>
  <c r="C156" i="4"/>
  <c r="B156" i="4"/>
  <c r="A156" i="4"/>
  <c r="C155" i="4"/>
  <c r="B155" i="4"/>
  <c r="A155" i="4"/>
  <c r="C154" i="4"/>
  <c r="B154" i="4"/>
  <c r="A154" i="4"/>
  <c r="C153" i="4"/>
  <c r="B153" i="4"/>
  <c r="A153" i="4"/>
  <c r="C152" i="4"/>
  <c r="B152" i="4"/>
  <c r="A152" i="4"/>
  <c r="C151" i="4"/>
  <c r="B151" i="4"/>
  <c r="A151" i="4"/>
  <c r="C150" i="4"/>
  <c r="B150" i="4"/>
  <c r="A150" i="4"/>
  <c r="C149" i="4"/>
  <c r="B149" i="4"/>
  <c r="A149" i="4"/>
  <c r="C148" i="4"/>
  <c r="B148" i="4"/>
  <c r="A148" i="4"/>
  <c r="C147" i="4"/>
  <c r="B147" i="4"/>
  <c r="A147" i="4"/>
  <c r="C146" i="4"/>
  <c r="B146" i="4"/>
  <c r="A146" i="4"/>
  <c r="C145" i="4"/>
  <c r="B145" i="4"/>
  <c r="A145" i="4"/>
  <c r="C144" i="4"/>
  <c r="B144" i="4"/>
  <c r="A144" i="4"/>
  <c r="C143" i="4"/>
  <c r="B143" i="4"/>
  <c r="A143" i="4"/>
  <c r="C142" i="4"/>
  <c r="B142" i="4"/>
  <c r="A142" i="4"/>
  <c r="C141" i="4"/>
  <c r="B141" i="4"/>
  <c r="A141" i="4"/>
  <c r="C140" i="4"/>
  <c r="B140" i="4"/>
  <c r="A140" i="4"/>
  <c r="C139" i="4"/>
  <c r="B139" i="4"/>
  <c r="A139" i="4"/>
  <c r="C138" i="4"/>
  <c r="B138" i="4"/>
  <c r="A138" i="4"/>
  <c r="C137" i="4"/>
  <c r="B137" i="4"/>
  <c r="A137" i="4"/>
  <c r="C136" i="4"/>
  <c r="B136" i="4"/>
  <c r="A136" i="4"/>
  <c r="C135" i="4"/>
  <c r="B135" i="4"/>
  <c r="A135" i="4"/>
  <c r="C134" i="4"/>
  <c r="B134" i="4"/>
  <c r="A134" i="4"/>
  <c r="C133" i="4"/>
  <c r="B133" i="4"/>
  <c r="A133" i="4"/>
  <c r="C132" i="4"/>
  <c r="B132" i="4"/>
  <c r="A132" i="4"/>
  <c r="C131" i="4"/>
  <c r="B131" i="4"/>
  <c r="A131" i="4"/>
  <c r="C130" i="4"/>
  <c r="B130" i="4"/>
  <c r="A130" i="4"/>
  <c r="C129" i="4"/>
  <c r="B129" i="4"/>
  <c r="A129" i="4"/>
  <c r="C128" i="4"/>
  <c r="B128" i="4"/>
  <c r="A128" i="4"/>
  <c r="C127" i="4"/>
  <c r="B127" i="4"/>
  <c r="A127" i="4"/>
  <c r="C126" i="4"/>
  <c r="B126" i="4"/>
  <c r="A126" i="4"/>
  <c r="C125" i="4"/>
  <c r="B125" i="4"/>
  <c r="A125" i="4"/>
  <c r="C124" i="4"/>
  <c r="B124" i="4"/>
  <c r="A124" i="4"/>
  <c r="C123" i="4"/>
  <c r="B123" i="4"/>
  <c r="A123" i="4"/>
  <c r="C122" i="4"/>
  <c r="B122" i="4"/>
  <c r="A122" i="4"/>
  <c r="C121" i="4"/>
  <c r="B121" i="4"/>
  <c r="A121" i="4"/>
  <c r="C120" i="4"/>
  <c r="B120" i="4"/>
  <c r="A120" i="4"/>
  <c r="C119" i="4"/>
  <c r="B119" i="4"/>
  <c r="A119" i="4"/>
  <c r="C118" i="4"/>
  <c r="B118" i="4"/>
  <c r="A118" i="4"/>
  <c r="C117" i="4"/>
  <c r="B117" i="4"/>
  <c r="A117" i="4"/>
  <c r="C116" i="4"/>
  <c r="B116" i="4"/>
  <c r="A116" i="4"/>
  <c r="C115" i="4"/>
  <c r="B115" i="4"/>
  <c r="A115" i="4"/>
  <c r="C114" i="4"/>
  <c r="B114" i="4"/>
  <c r="A114" i="4"/>
  <c r="C113" i="4"/>
  <c r="B113" i="4"/>
  <c r="A113" i="4"/>
  <c r="C112" i="4"/>
  <c r="B112" i="4"/>
  <c r="A112" i="4"/>
  <c r="C111" i="4"/>
  <c r="B111" i="4"/>
  <c r="A111" i="4"/>
  <c r="C110" i="4"/>
  <c r="B110" i="4"/>
  <c r="A110" i="4"/>
  <c r="C109" i="4"/>
  <c r="B109" i="4"/>
  <c r="A109" i="4"/>
  <c r="C108" i="4"/>
  <c r="B108" i="4"/>
  <c r="A108" i="4"/>
  <c r="C107" i="4"/>
  <c r="B107" i="4"/>
  <c r="A107" i="4"/>
  <c r="C106" i="4"/>
  <c r="B106" i="4"/>
  <c r="A106" i="4"/>
  <c r="C105" i="4"/>
  <c r="B105" i="4"/>
  <c r="A105" i="4"/>
  <c r="C104" i="4"/>
  <c r="B104" i="4"/>
  <c r="A104" i="4"/>
  <c r="C103" i="4"/>
  <c r="B103" i="4"/>
  <c r="A103" i="4"/>
  <c r="C102" i="4"/>
  <c r="B102" i="4"/>
  <c r="A102" i="4"/>
  <c r="C101" i="4"/>
  <c r="B101" i="4"/>
  <c r="A101" i="4"/>
  <c r="C100" i="4"/>
  <c r="B100" i="4"/>
  <c r="A100" i="4"/>
  <c r="C99" i="4"/>
  <c r="B99" i="4"/>
  <c r="A99" i="4"/>
  <c r="C98" i="4"/>
  <c r="B98" i="4"/>
  <c r="A98" i="4"/>
  <c r="C97" i="4"/>
  <c r="B97" i="4"/>
  <c r="A97" i="4"/>
  <c r="C96" i="4"/>
  <c r="B96" i="4"/>
  <c r="A96" i="4"/>
  <c r="C95" i="4"/>
  <c r="B95" i="4"/>
  <c r="A95" i="4"/>
  <c r="C94" i="4"/>
  <c r="B94" i="4"/>
  <c r="A94" i="4"/>
  <c r="C93" i="4"/>
  <c r="B93" i="4"/>
  <c r="A93" i="4"/>
  <c r="C92" i="4"/>
  <c r="B92" i="4"/>
  <c r="A92" i="4"/>
  <c r="C91" i="4"/>
  <c r="B91" i="4"/>
  <c r="A91" i="4"/>
  <c r="C90" i="4"/>
  <c r="B90" i="4"/>
  <c r="A90" i="4"/>
  <c r="C89" i="4"/>
  <c r="B89" i="4"/>
  <c r="A89" i="4"/>
  <c r="C88" i="4"/>
  <c r="B88" i="4"/>
  <c r="A88" i="4"/>
  <c r="C87" i="4"/>
  <c r="B87" i="4"/>
  <c r="A87" i="4"/>
  <c r="C86" i="4"/>
  <c r="B86" i="4"/>
  <c r="A86" i="4"/>
  <c r="C85" i="4"/>
  <c r="B85" i="4"/>
  <c r="A85" i="4"/>
  <c r="C84" i="4"/>
  <c r="B84" i="4"/>
  <c r="A84" i="4"/>
  <c r="C83" i="4"/>
  <c r="B83" i="4"/>
  <c r="A83" i="4"/>
  <c r="C82" i="4"/>
  <c r="B82" i="4"/>
  <c r="A82" i="4"/>
  <c r="C81" i="4"/>
  <c r="B81" i="4"/>
  <c r="A81" i="4"/>
  <c r="C80" i="4"/>
  <c r="B80" i="4"/>
  <c r="A80" i="4"/>
  <c r="C79" i="4"/>
  <c r="B79" i="4"/>
  <c r="A79" i="4"/>
  <c r="C78" i="4"/>
  <c r="B78" i="4"/>
  <c r="A78" i="4"/>
  <c r="C77" i="4"/>
  <c r="B77" i="4"/>
  <c r="A77" i="4"/>
  <c r="C76" i="4"/>
  <c r="B76" i="4"/>
  <c r="A76" i="4"/>
  <c r="C75" i="4"/>
  <c r="B75" i="4"/>
  <c r="A75" i="4"/>
  <c r="C74" i="4"/>
  <c r="B74" i="4"/>
  <c r="A74" i="4"/>
  <c r="C73" i="4"/>
  <c r="B73" i="4"/>
  <c r="A73" i="4"/>
  <c r="C72" i="4"/>
  <c r="B72" i="4"/>
  <c r="A72" i="4"/>
  <c r="C71" i="4"/>
  <c r="B71" i="4"/>
  <c r="A71" i="4"/>
  <c r="C70" i="4"/>
  <c r="B70" i="4"/>
  <c r="A70" i="4"/>
  <c r="C69" i="4"/>
  <c r="B69" i="4"/>
  <c r="A69" i="4"/>
  <c r="C68" i="4"/>
  <c r="B68" i="4"/>
  <c r="A68" i="4"/>
  <c r="C67" i="4"/>
  <c r="B67" i="4"/>
  <c r="A67" i="4"/>
  <c r="C66" i="4"/>
  <c r="B66" i="4"/>
  <c r="A66" i="4"/>
  <c r="C65" i="4"/>
  <c r="B65" i="4"/>
  <c r="A65" i="4"/>
  <c r="C64" i="4"/>
  <c r="B64" i="4"/>
  <c r="A64" i="4"/>
  <c r="C63" i="4"/>
  <c r="B63" i="4"/>
  <c r="A63" i="4"/>
  <c r="C62" i="4"/>
  <c r="B62" i="4"/>
  <c r="A62" i="4"/>
  <c r="C61" i="4"/>
  <c r="B61" i="4"/>
  <c r="A61" i="4"/>
  <c r="C60" i="4"/>
  <c r="B60" i="4"/>
  <c r="A60" i="4"/>
  <c r="C59" i="4"/>
  <c r="B59" i="4"/>
  <c r="A59" i="4"/>
  <c r="C58" i="4"/>
  <c r="B58" i="4"/>
  <c r="A58" i="4"/>
  <c r="C57" i="4"/>
  <c r="B57" i="4"/>
  <c r="A57" i="4"/>
  <c r="C56" i="4"/>
  <c r="B56" i="4"/>
  <c r="A56" i="4"/>
  <c r="C55" i="4"/>
  <c r="B55" i="4"/>
  <c r="A55" i="4"/>
  <c r="C54" i="4"/>
  <c r="B54" i="4"/>
  <c r="A54" i="4"/>
  <c r="C53" i="4"/>
  <c r="B53" i="4"/>
  <c r="A53" i="4"/>
  <c r="C52" i="4"/>
  <c r="B52" i="4"/>
  <c r="A52" i="4"/>
  <c r="C51" i="4"/>
  <c r="B51" i="4"/>
  <c r="A51" i="4"/>
  <c r="C50" i="4"/>
  <c r="B50" i="4"/>
  <c r="A50" i="4"/>
  <c r="C49" i="4"/>
  <c r="B49" i="4"/>
  <c r="A49" i="4"/>
  <c r="C48" i="4"/>
  <c r="B48" i="4"/>
  <c r="A48" i="4"/>
  <c r="C47" i="4"/>
  <c r="B47" i="4"/>
  <c r="A47" i="4"/>
  <c r="C46" i="4"/>
  <c r="B46" i="4"/>
  <c r="A46" i="4"/>
  <c r="C45" i="4"/>
  <c r="B45" i="4"/>
  <c r="A45" i="4"/>
  <c r="C44" i="4"/>
  <c r="B44" i="4"/>
  <c r="A44" i="4"/>
  <c r="C43" i="4"/>
  <c r="B43" i="4"/>
  <c r="A43" i="4"/>
  <c r="C42" i="4"/>
  <c r="B42" i="4"/>
  <c r="A42" i="4"/>
  <c r="C41" i="4"/>
  <c r="B41" i="4"/>
  <c r="A41" i="4"/>
  <c r="C40" i="4"/>
  <c r="B40" i="4"/>
  <c r="A40" i="4"/>
  <c r="C39" i="4"/>
  <c r="B39" i="4"/>
  <c r="A39" i="4"/>
  <c r="C38" i="4"/>
  <c r="B38" i="4"/>
  <c r="A38" i="4"/>
  <c r="C37" i="4"/>
  <c r="B37" i="4"/>
  <c r="A37" i="4"/>
  <c r="C36" i="4"/>
  <c r="B36" i="4"/>
  <c r="A36" i="4"/>
  <c r="C35" i="4"/>
  <c r="B35" i="4"/>
  <c r="A35" i="4"/>
  <c r="C34" i="4"/>
  <c r="B34" i="4"/>
  <c r="A34" i="4"/>
  <c r="C33" i="4"/>
  <c r="B33" i="4"/>
  <c r="A33" i="4"/>
  <c r="C32" i="4"/>
  <c r="B32" i="4"/>
  <c r="A32" i="4"/>
  <c r="C31" i="4"/>
  <c r="B31" i="4"/>
  <c r="A31" i="4"/>
  <c r="C30" i="4"/>
  <c r="B30" i="4"/>
  <c r="A30" i="4"/>
  <c r="C29" i="4"/>
  <c r="B29" i="4"/>
  <c r="A29" i="4"/>
  <c r="C28" i="4"/>
  <c r="B28" i="4"/>
  <c r="A28" i="4"/>
  <c r="C27" i="4"/>
  <c r="B27" i="4"/>
  <c r="A27" i="4"/>
  <c r="C26" i="4"/>
  <c r="B26" i="4"/>
  <c r="A26" i="4"/>
  <c r="C25" i="4"/>
  <c r="B25" i="4"/>
  <c r="A25" i="4"/>
  <c r="C24" i="4"/>
  <c r="B24" i="4"/>
  <c r="A24" i="4"/>
  <c r="C23" i="4"/>
  <c r="B23" i="4"/>
  <c r="A23" i="4"/>
  <c r="C22" i="4"/>
  <c r="B22" i="4"/>
  <c r="A22" i="4"/>
  <c r="C21" i="4"/>
  <c r="B21" i="4"/>
  <c r="A21" i="4"/>
  <c r="C20" i="4"/>
  <c r="B20" i="4"/>
  <c r="A20" i="4"/>
  <c r="C19" i="4"/>
  <c r="B19" i="4"/>
  <c r="A19" i="4"/>
  <c r="C18" i="4"/>
  <c r="B18" i="4"/>
  <c r="A18" i="4"/>
  <c r="C17" i="4"/>
  <c r="B17" i="4"/>
  <c r="A17" i="4"/>
  <c r="C16" i="4"/>
  <c r="B16" i="4"/>
  <c r="A16" i="4"/>
  <c r="C15" i="4"/>
  <c r="B15" i="4"/>
  <c r="A15" i="4"/>
  <c r="C14" i="4"/>
  <c r="B14" i="4"/>
  <c r="A14" i="4"/>
  <c r="C13" i="4"/>
  <c r="B13" i="4"/>
  <c r="A13" i="4"/>
  <c r="C12" i="4"/>
  <c r="B12" i="4"/>
  <c r="A12" i="4"/>
  <c r="C11" i="4"/>
  <c r="B11" i="4"/>
  <c r="A11" i="4"/>
  <c r="C10" i="4"/>
  <c r="B10" i="4"/>
  <c r="A10" i="4"/>
  <c r="C9" i="4"/>
  <c r="B9" i="4"/>
  <c r="A9" i="4"/>
  <c r="C8" i="4"/>
  <c r="B8" i="4"/>
  <c r="A8" i="4"/>
  <c r="Z9" i="4"/>
  <c r="AA9" i="4"/>
  <c r="AH9" i="4" s="1"/>
  <c r="Z10" i="4"/>
  <c r="AA10" i="4"/>
  <c r="AH10" i="4" s="1"/>
  <c r="Z11" i="4"/>
  <c r="AA11" i="4"/>
  <c r="AH11" i="4" s="1"/>
  <c r="Z12" i="4"/>
  <c r="AA12" i="4"/>
  <c r="AH12" i="4" s="1"/>
  <c r="Z13" i="4"/>
  <c r="AA13" i="4"/>
  <c r="AH13" i="4" s="1"/>
  <c r="Z14" i="4"/>
  <c r="AA14" i="4"/>
  <c r="Z15" i="4"/>
  <c r="AA15" i="4"/>
  <c r="Z16" i="4"/>
  <c r="AA16" i="4"/>
  <c r="AH16" i="4" s="1"/>
  <c r="Z17" i="4"/>
  <c r="AA17" i="4"/>
  <c r="AH17" i="4" s="1"/>
  <c r="Z18" i="4"/>
  <c r="AA18" i="4"/>
  <c r="AH18" i="4" s="1"/>
  <c r="Z19" i="4"/>
  <c r="AA19" i="4"/>
  <c r="AH19" i="4" s="1"/>
  <c r="Z20" i="4"/>
  <c r="AA20" i="4"/>
  <c r="AH20" i="4" s="1"/>
  <c r="Z21" i="4"/>
  <c r="AA21" i="4"/>
  <c r="AH21" i="4" s="1"/>
  <c r="Z22" i="4"/>
  <c r="AA22" i="4"/>
  <c r="AH22" i="4" s="1"/>
  <c r="Z23" i="4"/>
  <c r="AA23" i="4"/>
  <c r="AH23" i="4" s="1"/>
  <c r="Z24" i="4"/>
  <c r="AA24" i="4"/>
  <c r="AH24" i="4" s="1"/>
  <c r="Z25" i="4"/>
  <c r="AA25" i="4"/>
  <c r="AH25" i="4" s="1"/>
  <c r="Z26" i="4"/>
  <c r="AA26" i="4"/>
  <c r="AH26" i="4" s="1"/>
  <c r="Z27" i="4"/>
  <c r="AA27" i="4"/>
  <c r="AH27" i="4" s="1"/>
  <c r="Z28" i="4"/>
  <c r="AA28" i="4"/>
  <c r="AH28" i="4" s="1"/>
  <c r="Z29" i="4"/>
  <c r="AA29" i="4"/>
  <c r="AH29" i="4" s="1"/>
  <c r="Z30" i="4"/>
  <c r="AA30" i="4"/>
  <c r="Z31" i="4"/>
  <c r="AA31" i="4"/>
  <c r="AH31" i="4" s="1"/>
  <c r="Z32" i="4"/>
  <c r="AA32" i="4"/>
  <c r="AH32" i="4" s="1"/>
  <c r="Z33" i="4"/>
  <c r="AA33" i="4"/>
  <c r="AH33" i="4" s="1"/>
  <c r="Z34" i="4"/>
  <c r="AA34" i="4"/>
  <c r="AH34" i="4" s="1"/>
  <c r="Z35" i="4"/>
  <c r="AA35" i="4"/>
  <c r="AH35" i="4" s="1"/>
  <c r="Z36" i="4"/>
  <c r="AA36" i="4"/>
  <c r="AH36" i="4" s="1"/>
  <c r="Z37" i="4"/>
  <c r="AA37" i="4"/>
  <c r="AH37" i="4" s="1"/>
  <c r="Z38" i="4"/>
  <c r="AA38" i="4"/>
  <c r="AH38" i="4" s="1"/>
  <c r="Z39" i="4"/>
  <c r="AA39" i="4"/>
  <c r="Z40" i="4"/>
  <c r="AA40" i="4"/>
  <c r="Z41" i="4"/>
  <c r="AA41" i="4"/>
  <c r="Z42" i="4"/>
  <c r="AA42" i="4"/>
  <c r="Z43" i="4"/>
  <c r="AA43" i="4"/>
  <c r="Z44" i="4"/>
  <c r="AA44" i="4"/>
  <c r="Z45" i="4"/>
  <c r="AA45" i="4"/>
  <c r="Z46" i="4"/>
  <c r="AA46" i="4"/>
  <c r="Z47" i="4"/>
  <c r="AA47" i="4"/>
  <c r="Z48" i="4"/>
  <c r="AA48" i="4"/>
  <c r="Z49" i="4"/>
  <c r="AA49" i="4"/>
  <c r="Z50" i="4"/>
  <c r="AA50" i="4"/>
  <c r="Z51" i="4"/>
  <c r="AA51" i="4"/>
  <c r="Z52" i="4"/>
  <c r="AA52" i="4"/>
  <c r="Z53" i="4"/>
  <c r="AA53" i="4"/>
  <c r="Z54" i="4"/>
  <c r="AA54" i="4"/>
  <c r="Z55" i="4"/>
  <c r="AA55" i="4"/>
  <c r="Z56" i="4"/>
  <c r="AA56" i="4"/>
  <c r="Z57" i="4"/>
  <c r="AA57" i="4"/>
  <c r="Z58" i="4"/>
  <c r="AA58" i="4"/>
  <c r="Z59" i="4"/>
  <c r="AA59" i="4"/>
  <c r="Z60" i="4"/>
  <c r="AA60" i="4"/>
  <c r="Z61" i="4"/>
  <c r="AA61" i="4"/>
  <c r="Z62" i="4"/>
  <c r="AA62" i="4"/>
  <c r="Z63" i="4"/>
  <c r="AA63" i="4"/>
  <c r="Z64" i="4"/>
  <c r="AA64" i="4"/>
  <c r="Z65" i="4"/>
  <c r="AA65" i="4"/>
  <c r="Z66" i="4"/>
  <c r="AA66" i="4"/>
  <c r="Z67" i="4"/>
  <c r="AA67" i="4"/>
  <c r="Z68" i="4"/>
  <c r="AA68" i="4"/>
  <c r="Z69" i="4"/>
  <c r="AA69" i="4"/>
  <c r="Z70" i="4"/>
  <c r="AA70" i="4"/>
  <c r="Z71" i="4"/>
  <c r="AA71" i="4"/>
  <c r="Z72" i="4"/>
  <c r="AA72" i="4"/>
  <c r="Z73" i="4"/>
  <c r="AA73" i="4"/>
  <c r="Z74" i="4"/>
  <c r="AA74" i="4"/>
  <c r="Z75" i="4"/>
  <c r="AA75" i="4"/>
  <c r="Z76" i="4"/>
  <c r="AA76" i="4"/>
  <c r="Z77" i="4"/>
  <c r="AA77" i="4"/>
  <c r="Z78" i="4"/>
  <c r="AA78" i="4"/>
  <c r="Z79" i="4"/>
  <c r="AA79" i="4"/>
  <c r="Z80" i="4"/>
  <c r="AA80" i="4"/>
  <c r="Z81" i="4"/>
  <c r="AA81" i="4"/>
  <c r="Z82" i="4"/>
  <c r="AA82" i="4"/>
  <c r="Z83" i="4"/>
  <c r="AA83" i="4"/>
  <c r="Z84" i="4"/>
  <c r="AA84" i="4"/>
  <c r="Z85" i="4"/>
  <c r="AA85" i="4"/>
  <c r="Z86" i="4"/>
  <c r="AA86" i="4"/>
  <c r="Z87" i="4"/>
  <c r="AA87" i="4"/>
  <c r="Z88" i="4"/>
  <c r="AA88" i="4"/>
  <c r="Z89" i="4"/>
  <c r="AA89" i="4"/>
  <c r="Z90" i="4"/>
  <c r="AA90" i="4"/>
  <c r="Z91" i="4"/>
  <c r="AA91" i="4"/>
  <c r="Z92" i="4"/>
  <c r="AA92" i="4"/>
  <c r="Z93" i="4"/>
  <c r="AA93" i="4"/>
  <c r="Z94" i="4"/>
  <c r="AA94" i="4"/>
  <c r="Z95" i="4"/>
  <c r="AA95" i="4"/>
  <c r="Z96" i="4"/>
  <c r="AA96" i="4"/>
  <c r="Z97" i="4"/>
  <c r="AA97" i="4"/>
  <c r="Z98" i="4"/>
  <c r="AA98" i="4"/>
  <c r="Z99" i="4"/>
  <c r="AA99" i="4"/>
  <c r="Z100" i="4"/>
  <c r="AA100" i="4"/>
  <c r="Z101" i="4"/>
  <c r="AA101" i="4"/>
  <c r="Z102" i="4"/>
  <c r="AA102" i="4"/>
  <c r="Z103" i="4"/>
  <c r="AA103" i="4"/>
  <c r="Z104" i="4"/>
  <c r="AA104" i="4"/>
  <c r="Z105" i="4"/>
  <c r="AA105" i="4"/>
  <c r="Z106" i="4"/>
  <c r="AA106" i="4"/>
  <c r="Z107" i="4"/>
  <c r="AA107" i="4"/>
  <c r="Z108" i="4"/>
  <c r="AA108" i="4"/>
  <c r="Z109" i="4"/>
  <c r="AA109" i="4"/>
  <c r="Z110" i="4"/>
  <c r="AA110" i="4"/>
  <c r="Z111" i="4"/>
  <c r="AA111" i="4"/>
  <c r="Z112" i="4"/>
  <c r="AA112" i="4"/>
  <c r="Z113" i="4"/>
  <c r="AA113" i="4"/>
  <c r="Z114" i="4"/>
  <c r="AA114" i="4"/>
  <c r="Z115" i="4"/>
  <c r="AA115" i="4"/>
  <c r="Z116" i="4"/>
  <c r="AA116" i="4"/>
  <c r="Z117" i="4"/>
  <c r="AA117" i="4"/>
  <c r="Z118" i="4"/>
  <c r="AA118" i="4"/>
  <c r="Z119" i="4"/>
  <c r="AA119" i="4"/>
  <c r="Z120" i="4"/>
  <c r="AA120" i="4"/>
  <c r="Z121" i="4"/>
  <c r="AA121" i="4"/>
  <c r="Z122" i="4"/>
  <c r="AA122" i="4"/>
  <c r="Z123" i="4"/>
  <c r="AA123" i="4"/>
  <c r="Z124" i="4"/>
  <c r="AA124" i="4"/>
  <c r="Z125" i="4"/>
  <c r="AA125" i="4"/>
  <c r="Z126" i="4"/>
  <c r="AA126" i="4"/>
  <c r="Z127" i="4"/>
  <c r="AA127" i="4"/>
  <c r="Z128" i="4"/>
  <c r="AA128" i="4"/>
  <c r="Z129" i="4"/>
  <c r="AA129" i="4"/>
  <c r="Z130" i="4"/>
  <c r="AA130" i="4"/>
  <c r="Z131" i="4"/>
  <c r="AA131" i="4"/>
  <c r="Z132" i="4"/>
  <c r="AA132" i="4"/>
  <c r="Z133" i="4"/>
  <c r="AA133" i="4"/>
  <c r="Z134" i="4"/>
  <c r="AA134" i="4"/>
  <c r="Z135" i="4"/>
  <c r="AA135" i="4"/>
  <c r="Z136" i="4"/>
  <c r="AA136" i="4"/>
  <c r="Z137" i="4"/>
  <c r="AA137" i="4"/>
  <c r="Z138" i="4"/>
  <c r="AA138" i="4"/>
  <c r="Z139" i="4"/>
  <c r="AA139" i="4"/>
  <c r="Z140" i="4"/>
  <c r="AA140" i="4"/>
  <c r="Z141" i="4"/>
  <c r="AA141" i="4"/>
  <c r="Z142" i="4"/>
  <c r="AA142" i="4"/>
  <c r="Z143" i="4"/>
  <c r="AA143" i="4"/>
  <c r="Z144" i="4"/>
  <c r="AA144" i="4"/>
  <c r="Z145" i="4"/>
  <c r="AA145" i="4"/>
  <c r="Z146" i="4"/>
  <c r="AA146" i="4"/>
  <c r="Z147" i="4"/>
  <c r="AA147" i="4"/>
  <c r="Z148" i="4"/>
  <c r="AA148" i="4"/>
  <c r="Z149" i="4"/>
  <c r="AA149" i="4"/>
  <c r="Z150" i="4"/>
  <c r="AA150" i="4"/>
  <c r="Z151" i="4"/>
  <c r="AA151" i="4"/>
  <c r="Z152" i="4"/>
  <c r="AA152" i="4"/>
  <c r="Z153" i="4"/>
  <c r="AA153" i="4"/>
  <c r="Z154" i="4"/>
  <c r="AA154" i="4"/>
  <c r="Z155" i="4"/>
  <c r="AA155" i="4"/>
  <c r="Z156" i="4"/>
  <c r="AA156" i="4"/>
  <c r="Z157" i="4"/>
  <c r="AA157" i="4"/>
  <c r="Z158" i="4"/>
  <c r="AA158" i="4"/>
  <c r="Z159" i="4"/>
  <c r="AA159" i="4"/>
  <c r="Z160" i="4"/>
  <c r="AA160" i="4"/>
  <c r="Z161" i="4"/>
  <c r="AA161" i="4"/>
  <c r="Z162" i="4"/>
  <c r="AA162" i="4"/>
  <c r="Z163" i="4"/>
  <c r="AA163" i="4"/>
  <c r="Z164" i="4"/>
  <c r="AA164" i="4"/>
  <c r="Z165" i="4"/>
  <c r="AA165" i="4"/>
  <c r="Z166" i="4"/>
  <c r="AA166" i="4"/>
  <c r="Z167" i="4"/>
  <c r="AA167" i="4"/>
  <c r="Z168" i="4"/>
  <c r="AA168" i="4"/>
  <c r="Z169" i="4"/>
  <c r="AA169" i="4"/>
  <c r="Z170" i="4"/>
  <c r="AA170" i="4"/>
  <c r="Z171" i="4"/>
  <c r="AA171" i="4"/>
  <c r="Z172" i="4"/>
  <c r="AA172" i="4"/>
  <c r="Z173" i="4"/>
  <c r="AA173" i="4"/>
  <c r="Z174" i="4"/>
  <c r="AA174" i="4"/>
  <c r="Z175" i="4"/>
  <c r="AA175" i="4"/>
  <c r="Z176" i="4"/>
  <c r="AA176" i="4"/>
  <c r="Z177" i="4"/>
  <c r="AA177" i="4"/>
  <c r="Z178" i="4"/>
  <c r="AA178" i="4"/>
  <c r="Z179" i="4"/>
  <c r="AA179" i="4"/>
  <c r="Z180" i="4"/>
  <c r="AA180" i="4"/>
  <c r="Z181" i="4"/>
  <c r="AA181" i="4"/>
  <c r="Z182" i="4"/>
  <c r="AA182" i="4"/>
  <c r="Z183" i="4"/>
  <c r="AA183" i="4"/>
  <c r="Z184" i="4"/>
  <c r="AA184" i="4"/>
  <c r="Z185" i="4"/>
  <c r="AA185" i="4"/>
  <c r="Z186" i="4"/>
  <c r="AA186" i="4"/>
  <c r="Z187" i="4"/>
  <c r="AA187" i="4"/>
  <c r="Z188" i="4"/>
  <c r="AA188" i="4"/>
  <c r="Z189" i="4"/>
  <c r="AA189" i="4"/>
  <c r="Z190" i="4"/>
  <c r="AA190" i="4"/>
  <c r="Z191" i="4"/>
  <c r="AA191" i="4"/>
  <c r="Z192" i="4"/>
  <c r="AA192" i="4"/>
  <c r="Z193" i="4"/>
  <c r="AA193" i="4"/>
  <c r="Z194" i="4"/>
  <c r="AA194" i="4"/>
  <c r="Z195" i="4"/>
  <c r="AA195" i="4"/>
  <c r="Z196" i="4"/>
  <c r="AA196" i="4"/>
  <c r="Z197" i="4"/>
  <c r="AA197" i="4"/>
  <c r="Z198" i="4"/>
  <c r="AA198" i="4"/>
  <c r="Z199" i="4"/>
  <c r="AA199" i="4"/>
  <c r="Z200" i="4"/>
  <c r="AA200" i="4"/>
  <c r="Z201" i="4"/>
  <c r="AA201" i="4"/>
  <c r="Z202" i="4"/>
  <c r="AA202" i="4"/>
  <c r="Z203" i="4"/>
  <c r="AA203" i="4"/>
  <c r="Z204" i="4"/>
  <c r="AA204" i="4"/>
  <c r="Z205" i="4"/>
  <c r="AA205" i="4"/>
  <c r="Z206" i="4"/>
  <c r="AA206" i="4"/>
  <c r="Z207" i="4"/>
  <c r="AA207" i="4"/>
  <c r="Z208" i="4"/>
  <c r="AA208" i="4"/>
  <c r="Z209" i="4"/>
  <c r="AA209" i="4"/>
  <c r="Z210" i="4"/>
  <c r="AA210" i="4"/>
  <c r="Z211" i="4"/>
  <c r="AA211" i="4"/>
  <c r="Z212" i="4"/>
  <c r="AA212" i="4"/>
  <c r="Z213" i="4"/>
  <c r="AA213" i="4"/>
  <c r="Z214" i="4"/>
  <c r="AA214" i="4"/>
  <c r="Z215" i="4"/>
  <c r="AA215" i="4"/>
  <c r="Z216" i="4"/>
  <c r="AA216" i="4"/>
  <c r="Z217" i="4"/>
  <c r="AA217" i="4"/>
  <c r="Z218" i="4"/>
  <c r="AA218" i="4"/>
  <c r="Z219" i="4"/>
  <c r="AA219" i="4"/>
  <c r="Z220" i="4"/>
  <c r="AA220" i="4"/>
  <c r="Z221" i="4"/>
  <c r="AA221" i="4"/>
  <c r="Z222" i="4"/>
  <c r="AA222" i="4"/>
  <c r="Z223" i="4"/>
  <c r="AA223" i="4"/>
  <c r="Z224" i="4"/>
  <c r="AA224" i="4"/>
  <c r="Z225" i="4"/>
  <c r="AA225" i="4"/>
  <c r="Z226" i="4"/>
  <c r="AA226" i="4"/>
  <c r="Z227" i="4"/>
  <c r="AA227" i="4"/>
  <c r="Z228" i="4"/>
  <c r="AA228" i="4"/>
  <c r="Z229" i="4"/>
  <c r="AA229" i="4"/>
  <c r="Z230" i="4"/>
  <c r="AA230" i="4"/>
  <c r="Z231" i="4"/>
  <c r="AA231" i="4"/>
  <c r="Z232" i="4"/>
  <c r="AA232" i="4"/>
  <c r="Z233" i="4"/>
  <c r="AA233" i="4"/>
  <c r="Z234" i="4"/>
  <c r="AA234" i="4"/>
  <c r="Z235" i="4"/>
  <c r="AA235" i="4"/>
  <c r="Z236" i="4"/>
  <c r="AA236" i="4"/>
  <c r="Z237" i="4"/>
  <c r="AA237" i="4"/>
  <c r="Z238" i="4"/>
  <c r="AA238" i="4"/>
  <c r="Z239" i="4"/>
  <c r="AA239" i="4"/>
  <c r="Z240" i="4"/>
  <c r="AA240" i="4"/>
  <c r="Z241" i="4"/>
  <c r="AA241" i="4"/>
  <c r="Z242" i="4"/>
  <c r="AA242" i="4"/>
  <c r="Z243" i="4"/>
  <c r="AA243" i="4"/>
  <c r="Z244" i="4"/>
  <c r="AA244" i="4"/>
  <c r="Z245" i="4"/>
  <c r="AA245" i="4"/>
  <c r="Z246" i="4"/>
  <c r="AA246" i="4"/>
  <c r="Z247" i="4"/>
  <c r="AA247" i="4"/>
  <c r="Z248" i="4"/>
  <c r="AA248" i="4"/>
  <c r="Z249" i="4"/>
  <c r="AA249" i="4"/>
  <c r="Z250" i="4"/>
  <c r="AA250" i="4"/>
  <c r="Z251" i="4"/>
  <c r="AA251" i="4"/>
  <c r="Z252" i="4"/>
  <c r="AA252" i="4"/>
  <c r="Z253" i="4"/>
  <c r="AA253" i="4"/>
  <c r="Z254" i="4"/>
  <c r="AA254" i="4"/>
  <c r="Z255" i="4"/>
  <c r="AA255" i="4"/>
  <c r="Z256" i="4"/>
  <c r="AA256" i="4"/>
  <c r="Z257" i="4"/>
  <c r="AA257" i="4"/>
  <c r="AA8" i="4"/>
  <c r="AH8" i="4" s="1"/>
  <c r="Z8" i="4"/>
  <c r="AH14" i="4"/>
  <c r="AH15" i="4"/>
  <c r="AH30" i="4"/>
  <c r="AH39" i="4"/>
  <c r="U21" i="33" l="1"/>
  <c r="V20" i="33"/>
  <c r="R21" i="33"/>
  <c r="V21" i="33" s="1"/>
  <c r="Q22" i="35"/>
  <c r="Q23" i="35" s="1"/>
  <c r="S21" i="35"/>
  <c r="V20" i="36"/>
  <c r="U21" i="35"/>
  <c r="U22" i="35"/>
  <c r="Q23" i="34"/>
  <c r="U22" i="34"/>
  <c r="S22" i="34"/>
  <c r="R22" i="34"/>
  <c r="T21" i="35"/>
  <c r="V21" i="35"/>
  <c r="T21" i="33"/>
  <c r="S22" i="33"/>
  <c r="U22" i="33"/>
  <c r="R22" i="33"/>
  <c r="Q23" i="33"/>
  <c r="V21" i="34"/>
  <c r="T21" i="34"/>
  <c r="V21" i="36"/>
  <c r="T21" i="36"/>
  <c r="Q23" i="36"/>
  <c r="R22" i="36"/>
  <c r="U22" i="36"/>
  <c r="S22" i="36"/>
  <c r="AH258" i="4"/>
  <c r="E22" i="29"/>
  <c r="E21" i="29"/>
  <c r="E20" i="29"/>
  <c r="E19" i="29"/>
  <c r="E18" i="29"/>
  <c r="E17" i="29"/>
  <c r="E16" i="29"/>
  <c r="E9" i="29"/>
  <c r="E15" i="29"/>
  <c r="E14" i="29"/>
  <c r="E27" i="29"/>
  <c r="E13" i="29"/>
  <c r="E26" i="29"/>
  <c r="E12" i="29"/>
  <c r="E25" i="29"/>
  <c r="E11" i="29"/>
  <c r="E24" i="29"/>
  <c r="E10" i="29"/>
  <c r="E23" i="29"/>
  <c r="J15" i="30"/>
  <c r="J16" i="30"/>
  <c r="J17" i="30"/>
  <c r="J18" i="30"/>
  <c r="J19" i="30"/>
  <c r="J20" i="30"/>
  <c r="J21" i="30"/>
  <c r="J22" i="30"/>
  <c r="J23" i="30"/>
  <c r="J24" i="30"/>
  <c r="J25" i="30"/>
  <c r="J26" i="30"/>
  <c r="J27" i="30"/>
  <c r="J28" i="30"/>
  <c r="J29" i="30"/>
  <c r="J30" i="30"/>
  <c r="J31" i="30"/>
  <c r="J32" i="30"/>
  <c r="R22" i="35" l="1"/>
  <c r="S22" i="35"/>
  <c r="V22" i="34"/>
  <c r="T22" i="34"/>
  <c r="Q24" i="33"/>
  <c r="U23" i="33"/>
  <c r="S23" i="33"/>
  <c r="R23" i="33"/>
  <c r="V22" i="33"/>
  <c r="T22" i="33"/>
  <c r="T22" i="35"/>
  <c r="V22" i="35"/>
  <c r="R23" i="35"/>
  <c r="U23" i="35"/>
  <c r="S23" i="35"/>
  <c r="Q24" i="35"/>
  <c r="S23" i="34"/>
  <c r="U23" i="34"/>
  <c r="R23" i="34"/>
  <c r="Q24" i="34"/>
  <c r="V22" i="36"/>
  <c r="T22" i="36"/>
  <c r="S23" i="36"/>
  <c r="R23" i="36"/>
  <c r="Q24" i="36"/>
  <c r="U23" i="36"/>
  <c r="V23" i="33" l="1"/>
  <c r="T23" i="33"/>
  <c r="T23" i="36"/>
  <c r="V23" i="36"/>
  <c r="U24" i="33"/>
  <c r="S24" i="33"/>
  <c r="R24" i="33"/>
  <c r="Q25" i="33"/>
  <c r="U24" i="36"/>
  <c r="S24" i="36"/>
  <c r="R24" i="36"/>
  <c r="Q25" i="36"/>
  <c r="Q25" i="34"/>
  <c r="U24" i="34"/>
  <c r="S24" i="34"/>
  <c r="R24" i="34"/>
  <c r="U24" i="35"/>
  <c r="S24" i="35"/>
  <c r="R24" i="35"/>
  <c r="Q25" i="35"/>
  <c r="T23" i="35"/>
  <c r="V23" i="35"/>
  <c r="T23" i="34"/>
  <c r="V23" i="34"/>
  <c r="Q26" i="36" l="1"/>
  <c r="S25" i="36"/>
  <c r="U25" i="36"/>
  <c r="R25" i="36"/>
  <c r="T24" i="35"/>
  <c r="V24" i="35"/>
  <c r="V24" i="33"/>
  <c r="T24" i="33"/>
  <c r="S25" i="34"/>
  <c r="Q26" i="34"/>
  <c r="R25" i="34"/>
  <c r="U25" i="34"/>
  <c r="U25" i="35"/>
  <c r="S25" i="35"/>
  <c r="Q26" i="35"/>
  <c r="R25" i="35"/>
  <c r="Q26" i="33"/>
  <c r="U25" i="33"/>
  <c r="R25" i="33"/>
  <c r="S25" i="33"/>
  <c r="V24" i="34"/>
  <c r="T24" i="34"/>
  <c r="T24" i="36"/>
  <c r="V24" i="36"/>
  <c r="AR17" i="3"/>
  <c r="AR16" i="3"/>
  <c r="AR15" i="3"/>
  <c r="AR14" i="3"/>
  <c r="AR13" i="3"/>
  <c r="AR12" i="3"/>
  <c r="AR11" i="3"/>
  <c r="AR6" i="3"/>
  <c r="R26" i="35" l="1"/>
  <c r="S26" i="35"/>
  <c r="Q27" i="35"/>
  <c r="U26" i="35"/>
  <c r="V25" i="36"/>
  <c r="T25" i="36"/>
  <c r="Q27" i="36"/>
  <c r="U26" i="36"/>
  <c r="S26" i="36"/>
  <c r="R26" i="36"/>
  <c r="V25" i="34"/>
  <c r="T25" i="34"/>
  <c r="U26" i="34"/>
  <c r="S26" i="34"/>
  <c r="R26" i="34"/>
  <c r="Q27" i="34"/>
  <c r="T25" i="35"/>
  <c r="V25" i="35"/>
  <c r="V25" i="33"/>
  <c r="T25" i="33"/>
  <c r="U26" i="33"/>
  <c r="S26" i="33"/>
  <c r="R26" i="33"/>
  <c r="Q27" i="33"/>
  <c r="U27" i="33" l="1"/>
  <c r="Q28" i="33"/>
  <c r="S27" i="33"/>
  <c r="R27" i="33"/>
  <c r="V26" i="33"/>
  <c r="T26" i="33"/>
  <c r="S27" i="36"/>
  <c r="R27" i="36"/>
  <c r="Q28" i="36"/>
  <c r="U27" i="36"/>
  <c r="Q28" i="35"/>
  <c r="U27" i="35"/>
  <c r="S27" i="35"/>
  <c r="R27" i="35"/>
  <c r="V26" i="36"/>
  <c r="T26" i="36"/>
  <c r="U27" i="34"/>
  <c r="Q28" i="34"/>
  <c r="S27" i="34"/>
  <c r="R27" i="34"/>
  <c r="V26" i="34"/>
  <c r="T26" i="34"/>
  <c r="T26" i="35"/>
  <c r="V26" i="35"/>
  <c r="T27" i="34" l="1"/>
  <c r="V27" i="34"/>
  <c r="R28" i="34"/>
  <c r="Q29" i="34"/>
  <c r="U28" i="34"/>
  <c r="S28" i="34"/>
  <c r="Q29" i="35"/>
  <c r="S28" i="35"/>
  <c r="R28" i="35"/>
  <c r="U28" i="35"/>
  <c r="V27" i="36"/>
  <c r="T27" i="36"/>
  <c r="V27" i="35"/>
  <c r="T27" i="35"/>
  <c r="V27" i="33"/>
  <c r="T27" i="33"/>
  <c r="U28" i="36"/>
  <c r="Q29" i="36"/>
  <c r="S28" i="36"/>
  <c r="R28" i="36"/>
  <c r="U28" i="33"/>
  <c r="S28" i="33"/>
  <c r="R28" i="33"/>
  <c r="Q29" i="33"/>
  <c r="Q30" i="33" l="1"/>
  <c r="U29" i="33"/>
  <c r="S29" i="33"/>
  <c r="R29" i="33"/>
  <c r="V28" i="33"/>
  <c r="T28" i="33"/>
  <c r="V28" i="35"/>
  <c r="T28" i="35"/>
  <c r="Q30" i="35"/>
  <c r="U29" i="35"/>
  <c r="S29" i="35"/>
  <c r="R29" i="35"/>
  <c r="V28" i="36"/>
  <c r="T28" i="36"/>
  <c r="Q30" i="34"/>
  <c r="S29" i="34"/>
  <c r="R29" i="34"/>
  <c r="U29" i="34"/>
  <c r="S29" i="36"/>
  <c r="R29" i="36"/>
  <c r="U29" i="36"/>
  <c r="Q30" i="36"/>
  <c r="V28" i="34"/>
  <c r="T28" i="34"/>
  <c r="U30" i="35" l="1"/>
  <c r="S30" i="35"/>
  <c r="R30" i="35"/>
  <c r="Q31" i="35"/>
  <c r="V29" i="34"/>
  <c r="T29" i="34"/>
  <c r="S30" i="34"/>
  <c r="R30" i="34"/>
  <c r="Q31" i="34"/>
  <c r="U30" i="34"/>
  <c r="T29" i="33"/>
  <c r="V29" i="33"/>
  <c r="Q31" i="36"/>
  <c r="U30" i="36"/>
  <c r="S30" i="36"/>
  <c r="R30" i="36"/>
  <c r="V29" i="36"/>
  <c r="T29" i="36"/>
  <c r="V29" i="35"/>
  <c r="T29" i="35"/>
  <c r="U30" i="33"/>
  <c r="S30" i="33"/>
  <c r="R30" i="33"/>
  <c r="Q31" i="33"/>
  <c r="Q32" i="34" l="1"/>
  <c r="U31" i="34"/>
  <c r="S31" i="34"/>
  <c r="R31" i="34"/>
  <c r="T30" i="36"/>
  <c r="V30" i="36"/>
  <c r="S31" i="36"/>
  <c r="R31" i="36"/>
  <c r="Q32" i="36"/>
  <c r="U31" i="36"/>
  <c r="Q32" i="35"/>
  <c r="R31" i="35"/>
  <c r="U31" i="35"/>
  <c r="S31" i="35"/>
  <c r="T30" i="35"/>
  <c r="V30" i="35"/>
  <c r="V30" i="34"/>
  <c r="T30" i="34"/>
  <c r="Q32" i="33"/>
  <c r="U31" i="33"/>
  <c r="R31" i="33"/>
  <c r="S31" i="33"/>
  <c r="V30" i="33"/>
  <c r="T30" i="33"/>
  <c r="T31" i="36" l="1"/>
  <c r="V31" i="36"/>
  <c r="Q33" i="36"/>
  <c r="U32" i="36"/>
  <c r="S32" i="36"/>
  <c r="R32" i="36"/>
  <c r="V31" i="34"/>
  <c r="T31" i="34"/>
  <c r="V31" i="35"/>
  <c r="T31" i="35"/>
  <c r="V31" i="33"/>
  <c r="T31" i="33"/>
  <c r="U32" i="33"/>
  <c r="R32" i="33"/>
  <c r="S32" i="33"/>
  <c r="Q33" i="33"/>
  <c r="S32" i="35"/>
  <c r="Q33" i="35"/>
  <c r="U32" i="35"/>
  <c r="R32" i="35"/>
  <c r="U32" i="34"/>
  <c r="R32" i="34"/>
  <c r="Q33" i="34"/>
  <c r="S32" i="34"/>
  <c r="V32" i="36" l="1"/>
  <c r="T32" i="36"/>
  <c r="Q34" i="34"/>
  <c r="U33" i="34"/>
  <c r="S33" i="34"/>
  <c r="R33" i="34"/>
  <c r="V32" i="35"/>
  <c r="T32" i="35"/>
  <c r="Q34" i="36"/>
  <c r="U33" i="36"/>
  <c r="S33" i="36"/>
  <c r="R33" i="36"/>
  <c r="U33" i="35"/>
  <c r="S33" i="35"/>
  <c r="R33" i="35"/>
  <c r="Q34" i="35"/>
  <c r="Q34" i="33"/>
  <c r="U33" i="33"/>
  <c r="S33" i="33"/>
  <c r="R33" i="33"/>
  <c r="V32" i="34"/>
  <c r="T32" i="34"/>
  <c r="V32" i="33"/>
  <c r="T32" i="33"/>
  <c r="R34" i="36" l="1"/>
  <c r="Q35" i="36"/>
  <c r="U34" i="36"/>
  <c r="S34" i="36"/>
  <c r="T33" i="33"/>
  <c r="V33" i="33"/>
  <c r="U34" i="33"/>
  <c r="S34" i="33"/>
  <c r="R34" i="33"/>
  <c r="Q35" i="33"/>
  <c r="V33" i="36"/>
  <c r="T33" i="36"/>
  <c r="V33" i="34"/>
  <c r="T33" i="34"/>
  <c r="Q35" i="34"/>
  <c r="R34" i="34"/>
  <c r="U34" i="34"/>
  <c r="S34" i="34"/>
  <c r="U34" i="35"/>
  <c r="R34" i="35"/>
  <c r="Q35" i="35"/>
  <c r="S34" i="35"/>
  <c r="T33" i="35"/>
  <c r="V33" i="35"/>
  <c r="V34" i="33" l="1"/>
  <c r="T34" i="33"/>
  <c r="T34" i="34"/>
  <c r="V34" i="34"/>
  <c r="Q36" i="33"/>
  <c r="U35" i="33"/>
  <c r="R35" i="33"/>
  <c r="S35" i="33"/>
  <c r="Q36" i="34"/>
  <c r="U35" i="34"/>
  <c r="S35" i="34"/>
  <c r="R35" i="34"/>
  <c r="V34" i="35"/>
  <c r="T34" i="35"/>
  <c r="R35" i="36"/>
  <c r="Q36" i="36"/>
  <c r="U35" i="36"/>
  <c r="S35" i="36"/>
  <c r="Q36" i="35"/>
  <c r="R35" i="35"/>
  <c r="U35" i="35"/>
  <c r="S35" i="35"/>
  <c r="T34" i="36"/>
  <c r="V34" i="36"/>
  <c r="V35" i="36" l="1"/>
  <c r="T35" i="36"/>
  <c r="T35" i="33"/>
  <c r="V35" i="33"/>
  <c r="U36" i="33"/>
  <c r="S36" i="33"/>
  <c r="R36" i="33"/>
  <c r="Q37" i="33"/>
  <c r="Q37" i="36"/>
  <c r="U36" i="36"/>
  <c r="S36" i="36"/>
  <c r="R36" i="36"/>
  <c r="U36" i="34"/>
  <c r="S36" i="34"/>
  <c r="R36" i="34"/>
  <c r="Q37" i="34"/>
  <c r="V35" i="35"/>
  <c r="T35" i="35"/>
  <c r="Q37" i="35"/>
  <c r="U36" i="35"/>
  <c r="S36" i="35"/>
  <c r="R36" i="35"/>
  <c r="V35" i="34"/>
  <c r="T35" i="34"/>
  <c r="Q38" i="36" l="1"/>
  <c r="U37" i="36"/>
  <c r="S37" i="36"/>
  <c r="R37" i="36"/>
  <c r="Q38" i="33"/>
  <c r="U37" i="33"/>
  <c r="S37" i="33"/>
  <c r="R37" i="33"/>
  <c r="V36" i="33"/>
  <c r="T36" i="33"/>
  <c r="S37" i="35"/>
  <c r="R37" i="35"/>
  <c r="Q38" i="35"/>
  <c r="U37" i="35"/>
  <c r="S37" i="34"/>
  <c r="Q38" i="34"/>
  <c r="U37" i="34"/>
  <c r="R37" i="34"/>
  <c r="V36" i="34"/>
  <c r="T36" i="34"/>
  <c r="T36" i="35"/>
  <c r="V36" i="35"/>
  <c r="V36" i="36"/>
  <c r="T36" i="36"/>
  <c r="V37" i="35" l="1"/>
  <c r="T37" i="35"/>
  <c r="T37" i="33"/>
  <c r="V37" i="33"/>
  <c r="Q39" i="35"/>
  <c r="R38" i="35"/>
  <c r="U38" i="35"/>
  <c r="S38" i="35"/>
  <c r="R38" i="33"/>
  <c r="U38" i="33"/>
  <c r="S38" i="33"/>
  <c r="Q39" i="33"/>
  <c r="V37" i="34"/>
  <c r="T37" i="34"/>
  <c r="V37" i="36"/>
  <c r="T37" i="36"/>
  <c r="S38" i="34"/>
  <c r="R38" i="34"/>
  <c r="U38" i="34"/>
  <c r="Q39" i="34"/>
  <c r="S38" i="36"/>
  <c r="R38" i="36"/>
  <c r="Q39" i="36"/>
  <c r="U38" i="36"/>
  <c r="V38" i="35" l="1"/>
  <c r="T38" i="35"/>
  <c r="S39" i="35"/>
  <c r="Q40" i="35"/>
  <c r="U39" i="35"/>
  <c r="R39" i="35"/>
  <c r="U39" i="34"/>
  <c r="R39" i="34"/>
  <c r="S39" i="34"/>
  <c r="Q40" i="34"/>
  <c r="T38" i="34"/>
  <c r="V38" i="34"/>
  <c r="Q40" i="33"/>
  <c r="U39" i="33"/>
  <c r="S39" i="33"/>
  <c r="R39" i="33"/>
  <c r="U39" i="36"/>
  <c r="S39" i="36"/>
  <c r="R39" i="36"/>
  <c r="Q40" i="36"/>
  <c r="T38" i="36"/>
  <c r="V38" i="36"/>
  <c r="V38" i="33"/>
  <c r="T38" i="33"/>
  <c r="T39" i="33" l="1"/>
  <c r="V39" i="33"/>
  <c r="V39" i="34"/>
  <c r="T39" i="34"/>
  <c r="T39" i="36"/>
  <c r="V39" i="36"/>
  <c r="V39" i="35"/>
  <c r="T39" i="35"/>
  <c r="Q41" i="35"/>
  <c r="S40" i="35"/>
  <c r="R40" i="35"/>
  <c r="U40" i="35"/>
  <c r="R40" i="33"/>
  <c r="U40" i="33"/>
  <c r="S40" i="33"/>
  <c r="Q41" i="33"/>
  <c r="Q41" i="36"/>
  <c r="U40" i="36"/>
  <c r="S40" i="36"/>
  <c r="R40" i="36"/>
  <c r="U40" i="34"/>
  <c r="Q41" i="34"/>
  <c r="S40" i="34"/>
  <c r="R40" i="34"/>
  <c r="V40" i="36" l="1"/>
  <c r="T40" i="36"/>
  <c r="U41" i="36"/>
  <c r="Q42" i="36"/>
  <c r="S41" i="36"/>
  <c r="R41" i="36"/>
  <c r="V40" i="34"/>
  <c r="T40" i="34"/>
  <c r="S41" i="33"/>
  <c r="Q42" i="33"/>
  <c r="U41" i="33"/>
  <c r="R41" i="33"/>
  <c r="S41" i="34"/>
  <c r="U41" i="34"/>
  <c r="Q42" i="34"/>
  <c r="R41" i="34"/>
  <c r="V40" i="33"/>
  <c r="T40" i="33"/>
  <c r="Q42" i="35"/>
  <c r="S41" i="35"/>
  <c r="U41" i="35"/>
  <c r="R41" i="35"/>
  <c r="V40" i="35"/>
  <c r="T40" i="35"/>
  <c r="U42" i="33" l="1"/>
  <c r="S42" i="33"/>
  <c r="R42" i="33"/>
  <c r="Q43" i="33"/>
  <c r="S42" i="36"/>
  <c r="U42" i="36"/>
  <c r="Q43" i="36"/>
  <c r="R42" i="36"/>
  <c r="V41" i="33"/>
  <c r="T41" i="33"/>
  <c r="Q43" i="35"/>
  <c r="U42" i="35"/>
  <c r="S42" i="35"/>
  <c r="R42" i="35"/>
  <c r="V41" i="34"/>
  <c r="T41" i="34"/>
  <c r="T41" i="36"/>
  <c r="V41" i="36"/>
  <c r="Q43" i="34"/>
  <c r="U42" i="34"/>
  <c r="S42" i="34"/>
  <c r="R42" i="34"/>
  <c r="T41" i="35"/>
  <c r="V41" i="35"/>
  <c r="T42" i="35" l="1"/>
  <c r="V42" i="35"/>
  <c r="T42" i="34"/>
  <c r="V42" i="34"/>
  <c r="S43" i="33"/>
  <c r="Q44" i="33"/>
  <c r="U43" i="33"/>
  <c r="R43" i="33"/>
  <c r="V42" i="36"/>
  <c r="T42" i="36"/>
  <c r="T42" i="33"/>
  <c r="V42" i="33"/>
  <c r="S43" i="36"/>
  <c r="R43" i="36"/>
  <c r="Q44" i="36"/>
  <c r="U43" i="36"/>
  <c r="U43" i="34"/>
  <c r="S43" i="34"/>
  <c r="R43" i="34"/>
  <c r="Q44" i="34"/>
  <c r="S43" i="35"/>
  <c r="R43" i="35"/>
  <c r="Q44" i="35"/>
  <c r="U43" i="35"/>
  <c r="Q45" i="35" l="1"/>
  <c r="U44" i="35"/>
  <c r="R44" i="35"/>
  <c r="S44" i="35"/>
  <c r="V43" i="33"/>
  <c r="T43" i="33"/>
  <c r="R44" i="34"/>
  <c r="U44" i="34"/>
  <c r="S44" i="34"/>
  <c r="Q45" i="34"/>
  <c r="V43" i="35"/>
  <c r="T43" i="35"/>
  <c r="U44" i="33"/>
  <c r="S44" i="33"/>
  <c r="R44" i="33"/>
  <c r="Q45" i="33"/>
  <c r="S44" i="36"/>
  <c r="Q45" i="36"/>
  <c r="U44" i="36"/>
  <c r="R44" i="36"/>
  <c r="T43" i="36"/>
  <c r="V43" i="36"/>
  <c r="V43" i="34"/>
  <c r="T43" i="34"/>
  <c r="V44" i="34" l="1"/>
  <c r="T44" i="34"/>
  <c r="T44" i="33"/>
  <c r="V44" i="33"/>
  <c r="V44" i="36"/>
  <c r="T44" i="36"/>
  <c r="R45" i="36"/>
  <c r="U45" i="36"/>
  <c r="Q46" i="36"/>
  <c r="S45" i="36"/>
  <c r="Q46" i="34"/>
  <c r="U45" i="34"/>
  <c r="S45" i="34"/>
  <c r="R45" i="34"/>
  <c r="Q46" i="33"/>
  <c r="U45" i="33"/>
  <c r="S45" i="33"/>
  <c r="R45" i="33"/>
  <c r="V44" i="35"/>
  <c r="T44" i="35"/>
  <c r="U45" i="35"/>
  <c r="S45" i="35"/>
  <c r="Q46" i="35"/>
  <c r="R45" i="35"/>
  <c r="V45" i="36" l="1"/>
  <c r="T45" i="36"/>
  <c r="V45" i="35"/>
  <c r="T45" i="35"/>
  <c r="R46" i="35"/>
  <c r="Q47" i="35"/>
  <c r="U46" i="35"/>
  <c r="S46" i="35"/>
  <c r="U46" i="33"/>
  <c r="S46" i="33"/>
  <c r="R46" i="33"/>
  <c r="Q47" i="33"/>
  <c r="V45" i="34"/>
  <c r="T45" i="34"/>
  <c r="V45" i="33"/>
  <c r="T45" i="33"/>
  <c r="Q47" i="34"/>
  <c r="U46" i="34"/>
  <c r="S46" i="34"/>
  <c r="R46" i="34"/>
  <c r="U46" i="36"/>
  <c r="Q47" i="36"/>
  <c r="S46" i="36"/>
  <c r="R46" i="36"/>
  <c r="S47" i="34" l="1"/>
  <c r="R47" i="34"/>
  <c r="U47" i="34"/>
  <c r="Q48" i="34"/>
  <c r="S47" i="33"/>
  <c r="Q48" i="33"/>
  <c r="U47" i="33"/>
  <c r="R47" i="33"/>
  <c r="Q48" i="36"/>
  <c r="R47" i="36"/>
  <c r="U47" i="36"/>
  <c r="S47" i="36"/>
  <c r="S47" i="35"/>
  <c r="R47" i="35"/>
  <c r="Q48" i="35"/>
  <c r="U47" i="35"/>
  <c r="V46" i="36"/>
  <c r="T46" i="36"/>
  <c r="V46" i="35"/>
  <c r="T46" i="35"/>
  <c r="T46" i="33"/>
  <c r="V46" i="33"/>
  <c r="T46" i="34"/>
  <c r="V46" i="34"/>
  <c r="V47" i="33" l="1"/>
  <c r="T47" i="33"/>
  <c r="U48" i="33"/>
  <c r="S48" i="33"/>
  <c r="R48" i="33"/>
  <c r="Q49" i="33"/>
  <c r="V47" i="36"/>
  <c r="T47" i="36"/>
  <c r="S48" i="34"/>
  <c r="Q49" i="34"/>
  <c r="U48" i="34"/>
  <c r="R48" i="34"/>
  <c r="R48" i="35"/>
  <c r="U48" i="35"/>
  <c r="S48" i="35"/>
  <c r="Q49" i="35"/>
  <c r="U48" i="36"/>
  <c r="Q49" i="36"/>
  <c r="S48" i="36"/>
  <c r="R48" i="36"/>
  <c r="V47" i="35"/>
  <c r="T47" i="35"/>
  <c r="T47" i="34"/>
  <c r="V47" i="34"/>
  <c r="Q50" i="35" l="1"/>
  <c r="U49" i="35"/>
  <c r="S49" i="35"/>
  <c r="R49" i="35"/>
  <c r="T48" i="33"/>
  <c r="V48" i="33"/>
  <c r="Q50" i="34"/>
  <c r="U49" i="34"/>
  <c r="S49" i="34"/>
  <c r="R49" i="34"/>
  <c r="T48" i="35"/>
  <c r="V48" i="35"/>
  <c r="V48" i="34"/>
  <c r="T48" i="34"/>
  <c r="V48" i="36"/>
  <c r="T48" i="36"/>
  <c r="Q50" i="36"/>
  <c r="S49" i="36"/>
  <c r="R49" i="36"/>
  <c r="U49" i="36"/>
  <c r="Q50" i="33"/>
  <c r="S49" i="33"/>
  <c r="U49" i="33"/>
  <c r="R49" i="33"/>
  <c r="U50" i="34" l="1"/>
  <c r="Q51" i="34"/>
  <c r="S50" i="34"/>
  <c r="R50" i="34"/>
  <c r="V49" i="33"/>
  <c r="T49" i="33"/>
  <c r="V49" i="34"/>
  <c r="T49" i="34"/>
  <c r="U50" i="33"/>
  <c r="S50" i="33"/>
  <c r="R50" i="33"/>
  <c r="Q51" i="33"/>
  <c r="V49" i="35"/>
  <c r="T49" i="35"/>
  <c r="V49" i="36"/>
  <c r="T49" i="36"/>
  <c r="U50" i="36"/>
  <c r="R50" i="36"/>
  <c r="Q51" i="36"/>
  <c r="S50" i="36"/>
  <c r="U50" i="35"/>
  <c r="Q51" i="35"/>
  <c r="S50" i="35"/>
  <c r="R50" i="35"/>
  <c r="V50" i="35" l="1"/>
  <c r="T50" i="35"/>
  <c r="Q52" i="35"/>
  <c r="U51" i="35"/>
  <c r="S51" i="35"/>
  <c r="R51" i="35"/>
  <c r="Q52" i="33"/>
  <c r="S51" i="33"/>
  <c r="U51" i="33"/>
  <c r="R51" i="33"/>
  <c r="V50" i="34"/>
  <c r="T50" i="34"/>
  <c r="R51" i="34"/>
  <c r="Q52" i="34"/>
  <c r="U51" i="34"/>
  <c r="S51" i="34"/>
  <c r="U51" i="36"/>
  <c r="R51" i="36"/>
  <c r="Q52" i="36"/>
  <c r="S51" i="36"/>
  <c r="T50" i="33"/>
  <c r="V50" i="33"/>
  <c r="V50" i="36"/>
  <c r="T50" i="36"/>
  <c r="V51" i="34" l="1"/>
  <c r="T51" i="34"/>
  <c r="U52" i="33"/>
  <c r="S52" i="33"/>
  <c r="R52" i="33"/>
  <c r="Q53" i="33"/>
  <c r="V51" i="33"/>
  <c r="T51" i="33"/>
  <c r="R52" i="34"/>
  <c r="S52" i="34"/>
  <c r="Q53" i="34"/>
  <c r="U52" i="34"/>
  <c r="Q53" i="35"/>
  <c r="S52" i="35"/>
  <c r="R52" i="35"/>
  <c r="U52" i="35"/>
  <c r="T51" i="35"/>
  <c r="V51" i="35"/>
  <c r="U52" i="36"/>
  <c r="Q53" i="36"/>
  <c r="S52" i="36"/>
  <c r="R52" i="36"/>
  <c r="V51" i="36"/>
  <c r="T51" i="36"/>
  <c r="Q54" i="33" l="1"/>
  <c r="R53" i="33"/>
  <c r="U53" i="33"/>
  <c r="S53" i="33"/>
  <c r="Q54" i="35"/>
  <c r="U53" i="35"/>
  <c r="R53" i="35"/>
  <c r="S53" i="35"/>
  <c r="S53" i="36"/>
  <c r="U53" i="36"/>
  <c r="Q54" i="36"/>
  <c r="R53" i="36"/>
  <c r="V52" i="36"/>
  <c r="T52" i="36"/>
  <c r="V52" i="35"/>
  <c r="T52" i="35"/>
  <c r="T52" i="33"/>
  <c r="V52" i="33"/>
  <c r="S53" i="34"/>
  <c r="Q54" i="34"/>
  <c r="U53" i="34"/>
  <c r="R53" i="34"/>
  <c r="V52" i="34"/>
  <c r="T52" i="34"/>
  <c r="Q55" i="35" l="1"/>
  <c r="U54" i="35"/>
  <c r="R54" i="35"/>
  <c r="S54" i="35"/>
  <c r="V53" i="34"/>
  <c r="T53" i="34"/>
  <c r="V53" i="36"/>
  <c r="T53" i="36"/>
  <c r="S54" i="36"/>
  <c r="U54" i="36"/>
  <c r="R54" i="36"/>
  <c r="Q55" i="36"/>
  <c r="V53" i="33"/>
  <c r="T53" i="33"/>
  <c r="V53" i="35"/>
  <c r="T53" i="35"/>
  <c r="Q55" i="34"/>
  <c r="U54" i="34"/>
  <c r="S54" i="34"/>
  <c r="R54" i="34"/>
  <c r="Q55" i="33"/>
  <c r="S54" i="33"/>
  <c r="R54" i="33"/>
  <c r="U54" i="33"/>
  <c r="V54" i="35" l="1"/>
  <c r="T54" i="35"/>
  <c r="S55" i="35"/>
  <c r="Q56" i="35"/>
  <c r="U55" i="35"/>
  <c r="R55" i="35"/>
  <c r="U55" i="34"/>
  <c r="R55" i="34"/>
  <c r="Q56" i="34"/>
  <c r="S55" i="34"/>
  <c r="S55" i="36"/>
  <c r="U55" i="36"/>
  <c r="R55" i="36"/>
  <c r="Q56" i="36"/>
  <c r="T54" i="36"/>
  <c r="V54" i="36"/>
  <c r="T54" i="33"/>
  <c r="V54" i="33"/>
  <c r="Q56" i="33"/>
  <c r="R55" i="33"/>
  <c r="U55" i="33"/>
  <c r="S55" i="33"/>
  <c r="V54" i="34"/>
  <c r="T54" i="34"/>
  <c r="V55" i="35" l="1"/>
  <c r="T55" i="35"/>
  <c r="R56" i="36"/>
  <c r="U56" i="36"/>
  <c r="S56" i="36"/>
  <c r="V55" i="36"/>
  <c r="T55" i="36"/>
  <c r="V55" i="33"/>
  <c r="T55" i="33"/>
  <c r="R56" i="35"/>
  <c r="S56" i="35"/>
  <c r="U56" i="35"/>
  <c r="S56" i="33"/>
  <c r="Q57" i="33"/>
  <c r="R56" i="33"/>
  <c r="U56" i="33"/>
  <c r="S56" i="34"/>
  <c r="R56" i="34"/>
  <c r="U56" i="34"/>
  <c r="V55" i="34"/>
  <c r="T55" i="34"/>
  <c r="V56" i="36" l="1"/>
  <c r="T56" i="36"/>
  <c r="T56" i="35"/>
  <c r="V56" i="35"/>
  <c r="V56" i="34"/>
  <c r="T56" i="34"/>
  <c r="T56" i="33"/>
  <c r="V56" i="33"/>
  <c r="S57" i="33"/>
  <c r="Q58" i="33"/>
  <c r="R57" i="33"/>
  <c r="U57" i="33"/>
  <c r="V57" i="33" l="1"/>
  <c r="T57" i="33"/>
  <c r="Q59" i="33"/>
  <c r="R58" i="33"/>
  <c r="S58" i="33"/>
  <c r="U58" i="33"/>
  <c r="V58" i="33" l="1"/>
  <c r="T58" i="33"/>
  <c r="U59" i="33"/>
  <c r="Q60" i="33"/>
  <c r="R59" i="33"/>
  <c r="S59" i="33"/>
  <c r="AC18" i="3"/>
  <c r="AC20" i="3" s="1"/>
  <c r="AC21" i="3" s="1"/>
  <c r="AD18" i="3"/>
  <c r="AD20" i="3" s="1"/>
  <c r="AD21" i="3" s="1"/>
  <c r="AE18" i="3"/>
  <c r="AE20" i="3" s="1"/>
  <c r="AE21" i="3" s="1"/>
  <c r="AF18" i="3"/>
  <c r="AF20" i="3" s="1"/>
  <c r="AF21" i="3" s="1"/>
  <c r="AG18" i="3"/>
  <c r="AG20" i="3" s="1"/>
  <c r="AG21" i="3" s="1"/>
  <c r="AH18" i="3"/>
  <c r="AH20" i="3" s="1"/>
  <c r="AH21" i="3" s="1"/>
  <c r="AI18" i="3"/>
  <c r="AI20" i="3" s="1"/>
  <c r="AI21" i="3" s="1"/>
  <c r="AJ18" i="3"/>
  <c r="AJ20" i="3" s="1"/>
  <c r="AJ21" i="3" s="1"/>
  <c r="AK18" i="3"/>
  <c r="AK20" i="3" s="1"/>
  <c r="AK21" i="3" s="1"/>
  <c r="AL18" i="3"/>
  <c r="AL20" i="3" s="1"/>
  <c r="AL21" i="3" s="1"/>
  <c r="AM18" i="3"/>
  <c r="AM20" i="3" s="1"/>
  <c r="AM21" i="3" s="1"/>
  <c r="AN18" i="3"/>
  <c r="AN20" i="3" s="1"/>
  <c r="AN21" i="3" s="1"/>
  <c r="AO18" i="3"/>
  <c r="AO20" i="3" s="1"/>
  <c r="AO21" i="3" s="1"/>
  <c r="AP18" i="3"/>
  <c r="AP20" i="3" s="1"/>
  <c r="AP21" i="3" s="1"/>
  <c r="AQ18" i="3"/>
  <c r="AQ20" i="3" s="1"/>
  <c r="AQ21" i="3" s="1"/>
  <c r="AD22" i="3"/>
  <c r="AE22" i="3"/>
  <c r="AF22" i="3"/>
  <c r="AG22" i="3"/>
  <c r="AH22" i="3"/>
  <c r="AI22" i="3"/>
  <c r="AJ22" i="3"/>
  <c r="AK22" i="3"/>
  <c r="AL22" i="3"/>
  <c r="AM22" i="3"/>
  <c r="AN22" i="3"/>
  <c r="AO22" i="3"/>
  <c r="AP22" i="3"/>
  <c r="AQ22" i="3"/>
  <c r="V59" i="33" l="1"/>
  <c r="T59" i="33"/>
  <c r="U60" i="33"/>
  <c r="Q61" i="33"/>
  <c r="S60" i="33"/>
  <c r="R60" i="33"/>
  <c r="I6" i="2"/>
  <c r="S61" i="33" l="1"/>
  <c r="U61" i="33"/>
  <c r="Q62" i="33"/>
  <c r="R61" i="33"/>
  <c r="T60" i="33"/>
  <c r="V60" i="33"/>
  <c r="J6" i="2"/>
  <c r="A16" i="30"/>
  <c r="H4" i="32"/>
  <c r="H5" i="32"/>
  <c r="H6" i="32"/>
  <c r="H7" i="32"/>
  <c r="H8" i="32"/>
  <c r="H9" i="32"/>
  <c r="H10" i="32"/>
  <c r="H11" i="32"/>
  <c r="H12" i="32"/>
  <c r="H13" i="32"/>
  <c r="H14" i="32"/>
  <c r="H15" i="32"/>
  <c r="H16" i="32"/>
  <c r="H17" i="32"/>
  <c r="H18" i="32"/>
  <c r="H19" i="32"/>
  <c r="H20" i="32"/>
  <c r="H21" i="32"/>
  <c r="H22" i="32"/>
  <c r="E8" i="30" s="1"/>
  <c r="H23" i="32"/>
  <c r="H24" i="32"/>
  <c r="H25" i="32"/>
  <c r="H26" i="32"/>
  <c r="H27" i="32"/>
  <c r="H28" i="32"/>
  <c r="H29" i="32"/>
  <c r="H30" i="32"/>
  <c r="H2" i="32" s="1"/>
  <c r="H3" i="32"/>
  <c r="H257" i="30"/>
  <c r="H256" i="30"/>
  <c r="H255" i="30"/>
  <c r="H254" i="30"/>
  <c r="H253" i="30"/>
  <c r="H252" i="30"/>
  <c r="H251" i="30"/>
  <c r="H250" i="30"/>
  <c r="H249" i="30"/>
  <c r="H248" i="30"/>
  <c r="H247" i="30"/>
  <c r="H246" i="30"/>
  <c r="H245" i="30"/>
  <c r="H244" i="30"/>
  <c r="H243" i="30"/>
  <c r="H242" i="30"/>
  <c r="H241" i="30"/>
  <c r="H240" i="30"/>
  <c r="H239" i="30"/>
  <c r="H238" i="30"/>
  <c r="H237" i="30"/>
  <c r="H236" i="30"/>
  <c r="H235" i="30"/>
  <c r="H234" i="30"/>
  <c r="H233" i="30"/>
  <c r="H232" i="30"/>
  <c r="H231" i="30"/>
  <c r="H230" i="30"/>
  <c r="H229" i="30"/>
  <c r="H228" i="30"/>
  <c r="H227" i="30"/>
  <c r="H226" i="30"/>
  <c r="H225" i="30"/>
  <c r="H224" i="30"/>
  <c r="H223" i="30"/>
  <c r="H222" i="30"/>
  <c r="H221" i="30"/>
  <c r="H220" i="30"/>
  <c r="H219" i="30"/>
  <c r="H218" i="30"/>
  <c r="H217" i="30"/>
  <c r="H216" i="30"/>
  <c r="H215" i="30"/>
  <c r="H214" i="30"/>
  <c r="H213" i="30"/>
  <c r="H212" i="30"/>
  <c r="H211" i="30"/>
  <c r="H210" i="30"/>
  <c r="H209" i="30"/>
  <c r="H208" i="30"/>
  <c r="H207" i="30"/>
  <c r="H206" i="30"/>
  <c r="H205" i="30"/>
  <c r="H204" i="30"/>
  <c r="H203" i="30"/>
  <c r="H202" i="30"/>
  <c r="H201" i="30"/>
  <c r="H200" i="30"/>
  <c r="H199" i="30"/>
  <c r="H198" i="30"/>
  <c r="H197" i="30"/>
  <c r="H196" i="30"/>
  <c r="H195" i="30"/>
  <c r="H194" i="30"/>
  <c r="H193" i="30"/>
  <c r="H192" i="30"/>
  <c r="H191" i="30"/>
  <c r="H190" i="30"/>
  <c r="H189" i="30"/>
  <c r="H188" i="30"/>
  <c r="H187" i="30"/>
  <c r="H186" i="30"/>
  <c r="H185" i="30"/>
  <c r="H184" i="30"/>
  <c r="H183" i="30"/>
  <c r="H182" i="30"/>
  <c r="H181" i="30"/>
  <c r="H180" i="30"/>
  <c r="H179" i="30"/>
  <c r="H178" i="30"/>
  <c r="H177" i="30"/>
  <c r="H176" i="30"/>
  <c r="H175" i="30"/>
  <c r="H174" i="30"/>
  <c r="H173" i="30"/>
  <c r="H172" i="30"/>
  <c r="H171" i="30"/>
  <c r="H170" i="30"/>
  <c r="H169" i="30"/>
  <c r="H168" i="30"/>
  <c r="H167" i="30"/>
  <c r="H166" i="30"/>
  <c r="H165" i="30"/>
  <c r="H164" i="30"/>
  <c r="H163" i="30"/>
  <c r="H162" i="30"/>
  <c r="H161" i="30"/>
  <c r="H160" i="30"/>
  <c r="H159" i="30"/>
  <c r="H158" i="30"/>
  <c r="H157" i="30"/>
  <c r="H156" i="30"/>
  <c r="H155" i="30"/>
  <c r="H154" i="30"/>
  <c r="H153" i="30"/>
  <c r="H152" i="30"/>
  <c r="H151" i="30"/>
  <c r="H150" i="30"/>
  <c r="H149" i="30"/>
  <c r="H148" i="30"/>
  <c r="H147" i="30"/>
  <c r="H146" i="30"/>
  <c r="H145" i="30"/>
  <c r="H144" i="30"/>
  <c r="H143" i="30"/>
  <c r="H142" i="30"/>
  <c r="H141" i="30"/>
  <c r="H140" i="30"/>
  <c r="H139" i="30"/>
  <c r="H138" i="30"/>
  <c r="H137" i="30"/>
  <c r="H136" i="30"/>
  <c r="H135" i="30"/>
  <c r="H134" i="30"/>
  <c r="H133" i="30"/>
  <c r="H132" i="30"/>
  <c r="H131" i="30"/>
  <c r="H130" i="30"/>
  <c r="H129" i="30"/>
  <c r="H128" i="30"/>
  <c r="H127" i="30"/>
  <c r="H126" i="30"/>
  <c r="H125" i="30"/>
  <c r="H124" i="30"/>
  <c r="H123" i="30"/>
  <c r="H122" i="30"/>
  <c r="H121" i="30"/>
  <c r="H120" i="30"/>
  <c r="H119" i="30"/>
  <c r="H118" i="30"/>
  <c r="H117" i="30"/>
  <c r="H116" i="30"/>
  <c r="H115" i="30"/>
  <c r="H114" i="30"/>
  <c r="H113" i="30"/>
  <c r="H112" i="30"/>
  <c r="H111" i="30"/>
  <c r="H110" i="30"/>
  <c r="H109" i="30"/>
  <c r="H108" i="30"/>
  <c r="H107" i="30"/>
  <c r="H106" i="30"/>
  <c r="H105" i="30"/>
  <c r="H104" i="30"/>
  <c r="H103" i="30"/>
  <c r="H102" i="30"/>
  <c r="H101" i="30"/>
  <c r="H100" i="30"/>
  <c r="H99" i="30"/>
  <c r="H98" i="30"/>
  <c r="H97" i="30"/>
  <c r="H96" i="30"/>
  <c r="H95" i="30"/>
  <c r="H94" i="30"/>
  <c r="H93" i="30"/>
  <c r="H92" i="30"/>
  <c r="H91" i="30"/>
  <c r="H90" i="30"/>
  <c r="H89" i="30"/>
  <c r="H88" i="30"/>
  <c r="H87" i="30"/>
  <c r="H86" i="30"/>
  <c r="H85" i="30"/>
  <c r="H84" i="30"/>
  <c r="H83" i="30"/>
  <c r="H82" i="30"/>
  <c r="H81" i="30"/>
  <c r="H80" i="30"/>
  <c r="H79" i="30"/>
  <c r="H78" i="30"/>
  <c r="H77" i="30"/>
  <c r="H76" i="30"/>
  <c r="H75" i="30"/>
  <c r="H74" i="30"/>
  <c r="H73" i="30"/>
  <c r="H72" i="30"/>
  <c r="H71" i="30"/>
  <c r="H70" i="30"/>
  <c r="H69" i="30"/>
  <c r="H68" i="30"/>
  <c r="H67" i="30"/>
  <c r="H66" i="30"/>
  <c r="H65" i="30"/>
  <c r="H64" i="30"/>
  <c r="H63" i="30"/>
  <c r="H62" i="30"/>
  <c r="H61" i="30"/>
  <c r="H60" i="30"/>
  <c r="H59" i="30"/>
  <c r="H58" i="30"/>
  <c r="H57" i="30"/>
  <c r="H56" i="30"/>
  <c r="H55" i="30"/>
  <c r="H54" i="30"/>
  <c r="H53" i="30"/>
  <c r="H52" i="30"/>
  <c r="H51" i="30"/>
  <c r="H50" i="30"/>
  <c r="H49" i="30"/>
  <c r="H48" i="30"/>
  <c r="H47" i="30"/>
  <c r="H46" i="30"/>
  <c r="H45" i="30"/>
  <c r="H44" i="30"/>
  <c r="H43" i="30"/>
  <c r="H42" i="30"/>
  <c r="H41" i="30"/>
  <c r="H40" i="30"/>
  <c r="H39" i="30"/>
  <c r="H38" i="30"/>
  <c r="H37" i="30"/>
  <c r="H36" i="30"/>
  <c r="H35" i="30"/>
  <c r="H34" i="30"/>
  <c r="H33" i="30"/>
  <c r="H32" i="30"/>
  <c r="H31" i="30"/>
  <c r="H30" i="30"/>
  <c r="H29" i="30"/>
  <c r="H28" i="30"/>
  <c r="H27" i="30"/>
  <c r="H26" i="30"/>
  <c r="H25" i="30"/>
  <c r="H24" i="30"/>
  <c r="H23" i="30"/>
  <c r="H22" i="30"/>
  <c r="H21" i="30"/>
  <c r="H20" i="30"/>
  <c r="H19" i="30"/>
  <c r="H18" i="30"/>
  <c r="H17" i="30"/>
  <c r="H16" i="30"/>
  <c r="H15" i="30"/>
  <c r="H14" i="30"/>
  <c r="H13" i="30"/>
  <c r="H12" i="30"/>
  <c r="H11" i="30"/>
  <c r="H10" i="30"/>
  <c r="H9" i="30"/>
  <c r="H8" i="30"/>
  <c r="Q9" i="30"/>
  <c r="Q10" i="30"/>
  <c r="Q11" i="30"/>
  <c r="Q12" i="30"/>
  <c r="Q13" i="30"/>
  <c r="Q14" i="30"/>
  <c r="Q15" i="30"/>
  <c r="Q16" i="30"/>
  <c r="Q17" i="30"/>
  <c r="Q18" i="30"/>
  <c r="Q19" i="30"/>
  <c r="Q20" i="30"/>
  <c r="Q21" i="30"/>
  <c r="Q22" i="30"/>
  <c r="Q23" i="30"/>
  <c r="Q24" i="30"/>
  <c r="Q25" i="30"/>
  <c r="Q26" i="30"/>
  <c r="Q27" i="30"/>
  <c r="Q28" i="30"/>
  <c r="Q29" i="30"/>
  <c r="Q30" i="30"/>
  <c r="Q31" i="30"/>
  <c r="Q32" i="30"/>
  <c r="Q33" i="30"/>
  <c r="Q34" i="30"/>
  <c r="Q35" i="30"/>
  <c r="Q36" i="30"/>
  <c r="Q37" i="30"/>
  <c r="Q38" i="30"/>
  <c r="Q39" i="30"/>
  <c r="Q40" i="30"/>
  <c r="Q41" i="30"/>
  <c r="Q42" i="30"/>
  <c r="Q43" i="30"/>
  <c r="Q44" i="30"/>
  <c r="Q45" i="30"/>
  <c r="Q46" i="30"/>
  <c r="Q47" i="30"/>
  <c r="Q48" i="30"/>
  <c r="Q49" i="30"/>
  <c r="Q50" i="30"/>
  <c r="Q51" i="30"/>
  <c r="Q52" i="30"/>
  <c r="Q53" i="30"/>
  <c r="Q54" i="30"/>
  <c r="Q55" i="30"/>
  <c r="Q56" i="30"/>
  <c r="Q57" i="30"/>
  <c r="Q58" i="30"/>
  <c r="Q59" i="30"/>
  <c r="Q60" i="30"/>
  <c r="Q61" i="30"/>
  <c r="Q62" i="30"/>
  <c r="Q63" i="30"/>
  <c r="Q64" i="30"/>
  <c r="Q65" i="30"/>
  <c r="Q66" i="30"/>
  <c r="Q67" i="30"/>
  <c r="Q68" i="30"/>
  <c r="Q69" i="30"/>
  <c r="Q70" i="30"/>
  <c r="Q71" i="30"/>
  <c r="Q72" i="30"/>
  <c r="Q73" i="30"/>
  <c r="Q74" i="30"/>
  <c r="Q75" i="30"/>
  <c r="Q76" i="30"/>
  <c r="Q77" i="30"/>
  <c r="Q78" i="30"/>
  <c r="Q79" i="30"/>
  <c r="Q80" i="30"/>
  <c r="Q81" i="30"/>
  <c r="Q82" i="30"/>
  <c r="Q83" i="30"/>
  <c r="Q84" i="30"/>
  <c r="Q85" i="30"/>
  <c r="Q86" i="30"/>
  <c r="Q87" i="30"/>
  <c r="Q88" i="30"/>
  <c r="Q89" i="30"/>
  <c r="Q90" i="30"/>
  <c r="Q91" i="30"/>
  <c r="Q92" i="30"/>
  <c r="Q93" i="30"/>
  <c r="Q94" i="30"/>
  <c r="Q95" i="30"/>
  <c r="Q96" i="30"/>
  <c r="Q97" i="30"/>
  <c r="Q98" i="30"/>
  <c r="Q99" i="30"/>
  <c r="Q100" i="30"/>
  <c r="Q101" i="30"/>
  <c r="Q102" i="30"/>
  <c r="Q103" i="30"/>
  <c r="Q104" i="30"/>
  <c r="Q105" i="30"/>
  <c r="Q106" i="30"/>
  <c r="Q107" i="30"/>
  <c r="Q108" i="30"/>
  <c r="Q109" i="30"/>
  <c r="Q110" i="30"/>
  <c r="Q111" i="30"/>
  <c r="Q112" i="30"/>
  <c r="Q113" i="30"/>
  <c r="Q114" i="30"/>
  <c r="Q115" i="30"/>
  <c r="Q116" i="30"/>
  <c r="Q117" i="30"/>
  <c r="Q118" i="30"/>
  <c r="Q119" i="30"/>
  <c r="Q120" i="30"/>
  <c r="Q121" i="30"/>
  <c r="Q122" i="30"/>
  <c r="Q123" i="30"/>
  <c r="Q124" i="30"/>
  <c r="Q125" i="30"/>
  <c r="Q126" i="30"/>
  <c r="Q127" i="30"/>
  <c r="Q128" i="30"/>
  <c r="Q129" i="30"/>
  <c r="Q130" i="30"/>
  <c r="Q131" i="30"/>
  <c r="Q132" i="30"/>
  <c r="Q133" i="30"/>
  <c r="Q134" i="30"/>
  <c r="Q135" i="30"/>
  <c r="Q136" i="30"/>
  <c r="Q137" i="30"/>
  <c r="Q138" i="30"/>
  <c r="Q139" i="30"/>
  <c r="Q140" i="30"/>
  <c r="Q141" i="30"/>
  <c r="Q142" i="30"/>
  <c r="Q143" i="30"/>
  <c r="Q144" i="30"/>
  <c r="Q145" i="30"/>
  <c r="Q146" i="30"/>
  <c r="Q147" i="30"/>
  <c r="Q148" i="30"/>
  <c r="Q149" i="30"/>
  <c r="Q150" i="30"/>
  <c r="Q151" i="30"/>
  <c r="Q152" i="30"/>
  <c r="Q153" i="30"/>
  <c r="Q154" i="30"/>
  <c r="Q155" i="30"/>
  <c r="Q156" i="30"/>
  <c r="Q157" i="30"/>
  <c r="Q158" i="30"/>
  <c r="Q159" i="30"/>
  <c r="Q160" i="30"/>
  <c r="Q161" i="30"/>
  <c r="Q162" i="30"/>
  <c r="Q163" i="30"/>
  <c r="Q164" i="30"/>
  <c r="Q165" i="30"/>
  <c r="Q166" i="30"/>
  <c r="Q167" i="30"/>
  <c r="Q168" i="30"/>
  <c r="Q169" i="30"/>
  <c r="Q170" i="30"/>
  <c r="Q171" i="30"/>
  <c r="Q172" i="30"/>
  <c r="Q173" i="30"/>
  <c r="Q174" i="30"/>
  <c r="Q175" i="30"/>
  <c r="Q176" i="30"/>
  <c r="Q177" i="30"/>
  <c r="Q178" i="30"/>
  <c r="Q179" i="30"/>
  <c r="Q180" i="30"/>
  <c r="Q181" i="30"/>
  <c r="Q182" i="30"/>
  <c r="Q183" i="30"/>
  <c r="Q184" i="30"/>
  <c r="Q185" i="30"/>
  <c r="Q186" i="30"/>
  <c r="Q187" i="30"/>
  <c r="Q188" i="30"/>
  <c r="Q189" i="30"/>
  <c r="Q190" i="30"/>
  <c r="Q191" i="30"/>
  <c r="Q192" i="30"/>
  <c r="Q193" i="30"/>
  <c r="Q194" i="30"/>
  <c r="Q195" i="30"/>
  <c r="Q196" i="30"/>
  <c r="Q197" i="30"/>
  <c r="Q198" i="30"/>
  <c r="Q199" i="30"/>
  <c r="Q200" i="30"/>
  <c r="Q201" i="30"/>
  <c r="Q202" i="30"/>
  <c r="Q203" i="30"/>
  <c r="Q204" i="30"/>
  <c r="Q205" i="30"/>
  <c r="Q206" i="30"/>
  <c r="Q207" i="30"/>
  <c r="Q208" i="30"/>
  <c r="Q209" i="30"/>
  <c r="Q210" i="30"/>
  <c r="Q211" i="30"/>
  <c r="Q212" i="30"/>
  <c r="Q213" i="30"/>
  <c r="Q214" i="30"/>
  <c r="Q215" i="30"/>
  <c r="Q216" i="30"/>
  <c r="Q217" i="30"/>
  <c r="Q218" i="30"/>
  <c r="Q219" i="30"/>
  <c r="Q220" i="30"/>
  <c r="Q221" i="30"/>
  <c r="Q222" i="30"/>
  <c r="Q223" i="30"/>
  <c r="Q224" i="30"/>
  <c r="Q225" i="30"/>
  <c r="Q226" i="30"/>
  <c r="Q227" i="30"/>
  <c r="Q228" i="30"/>
  <c r="Q229" i="30"/>
  <c r="Q230" i="30"/>
  <c r="Q231" i="30"/>
  <c r="Q232" i="30"/>
  <c r="Q233" i="30"/>
  <c r="Q234" i="30"/>
  <c r="Q235" i="30"/>
  <c r="Q236" i="30"/>
  <c r="Q237" i="30"/>
  <c r="Q238" i="30"/>
  <c r="Q239" i="30"/>
  <c r="Q240" i="30"/>
  <c r="Q241" i="30"/>
  <c r="Q242" i="30"/>
  <c r="Q243" i="30"/>
  <c r="Q244" i="30"/>
  <c r="Q245" i="30"/>
  <c r="Q246" i="30"/>
  <c r="Q247" i="30"/>
  <c r="Q248" i="30"/>
  <c r="Q249" i="30"/>
  <c r="Q250" i="30"/>
  <c r="Q251" i="30"/>
  <c r="Q252" i="30"/>
  <c r="Q253" i="30"/>
  <c r="Q254" i="30"/>
  <c r="Q255" i="30"/>
  <c r="Q256" i="30"/>
  <c r="Q257" i="30"/>
  <c r="Q8" i="30"/>
  <c r="G8" i="30"/>
  <c r="M257" i="30"/>
  <c r="J257" i="30"/>
  <c r="G257" i="30"/>
  <c r="D257" i="30"/>
  <c r="B257" i="30"/>
  <c r="A257" i="30"/>
  <c r="M256" i="30"/>
  <c r="J256" i="30"/>
  <c r="G256" i="30"/>
  <c r="I256" i="30" s="1"/>
  <c r="D256" i="30"/>
  <c r="B256" i="30"/>
  <c r="A256" i="30"/>
  <c r="M255" i="30"/>
  <c r="J255" i="30"/>
  <c r="G255" i="30"/>
  <c r="D255" i="30"/>
  <c r="B255" i="30"/>
  <c r="A255" i="30"/>
  <c r="M254" i="30"/>
  <c r="J254" i="30"/>
  <c r="G254" i="30"/>
  <c r="I254" i="30" s="1"/>
  <c r="D254" i="30"/>
  <c r="B254" i="30"/>
  <c r="A254" i="30"/>
  <c r="M253" i="30"/>
  <c r="J253" i="30"/>
  <c r="G253" i="30"/>
  <c r="D253" i="30"/>
  <c r="B253" i="30"/>
  <c r="A253" i="30"/>
  <c r="M252" i="30"/>
  <c r="J252" i="30"/>
  <c r="G252" i="30"/>
  <c r="D252" i="30"/>
  <c r="B252" i="30"/>
  <c r="A252" i="30"/>
  <c r="M251" i="30"/>
  <c r="J251" i="30"/>
  <c r="G251" i="30"/>
  <c r="I251" i="30" s="1"/>
  <c r="D251" i="30"/>
  <c r="B251" i="30"/>
  <c r="A251" i="30"/>
  <c r="M250" i="30"/>
  <c r="J250" i="30"/>
  <c r="G250" i="30"/>
  <c r="D250" i="30"/>
  <c r="B250" i="30"/>
  <c r="A250" i="30"/>
  <c r="M249" i="30"/>
  <c r="J249" i="30"/>
  <c r="G249" i="30"/>
  <c r="D249" i="30"/>
  <c r="B249" i="30"/>
  <c r="A249" i="30"/>
  <c r="M248" i="30"/>
  <c r="J248" i="30"/>
  <c r="G248" i="30"/>
  <c r="I248" i="30" s="1"/>
  <c r="D248" i="30"/>
  <c r="B248" i="30"/>
  <c r="A248" i="30"/>
  <c r="M247" i="30"/>
  <c r="J247" i="30"/>
  <c r="G247" i="30"/>
  <c r="D247" i="30"/>
  <c r="B247" i="30"/>
  <c r="A247" i="30"/>
  <c r="M246" i="30"/>
  <c r="J246" i="30"/>
  <c r="G246" i="30"/>
  <c r="I246" i="30" s="1"/>
  <c r="D246" i="30"/>
  <c r="B246" i="30"/>
  <c r="A246" i="30"/>
  <c r="M245" i="30"/>
  <c r="J245" i="30"/>
  <c r="G245" i="30"/>
  <c r="I245" i="30" s="1"/>
  <c r="D245" i="30"/>
  <c r="B245" i="30"/>
  <c r="A245" i="30"/>
  <c r="M244" i="30"/>
  <c r="J244" i="30"/>
  <c r="G244" i="30"/>
  <c r="I244" i="30" s="1"/>
  <c r="D244" i="30"/>
  <c r="B244" i="30"/>
  <c r="A244" i="30"/>
  <c r="M243" i="30"/>
  <c r="J243" i="30"/>
  <c r="G243" i="30"/>
  <c r="D243" i="30"/>
  <c r="B243" i="30"/>
  <c r="A243" i="30"/>
  <c r="M242" i="30"/>
  <c r="J242" i="30"/>
  <c r="G242" i="30"/>
  <c r="I242" i="30" s="1"/>
  <c r="D242" i="30"/>
  <c r="B242" i="30"/>
  <c r="A242" i="30"/>
  <c r="M241" i="30"/>
  <c r="J241" i="30"/>
  <c r="G241" i="30"/>
  <c r="D241" i="30"/>
  <c r="B241" i="30"/>
  <c r="A241" i="30"/>
  <c r="M240" i="30"/>
  <c r="J240" i="30"/>
  <c r="G240" i="30"/>
  <c r="D240" i="30"/>
  <c r="B240" i="30"/>
  <c r="A240" i="30"/>
  <c r="M239" i="30"/>
  <c r="J239" i="30"/>
  <c r="G239" i="30"/>
  <c r="D239" i="30"/>
  <c r="B239" i="30"/>
  <c r="A239" i="30"/>
  <c r="M238" i="30"/>
  <c r="J238" i="30"/>
  <c r="G238" i="30"/>
  <c r="D238" i="30"/>
  <c r="B238" i="30"/>
  <c r="A238" i="30"/>
  <c r="M237" i="30"/>
  <c r="J237" i="30"/>
  <c r="G237" i="30"/>
  <c r="I237" i="30" s="1"/>
  <c r="D237" i="30"/>
  <c r="B237" i="30"/>
  <c r="A237" i="30"/>
  <c r="M236" i="30"/>
  <c r="J236" i="30"/>
  <c r="G236" i="30"/>
  <c r="D236" i="30"/>
  <c r="B236" i="30"/>
  <c r="A236" i="30"/>
  <c r="M235" i="30"/>
  <c r="J235" i="30"/>
  <c r="G235" i="30"/>
  <c r="D235" i="30"/>
  <c r="B235" i="30"/>
  <c r="A235" i="30"/>
  <c r="M234" i="30"/>
  <c r="J234" i="30"/>
  <c r="G234" i="30"/>
  <c r="I234" i="30" s="1"/>
  <c r="D234" i="30"/>
  <c r="B234" i="30"/>
  <c r="A234" i="30"/>
  <c r="M233" i="30"/>
  <c r="J233" i="30"/>
  <c r="G233" i="30"/>
  <c r="I233" i="30" s="1"/>
  <c r="D233" i="30"/>
  <c r="B233" i="30"/>
  <c r="A233" i="30"/>
  <c r="M232" i="30"/>
  <c r="J232" i="30"/>
  <c r="G232" i="30"/>
  <c r="I232" i="30" s="1"/>
  <c r="D232" i="30"/>
  <c r="B232" i="30"/>
  <c r="A232" i="30"/>
  <c r="M231" i="30"/>
  <c r="J231" i="30"/>
  <c r="G231" i="30"/>
  <c r="D231" i="30"/>
  <c r="B231" i="30"/>
  <c r="A231" i="30"/>
  <c r="M230" i="30"/>
  <c r="J230" i="30"/>
  <c r="G230" i="30"/>
  <c r="I230" i="30" s="1"/>
  <c r="D230" i="30"/>
  <c r="B230" i="30"/>
  <c r="A230" i="30"/>
  <c r="M229" i="30"/>
  <c r="J229" i="30"/>
  <c r="G229" i="30"/>
  <c r="D229" i="30"/>
  <c r="B229" i="30"/>
  <c r="A229" i="30"/>
  <c r="M228" i="30"/>
  <c r="J228" i="30"/>
  <c r="G228" i="30"/>
  <c r="D228" i="30"/>
  <c r="B228" i="30"/>
  <c r="A228" i="30"/>
  <c r="M227" i="30"/>
  <c r="J227" i="30"/>
  <c r="G227" i="30"/>
  <c r="I227" i="30" s="1"/>
  <c r="D227" i="30"/>
  <c r="B227" i="30"/>
  <c r="A227" i="30"/>
  <c r="M226" i="30"/>
  <c r="J226" i="30"/>
  <c r="G226" i="30"/>
  <c r="I226" i="30" s="1"/>
  <c r="D226" i="30"/>
  <c r="B226" i="30"/>
  <c r="A226" i="30"/>
  <c r="M225" i="30"/>
  <c r="J225" i="30"/>
  <c r="G225" i="30"/>
  <c r="D225" i="30"/>
  <c r="B225" i="30"/>
  <c r="A225" i="30"/>
  <c r="M224" i="30"/>
  <c r="J224" i="30"/>
  <c r="G224" i="30"/>
  <c r="D224" i="30"/>
  <c r="B224" i="30"/>
  <c r="A224" i="30"/>
  <c r="M223" i="30"/>
  <c r="J223" i="30"/>
  <c r="G223" i="30"/>
  <c r="D223" i="30"/>
  <c r="B223" i="30"/>
  <c r="A223" i="30"/>
  <c r="M222" i="30"/>
  <c r="J222" i="30"/>
  <c r="G222" i="30"/>
  <c r="D222" i="30"/>
  <c r="B222" i="30"/>
  <c r="A222" i="30"/>
  <c r="M221" i="30"/>
  <c r="J221" i="30"/>
  <c r="G221" i="30"/>
  <c r="D221" i="30"/>
  <c r="B221" i="30"/>
  <c r="A221" i="30"/>
  <c r="M220" i="30"/>
  <c r="J220" i="30"/>
  <c r="G220" i="30"/>
  <c r="I220" i="30" s="1"/>
  <c r="D220" i="30"/>
  <c r="B220" i="30"/>
  <c r="A220" i="30"/>
  <c r="M219" i="30"/>
  <c r="J219" i="30"/>
  <c r="G219" i="30"/>
  <c r="D219" i="30"/>
  <c r="B219" i="30"/>
  <c r="A219" i="30"/>
  <c r="M218" i="30"/>
  <c r="J218" i="30"/>
  <c r="G218" i="30"/>
  <c r="I218" i="30" s="1"/>
  <c r="D218" i="30"/>
  <c r="B218" i="30"/>
  <c r="A218" i="30"/>
  <c r="M217" i="30"/>
  <c r="J217" i="30"/>
  <c r="G217" i="30"/>
  <c r="D217" i="30"/>
  <c r="B217" i="30"/>
  <c r="A217" i="30"/>
  <c r="M216" i="30"/>
  <c r="J216" i="30"/>
  <c r="G216" i="30"/>
  <c r="D216" i="30"/>
  <c r="B216" i="30"/>
  <c r="A216" i="30"/>
  <c r="M215" i="30"/>
  <c r="J215" i="30"/>
  <c r="G215" i="30"/>
  <c r="D215" i="30"/>
  <c r="B215" i="30"/>
  <c r="A215" i="30"/>
  <c r="M214" i="30"/>
  <c r="J214" i="30"/>
  <c r="G214" i="30"/>
  <c r="I214" i="30" s="1"/>
  <c r="D214" i="30"/>
  <c r="B214" i="30"/>
  <c r="A214" i="30"/>
  <c r="M213" i="30"/>
  <c r="J213" i="30"/>
  <c r="G213" i="30"/>
  <c r="I213" i="30" s="1"/>
  <c r="D213" i="30"/>
  <c r="B213" i="30"/>
  <c r="A213" i="30"/>
  <c r="M212" i="30"/>
  <c r="J212" i="30"/>
  <c r="G212" i="30"/>
  <c r="I212" i="30" s="1"/>
  <c r="D212" i="30"/>
  <c r="B212" i="30"/>
  <c r="A212" i="30"/>
  <c r="M211" i="30"/>
  <c r="J211" i="30"/>
  <c r="G211" i="30"/>
  <c r="D211" i="30"/>
  <c r="B211" i="30"/>
  <c r="A211" i="30"/>
  <c r="M210" i="30"/>
  <c r="J210" i="30"/>
  <c r="G210" i="30"/>
  <c r="D210" i="30"/>
  <c r="B210" i="30"/>
  <c r="A210" i="30"/>
  <c r="M209" i="30"/>
  <c r="J209" i="30"/>
  <c r="G209" i="30"/>
  <c r="D209" i="30"/>
  <c r="B209" i="30"/>
  <c r="A209" i="30"/>
  <c r="M208" i="30"/>
  <c r="J208" i="30"/>
  <c r="G208" i="30"/>
  <c r="D208" i="30"/>
  <c r="B208" i="30"/>
  <c r="A208" i="30"/>
  <c r="M207" i="30"/>
  <c r="J207" i="30"/>
  <c r="G207" i="30"/>
  <c r="D207" i="30"/>
  <c r="B207" i="30"/>
  <c r="A207" i="30"/>
  <c r="M206" i="30"/>
  <c r="J206" i="30"/>
  <c r="G206" i="30"/>
  <c r="I206" i="30" s="1"/>
  <c r="D206" i="30"/>
  <c r="B206" i="30"/>
  <c r="A206" i="30"/>
  <c r="M205" i="30"/>
  <c r="J205" i="30"/>
  <c r="G205" i="30"/>
  <c r="D205" i="30"/>
  <c r="B205" i="30"/>
  <c r="A205" i="30"/>
  <c r="M204" i="30"/>
  <c r="J204" i="30"/>
  <c r="G204" i="30"/>
  <c r="D204" i="30"/>
  <c r="B204" i="30"/>
  <c r="A204" i="30"/>
  <c r="M203" i="30"/>
  <c r="J203" i="30"/>
  <c r="G203" i="30"/>
  <c r="I203" i="30" s="1"/>
  <c r="D203" i="30"/>
  <c r="B203" i="30"/>
  <c r="A203" i="30"/>
  <c r="M202" i="30"/>
  <c r="J202" i="30"/>
  <c r="G202" i="30"/>
  <c r="I202" i="30" s="1"/>
  <c r="D202" i="30"/>
  <c r="B202" i="30"/>
  <c r="A202" i="30"/>
  <c r="M201" i="30"/>
  <c r="J201" i="30"/>
  <c r="G201" i="30"/>
  <c r="D201" i="30"/>
  <c r="B201" i="30"/>
  <c r="A201" i="30"/>
  <c r="M200" i="30"/>
  <c r="J200" i="30"/>
  <c r="G200" i="30"/>
  <c r="I200" i="30" s="1"/>
  <c r="D200" i="30"/>
  <c r="B200" i="30"/>
  <c r="A200" i="30"/>
  <c r="M199" i="30"/>
  <c r="J199" i="30"/>
  <c r="G199" i="30"/>
  <c r="D199" i="30"/>
  <c r="B199" i="30"/>
  <c r="A199" i="30"/>
  <c r="M198" i="30"/>
  <c r="J198" i="30"/>
  <c r="G198" i="30"/>
  <c r="I198" i="30" s="1"/>
  <c r="D198" i="30"/>
  <c r="B198" i="30"/>
  <c r="A198" i="30"/>
  <c r="M197" i="30"/>
  <c r="J197" i="30"/>
  <c r="G197" i="30"/>
  <c r="D197" i="30"/>
  <c r="B197" i="30"/>
  <c r="A197" i="30"/>
  <c r="M196" i="30"/>
  <c r="J196" i="30"/>
  <c r="G196" i="30"/>
  <c r="D196" i="30"/>
  <c r="B196" i="30"/>
  <c r="A196" i="30"/>
  <c r="M195" i="30"/>
  <c r="J195" i="30"/>
  <c r="G195" i="30"/>
  <c r="D195" i="30"/>
  <c r="B195" i="30"/>
  <c r="A195" i="30"/>
  <c r="M194" i="30"/>
  <c r="J194" i="30"/>
  <c r="G194" i="30"/>
  <c r="D194" i="30"/>
  <c r="B194" i="30"/>
  <c r="A194" i="30"/>
  <c r="M193" i="30"/>
  <c r="J193" i="30"/>
  <c r="G193" i="30"/>
  <c r="D193" i="30"/>
  <c r="B193" i="30"/>
  <c r="A193" i="30"/>
  <c r="M192" i="30"/>
  <c r="J192" i="30"/>
  <c r="G192" i="30"/>
  <c r="D192" i="30"/>
  <c r="B192" i="30"/>
  <c r="A192" i="30"/>
  <c r="M191" i="30"/>
  <c r="J191" i="30"/>
  <c r="G191" i="30"/>
  <c r="D191" i="30"/>
  <c r="B191" i="30"/>
  <c r="A191" i="30"/>
  <c r="M190" i="30"/>
  <c r="J190" i="30"/>
  <c r="G190" i="30"/>
  <c r="I190" i="30" s="1"/>
  <c r="D190" i="30"/>
  <c r="B190" i="30"/>
  <c r="A190" i="30"/>
  <c r="M189" i="30"/>
  <c r="J189" i="30"/>
  <c r="G189" i="30"/>
  <c r="I189" i="30" s="1"/>
  <c r="D189" i="30"/>
  <c r="B189" i="30"/>
  <c r="A189" i="30"/>
  <c r="M188" i="30"/>
  <c r="J188" i="30"/>
  <c r="G188" i="30"/>
  <c r="I188" i="30" s="1"/>
  <c r="D188" i="30"/>
  <c r="B188" i="30"/>
  <c r="A188" i="30"/>
  <c r="M187" i="30"/>
  <c r="J187" i="30"/>
  <c r="G187" i="30"/>
  <c r="D187" i="30"/>
  <c r="B187" i="30"/>
  <c r="A187" i="30"/>
  <c r="M186" i="30"/>
  <c r="J186" i="30"/>
  <c r="G186" i="30"/>
  <c r="I186" i="30" s="1"/>
  <c r="D186" i="30"/>
  <c r="B186" i="30"/>
  <c r="A186" i="30"/>
  <c r="M185" i="30"/>
  <c r="J185" i="30"/>
  <c r="G185" i="30"/>
  <c r="D185" i="30"/>
  <c r="B185" i="30"/>
  <c r="A185" i="30"/>
  <c r="M184" i="30"/>
  <c r="J184" i="30"/>
  <c r="G184" i="30"/>
  <c r="I184" i="30" s="1"/>
  <c r="D184" i="30"/>
  <c r="B184" i="30"/>
  <c r="A184" i="30"/>
  <c r="M183" i="30"/>
  <c r="J183" i="30"/>
  <c r="G183" i="30"/>
  <c r="D183" i="30"/>
  <c r="B183" i="30"/>
  <c r="A183" i="30"/>
  <c r="M182" i="30"/>
  <c r="J182" i="30"/>
  <c r="G182" i="30"/>
  <c r="D182" i="30"/>
  <c r="B182" i="30"/>
  <c r="A182" i="30"/>
  <c r="M181" i="30"/>
  <c r="J181" i="30"/>
  <c r="G181" i="30"/>
  <c r="D181" i="30"/>
  <c r="B181" i="30"/>
  <c r="A181" i="30"/>
  <c r="M180" i="30"/>
  <c r="J180" i="30"/>
  <c r="G180" i="30"/>
  <c r="D180" i="30"/>
  <c r="B180" i="30"/>
  <c r="A180" i="30"/>
  <c r="M179" i="30"/>
  <c r="J179" i="30"/>
  <c r="G179" i="30"/>
  <c r="D179" i="30"/>
  <c r="B179" i="30"/>
  <c r="A179" i="30"/>
  <c r="M178" i="30"/>
  <c r="J178" i="30"/>
  <c r="G178" i="30"/>
  <c r="I178" i="30" s="1"/>
  <c r="D178" i="30"/>
  <c r="B178" i="30"/>
  <c r="A178" i="30"/>
  <c r="M177" i="30"/>
  <c r="J177" i="30"/>
  <c r="G177" i="30"/>
  <c r="D177" i="30"/>
  <c r="B177" i="30"/>
  <c r="A177" i="30"/>
  <c r="M176" i="30"/>
  <c r="J176" i="30"/>
  <c r="G176" i="30"/>
  <c r="I176" i="30" s="1"/>
  <c r="D176" i="30"/>
  <c r="B176" i="30"/>
  <c r="A176" i="30"/>
  <c r="M175" i="30"/>
  <c r="J175" i="30"/>
  <c r="G175" i="30"/>
  <c r="D175" i="30"/>
  <c r="B175" i="30"/>
  <c r="A175" i="30"/>
  <c r="M174" i="30"/>
  <c r="J174" i="30"/>
  <c r="G174" i="30"/>
  <c r="I174" i="30" s="1"/>
  <c r="D174" i="30"/>
  <c r="B174" i="30"/>
  <c r="A174" i="30"/>
  <c r="M173" i="30"/>
  <c r="J173" i="30"/>
  <c r="G173" i="30"/>
  <c r="D173" i="30"/>
  <c r="B173" i="30"/>
  <c r="A173" i="30"/>
  <c r="M172" i="30"/>
  <c r="J172" i="30"/>
  <c r="G172" i="30"/>
  <c r="I172" i="30" s="1"/>
  <c r="D172" i="30"/>
  <c r="B172" i="30"/>
  <c r="A172" i="30"/>
  <c r="M171" i="30"/>
  <c r="J171" i="30"/>
  <c r="G171" i="30"/>
  <c r="D171" i="30"/>
  <c r="B171" i="30"/>
  <c r="A171" i="30"/>
  <c r="M170" i="30"/>
  <c r="J170" i="30"/>
  <c r="G170" i="30"/>
  <c r="I170" i="30" s="1"/>
  <c r="D170" i="30"/>
  <c r="B170" i="30"/>
  <c r="A170" i="30"/>
  <c r="M169" i="30"/>
  <c r="J169" i="30"/>
  <c r="G169" i="30"/>
  <c r="D169" i="30"/>
  <c r="B169" i="30"/>
  <c r="A169" i="30"/>
  <c r="M168" i="30"/>
  <c r="J168" i="30"/>
  <c r="G168" i="30"/>
  <c r="D168" i="30"/>
  <c r="B168" i="30"/>
  <c r="A168" i="30"/>
  <c r="M167" i="30"/>
  <c r="J167" i="30"/>
  <c r="G167" i="30"/>
  <c r="D167" i="30"/>
  <c r="B167" i="30"/>
  <c r="A167" i="30"/>
  <c r="M166" i="30"/>
  <c r="J166" i="30"/>
  <c r="G166" i="30"/>
  <c r="D166" i="30"/>
  <c r="B166" i="30"/>
  <c r="A166" i="30"/>
  <c r="M165" i="30"/>
  <c r="J165" i="30"/>
  <c r="G165" i="30"/>
  <c r="D165" i="30"/>
  <c r="B165" i="30"/>
  <c r="A165" i="30"/>
  <c r="M164" i="30"/>
  <c r="J164" i="30"/>
  <c r="G164" i="30"/>
  <c r="I164" i="30" s="1"/>
  <c r="D164" i="30"/>
  <c r="B164" i="30"/>
  <c r="A164" i="30"/>
  <c r="M163" i="30"/>
  <c r="J163" i="30"/>
  <c r="G163" i="30"/>
  <c r="I163" i="30" s="1"/>
  <c r="D163" i="30"/>
  <c r="B163" i="30"/>
  <c r="A163" i="30"/>
  <c r="M162" i="30"/>
  <c r="J162" i="30"/>
  <c r="G162" i="30"/>
  <c r="I162" i="30" s="1"/>
  <c r="D162" i="30"/>
  <c r="B162" i="30"/>
  <c r="A162" i="30"/>
  <c r="M161" i="30"/>
  <c r="J161" i="30"/>
  <c r="G161" i="30"/>
  <c r="D161" i="30"/>
  <c r="B161" i="30"/>
  <c r="A161" i="30"/>
  <c r="M160" i="30"/>
  <c r="J160" i="30"/>
  <c r="G160" i="30"/>
  <c r="I160" i="30" s="1"/>
  <c r="D160" i="30"/>
  <c r="B160" i="30"/>
  <c r="A160" i="30"/>
  <c r="M159" i="30"/>
  <c r="J159" i="30"/>
  <c r="G159" i="30"/>
  <c r="D159" i="30"/>
  <c r="B159" i="30"/>
  <c r="A159" i="30"/>
  <c r="M158" i="30"/>
  <c r="J158" i="30"/>
  <c r="G158" i="30"/>
  <c r="I158" i="30" s="1"/>
  <c r="D158" i="30"/>
  <c r="B158" i="30"/>
  <c r="A158" i="30"/>
  <c r="M157" i="30"/>
  <c r="J157" i="30"/>
  <c r="G157" i="30"/>
  <c r="D157" i="30"/>
  <c r="B157" i="30"/>
  <c r="A157" i="30"/>
  <c r="M156" i="30"/>
  <c r="J156" i="30"/>
  <c r="G156" i="30"/>
  <c r="D156" i="30"/>
  <c r="B156" i="30"/>
  <c r="A156" i="30"/>
  <c r="M155" i="30"/>
  <c r="J155" i="30"/>
  <c r="G155" i="30"/>
  <c r="D155" i="30"/>
  <c r="B155" i="30"/>
  <c r="A155" i="30"/>
  <c r="M154" i="30"/>
  <c r="J154" i="30"/>
  <c r="G154" i="30"/>
  <c r="D154" i="30"/>
  <c r="B154" i="30"/>
  <c r="A154" i="30"/>
  <c r="M153" i="30"/>
  <c r="J153" i="30"/>
  <c r="G153" i="30"/>
  <c r="D153" i="30"/>
  <c r="B153" i="30"/>
  <c r="A153" i="30"/>
  <c r="M152" i="30"/>
  <c r="J152" i="30"/>
  <c r="G152" i="30"/>
  <c r="D152" i="30"/>
  <c r="B152" i="30"/>
  <c r="A152" i="30"/>
  <c r="M151" i="30"/>
  <c r="J151" i="30"/>
  <c r="G151" i="30"/>
  <c r="D151" i="30"/>
  <c r="B151" i="30"/>
  <c r="A151" i="30"/>
  <c r="M150" i="30"/>
  <c r="J150" i="30"/>
  <c r="G150" i="30"/>
  <c r="I150" i="30" s="1"/>
  <c r="D150" i="30"/>
  <c r="B150" i="30"/>
  <c r="A150" i="30"/>
  <c r="M149" i="30"/>
  <c r="J149" i="30"/>
  <c r="G149" i="30"/>
  <c r="I149" i="30" s="1"/>
  <c r="D149" i="30"/>
  <c r="B149" i="30"/>
  <c r="A149" i="30"/>
  <c r="M148" i="30"/>
  <c r="J148" i="30"/>
  <c r="G148" i="30"/>
  <c r="I148" i="30" s="1"/>
  <c r="D148" i="30"/>
  <c r="B148" i="30"/>
  <c r="A148" i="30"/>
  <c r="M147" i="30"/>
  <c r="J147" i="30"/>
  <c r="G147" i="30"/>
  <c r="D147" i="30"/>
  <c r="B147" i="30"/>
  <c r="A147" i="30"/>
  <c r="M146" i="30"/>
  <c r="J146" i="30"/>
  <c r="G146" i="30"/>
  <c r="I146" i="30" s="1"/>
  <c r="D146" i="30"/>
  <c r="B146" i="30"/>
  <c r="A146" i="30"/>
  <c r="M145" i="30"/>
  <c r="J145" i="30"/>
  <c r="G145" i="30"/>
  <c r="D145" i="30"/>
  <c r="B145" i="30"/>
  <c r="A145" i="30"/>
  <c r="M144" i="30"/>
  <c r="J144" i="30"/>
  <c r="G144" i="30"/>
  <c r="D144" i="30"/>
  <c r="B144" i="30"/>
  <c r="A144" i="30"/>
  <c r="M143" i="30"/>
  <c r="J143" i="30"/>
  <c r="G143" i="30"/>
  <c r="D143" i="30"/>
  <c r="B143" i="30"/>
  <c r="A143" i="30"/>
  <c r="M142" i="30"/>
  <c r="J142" i="30"/>
  <c r="G142" i="30"/>
  <c r="I142" i="30" s="1"/>
  <c r="D142" i="30"/>
  <c r="B142" i="30"/>
  <c r="A142" i="30"/>
  <c r="M141" i="30"/>
  <c r="J141" i="30"/>
  <c r="G141" i="30"/>
  <c r="D141" i="30"/>
  <c r="B141" i="30"/>
  <c r="A141" i="30"/>
  <c r="M140" i="30"/>
  <c r="J140" i="30"/>
  <c r="G140" i="30"/>
  <c r="D140" i="30"/>
  <c r="B140" i="30"/>
  <c r="A140" i="30"/>
  <c r="M139" i="30"/>
  <c r="J139" i="30"/>
  <c r="G139" i="30"/>
  <c r="I139" i="30" s="1"/>
  <c r="D139" i="30"/>
  <c r="B139" i="30"/>
  <c r="A139" i="30"/>
  <c r="M138" i="30"/>
  <c r="J138" i="30"/>
  <c r="G138" i="30"/>
  <c r="D138" i="30"/>
  <c r="B138" i="30"/>
  <c r="A138" i="30"/>
  <c r="M137" i="30"/>
  <c r="J137" i="30"/>
  <c r="G137" i="30"/>
  <c r="D137" i="30"/>
  <c r="B137" i="30"/>
  <c r="A137" i="30"/>
  <c r="M136" i="30"/>
  <c r="J136" i="30"/>
  <c r="G136" i="30"/>
  <c r="I136" i="30" s="1"/>
  <c r="D136" i="30"/>
  <c r="B136" i="30"/>
  <c r="A136" i="30"/>
  <c r="M135" i="30"/>
  <c r="J135" i="30"/>
  <c r="G135" i="30"/>
  <c r="D135" i="30"/>
  <c r="B135" i="30"/>
  <c r="A135" i="30"/>
  <c r="M134" i="30"/>
  <c r="J134" i="30"/>
  <c r="G134" i="30"/>
  <c r="I134" i="30" s="1"/>
  <c r="D134" i="30"/>
  <c r="B134" i="30"/>
  <c r="A134" i="30"/>
  <c r="M133" i="30"/>
  <c r="J133" i="30"/>
  <c r="G133" i="30"/>
  <c r="D133" i="30"/>
  <c r="B133" i="30"/>
  <c r="A133" i="30"/>
  <c r="M132" i="30"/>
  <c r="J132" i="30"/>
  <c r="G132" i="30"/>
  <c r="D132" i="30"/>
  <c r="B132" i="30"/>
  <c r="A132" i="30"/>
  <c r="M131" i="30"/>
  <c r="J131" i="30"/>
  <c r="G131" i="30"/>
  <c r="D131" i="30"/>
  <c r="B131" i="30"/>
  <c r="A131" i="30"/>
  <c r="M130" i="30"/>
  <c r="J130" i="30"/>
  <c r="G130" i="30"/>
  <c r="I130" i="30" s="1"/>
  <c r="D130" i="30"/>
  <c r="B130" i="30"/>
  <c r="A130" i="30"/>
  <c r="M129" i="30"/>
  <c r="J129" i="30"/>
  <c r="G129" i="30"/>
  <c r="D129" i="30"/>
  <c r="B129" i="30"/>
  <c r="A129" i="30"/>
  <c r="M128" i="30"/>
  <c r="J128" i="30"/>
  <c r="G128" i="30"/>
  <c r="I128" i="30" s="1"/>
  <c r="D128" i="30"/>
  <c r="B128" i="30"/>
  <c r="A128" i="30"/>
  <c r="M127" i="30"/>
  <c r="J127" i="30"/>
  <c r="G127" i="30"/>
  <c r="D127" i="30"/>
  <c r="B127" i="30"/>
  <c r="A127" i="30"/>
  <c r="M126" i="30"/>
  <c r="J126" i="30"/>
  <c r="G126" i="30"/>
  <c r="D126" i="30"/>
  <c r="B126" i="30"/>
  <c r="A126" i="30"/>
  <c r="M125" i="30"/>
  <c r="J125" i="30"/>
  <c r="G125" i="30"/>
  <c r="I125" i="30" s="1"/>
  <c r="D125" i="30"/>
  <c r="B125" i="30"/>
  <c r="A125" i="30"/>
  <c r="M124" i="30"/>
  <c r="J124" i="30"/>
  <c r="G124" i="30"/>
  <c r="D124" i="30"/>
  <c r="B124" i="30"/>
  <c r="A124" i="30"/>
  <c r="M123" i="30"/>
  <c r="J123" i="30"/>
  <c r="G123" i="30"/>
  <c r="D123" i="30"/>
  <c r="B123" i="30"/>
  <c r="A123" i="30"/>
  <c r="M122" i="30"/>
  <c r="J122" i="30"/>
  <c r="G122" i="30"/>
  <c r="I122" i="30" s="1"/>
  <c r="D122" i="30"/>
  <c r="B122" i="30"/>
  <c r="A122" i="30"/>
  <c r="M121" i="30"/>
  <c r="J121" i="30"/>
  <c r="G121" i="30"/>
  <c r="D121" i="30"/>
  <c r="B121" i="30"/>
  <c r="A121" i="30"/>
  <c r="M120" i="30"/>
  <c r="J120" i="30"/>
  <c r="G120" i="30"/>
  <c r="D120" i="30"/>
  <c r="B120" i="30"/>
  <c r="A120" i="30"/>
  <c r="M119" i="30"/>
  <c r="J119" i="30"/>
  <c r="G119" i="30"/>
  <c r="D119" i="30"/>
  <c r="B119" i="30"/>
  <c r="A119" i="30"/>
  <c r="M118" i="30"/>
  <c r="J118" i="30"/>
  <c r="G118" i="30"/>
  <c r="I118" i="30" s="1"/>
  <c r="D118" i="30"/>
  <c r="B118" i="30"/>
  <c r="A118" i="30"/>
  <c r="M117" i="30"/>
  <c r="J117" i="30"/>
  <c r="G117" i="30"/>
  <c r="D117" i="30"/>
  <c r="B117" i="30"/>
  <c r="A117" i="30"/>
  <c r="M116" i="30"/>
  <c r="J116" i="30"/>
  <c r="G116" i="30"/>
  <c r="I116" i="30" s="1"/>
  <c r="D116" i="30"/>
  <c r="B116" i="30"/>
  <c r="A116" i="30"/>
  <c r="M115" i="30"/>
  <c r="J115" i="30"/>
  <c r="G115" i="30"/>
  <c r="I115" i="30" s="1"/>
  <c r="D115" i="30"/>
  <c r="B115" i="30"/>
  <c r="A115" i="30"/>
  <c r="M114" i="30"/>
  <c r="J114" i="30"/>
  <c r="G114" i="30"/>
  <c r="I114" i="30" s="1"/>
  <c r="D114" i="30"/>
  <c r="B114" i="30"/>
  <c r="A114" i="30"/>
  <c r="M113" i="30"/>
  <c r="J113" i="30"/>
  <c r="G113" i="30"/>
  <c r="D113" i="30"/>
  <c r="B113" i="30"/>
  <c r="A113" i="30"/>
  <c r="M112" i="30"/>
  <c r="J112" i="30"/>
  <c r="G112" i="30"/>
  <c r="D112" i="30"/>
  <c r="B112" i="30"/>
  <c r="A112" i="30"/>
  <c r="M111" i="30"/>
  <c r="J111" i="30"/>
  <c r="G111" i="30"/>
  <c r="D111" i="30"/>
  <c r="B111" i="30"/>
  <c r="A111" i="30"/>
  <c r="M110" i="30"/>
  <c r="J110" i="30"/>
  <c r="G110" i="30"/>
  <c r="D110" i="30"/>
  <c r="B110" i="30"/>
  <c r="A110" i="30"/>
  <c r="M109" i="30"/>
  <c r="J109" i="30"/>
  <c r="G109" i="30"/>
  <c r="D109" i="30"/>
  <c r="B109" i="30"/>
  <c r="A109" i="30"/>
  <c r="M108" i="30"/>
  <c r="J108" i="30"/>
  <c r="G108" i="30"/>
  <c r="D108" i="30"/>
  <c r="B108" i="30"/>
  <c r="A108" i="30"/>
  <c r="M107" i="30"/>
  <c r="J107" i="30"/>
  <c r="G107" i="30"/>
  <c r="I107" i="30" s="1"/>
  <c r="D107" i="30"/>
  <c r="B107" i="30"/>
  <c r="A107" i="30"/>
  <c r="M106" i="30"/>
  <c r="J106" i="30"/>
  <c r="G106" i="30"/>
  <c r="I106" i="30" s="1"/>
  <c r="D106" i="30"/>
  <c r="B106" i="30"/>
  <c r="A106" i="30"/>
  <c r="M105" i="30"/>
  <c r="J105" i="30"/>
  <c r="G105" i="30"/>
  <c r="D105" i="30"/>
  <c r="B105" i="30"/>
  <c r="A105" i="30"/>
  <c r="M104" i="30"/>
  <c r="J104" i="30"/>
  <c r="G104" i="30"/>
  <c r="I104" i="30" s="1"/>
  <c r="D104" i="30"/>
  <c r="B104" i="30"/>
  <c r="A104" i="30"/>
  <c r="M103" i="30"/>
  <c r="J103" i="30"/>
  <c r="G103" i="30"/>
  <c r="D103" i="30"/>
  <c r="B103" i="30"/>
  <c r="A103" i="30"/>
  <c r="M102" i="30"/>
  <c r="J102" i="30"/>
  <c r="G102" i="30"/>
  <c r="I102" i="30" s="1"/>
  <c r="D102" i="30"/>
  <c r="B102" i="30"/>
  <c r="A102" i="30"/>
  <c r="M101" i="30"/>
  <c r="J101" i="30"/>
  <c r="G101" i="30"/>
  <c r="I101" i="30" s="1"/>
  <c r="D101" i="30"/>
  <c r="B101" i="30"/>
  <c r="A101" i="30"/>
  <c r="M100" i="30"/>
  <c r="J100" i="30"/>
  <c r="G100" i="30"/>
  <c r="I100" i="30" s="1"/>
  <c r="D100" i="30"/>
  <c r="B100" i="30"/>
  <c r="A100" i="30"/>
  <c r="M99" i="30"/>
  <c r="J99" i="30"/>
  <c r="G99" i="30"/>
  <c r="D99" i="30"/>
  <c r="B99" i="30"/>
  <c r="A99" i="30"/>
  <c r="M98" i="30"/>
  <c r="J98" i="30"/>
  <c r="G98" i="30"/>
  <c r="D98" i="30"/>
  <c r="B98" i="30"/>
  <c r="A98" i="30"/>
  <c r="M97" i="30"/>
  <c r="J97" i="30"/>
  <c r="G97" i="30"/>
  <c r="D97" i="30"/>
  <c r="B97" i="30"/>
  <c r="A97" i="30"/>
  <c r="M96" i="30"/>
  <c r="J96" i="30"/>
  <c r="G96" i="30"/>
  <c r="D96" i="30"/>
  <c r="B96" i="30"/>
  <c r="A96" i="30"/>
  <c r="M95" i="30"/>
  <c r="J95" i="30"/>
  <c r="G95" i="30"/>
  <c r="D95" i="30"/>
  <c r="B95" i="30"/>
  <c r="A95" i="30"/>
  <c r="M94" i="30"/>
  <c r="J94" i="30"/>
  <c r="G94" i="30"/>
  <c r="I94" i="30" s="1"/>
  <c r="D94" i="30"/>
  <c r="B94" i="30"/>
  <c r="A94" i="30"/>
  <c r="M93" i="30"/>
  <c r="J93" i="30"/>
  <c r="G93" i="30"/>
  <c r="I93" i="30" s="1"/>
  <c r="D93" i="30"/>
  <c r="B93" i="30"/>
  <c r="A93" i="30"/>
  <c r="M92" i="30"/>
  <c r="J92" i="30"/>
  <c r="G92" i="30"/>
  <c r="I92" i="30" s="1"/>
  <c r="D92" i="30"/>
  <c r="B92" i="30"/>
  <c r="A92" i="30"/>
  <c r="M91" i="30"/>
  <c r="J91" i="30"/>
  <c r="G91" i="30"/>
  <c r="D91" i="30"/>
  <c r="B91" i="30"/>
  <c r="A91" i="30"/>
  <c r="M90" i="30"/>
  <c r="J90" i="30"/>
  <c r="G90" i="30"/>
  <c r="I90" i="30" s="1"/>
  <c r="D90" i="30"/>
  <c r="B90" i="30"/>
  <c r="A90" i="30"/>
  <c r="M89" i="30"/>
  <c r="J89" i="30"/>
  <c r="G89" i="30"/>
  <c r="D89" i="30"/>
  <c r="B89" i="30"/>
  <c r="A89" i="30"/>
  <c r="M88" i="30"/>
  <c r="J88" i="30"/>
  <c r="G88" i="30"/>
  <c r="I88" i="30" s="1"/>
  <c r="D88" i="30"/>
  <c r="B88" i="30"/>
  <c r="A88" i="30"/>
  <c r="M87" i="30"/>
  <c r="J87" i="30"/>
  <c r="G87" i="30"/>
  <c r="D87" i="30"/>
  <c r="B87" i="30"/>
  <c r="A87" i="30"/>
  <c r="M86" i="30"/>
  <c r="J86" i="30"/>
  <c r="G86" i="30"/>
  <c r="I86" i="30" s="1"/>
  <c r="D86" i="30"/>
  <c r="B86" i="30"/>
  <c r="A86" i="30"/>
  <c r="M85" i="30"/>
  <c r="J85" i="30"/>
  <c r="G85" i="30"/>
  <c r="D85" i="30"/>
  <c r="B85" i="30"/>
  <c r="A85" i="30"/>
  <c r="M84" i="30"/>
  <c r="J84" i="30"/>
  <c r="G84" i="30"/>
  <c r="D84" i="30"/>
  <c r="B84" i="30"/>
  <c r="A84" i="30"/>
  <c r="M83" i="30"/>
  <c r="J83" i="30"/>
  <c r="G83" i="30"/>
  <c r="I83" i="30" s="1"/>
  <c r="D83" i="30"/>
  <c r="B83" i="30"/>
  <c r="A83" i="30"/>
  <c r="M82" i="30"/>
  <c r="J82" i="30"/>
  <c r="G82" i="30"/>
  <c r="D82" i="30"/>
  <c r="B82" i="30"/>
  <c r="A82" i="30"/>
  <c r="M81" i="30"/>
  <c r="J81" i="30"/>
  <c r="G81" i="30"/>
  <c r="D81" i="30"/>
  <c r="B81" i="30"/>
  <c r="A81" i="30"/>
  <c r="M80" i="30"/>
  <c r="J80" i="30"/>
  <c r="G80" i="30"/>
  <c r="I80" i="30" s="1"/>
  <c r="D80" i="30"/>
  <c r="B80" i="30"/>
  <c r="A80" i="30"/>
  <c r="M79" i="30"/>
  <c r="J79" i="30"/>
  <c r="G79" i="30"/>
  <c r="D79" i="30"/>
  <c r="B79" i="30"/>
  <c r="A79" i="30"/>
  <c r="M78" i="30"/>
  <c r="J78" i="30"/>
  <c r="G78" i="30"/>
  <c r="I78" i="30" s="1"/>
  <c r="D78" i="30"/>
  <c r="B78" i="30"/>
  <c r="A78" i="30"/>
  <c r="M77" i="30"/>
  <c r="J77" i="30"/>
  <c r="G77" i="30"/>
  <c r="D77" i="30"/>
  <c r="B77" i="30"/>
  <c r="A77" i="30"/>
  <c r="M76" i="30"/>
  <c r="J76" i="30"/>
  <c r="G76" i="30"/>
  <c r="I76" i="30" s="1"/>
  <c r="D76" i="30"/>
  <c r="B76" i="30"/>
  <c r="A76" i="30"/>
  <c r="M75" i="30"/>
  <c r="J75" i="30"/>
  <c r="G75" i="30"/>
  <c r="D75" i="30"/>
  <c r="B75" i="30"/>
  <c r="A75" i="30"/>
  <c r="M74" i="30"/>
  <c r="J74" i="30"/>
  <c r="G74" i="30"/>
  <c r="I74" i="30" s="1"/>
  <c r="D74" i="30"/>
  <c r="B74" i="30"/>
  <c r="A74" i="30"/>
  <c r="M73" i="30"/>
  <c r="J73" i="30"/>
  <c r="G73" i="30"/>
  <c r="D73" i="30"/>
  <c r="B73" i="30"/>
  <c r="A73" i="30"/>
  <c r="M72" i="30"/>
  <c r="J72" i="30"/>
  <c r="G72" i="30"/>
  <c r="D72" i="30"/>
  <c r="B72" i="30"/>
  <c r="A72" i="30"/>
  <c r="M71" i="30"/>
  <c r="J71" i="30"/>
  <c r="G71" i="30"/>
  <c r="D71" i="30"/>
  <c r="B71" i="30"/>
  <c r="A71" i="30"/>
  <c r="M70" i="30"/>
  <c r="J70" i="30"/>
  <c r="G70" i="30"/>
  <c r="D70" i="30"/>
  <c r="B70" i="30"/>
  <c r="A70" i="30"/>
  <c r="M69" i="30"/>
  <c r="J69" i="30"/>
  <c r="G69" i="30"/>
  <c r="I69" i="30" s="1"/>
  <c r="D69" i="30"/>
  <c r="B69" i="30"/>
  <c r="A69" i="30"/>
  <c r="M68" i="30"/>
  <c r="J68" i="30"/>
  <c r="G68" i="30"/>
  <c r="D68" i="30"/>
  <c r="B68" i="30"/>
  <c r="A68" i="30"/>
  <c r="M67" i="30"/>
  <c r="J67" i="30"/>
  <c r="G67" i="30"/>
  <c r="D67" i="30"/>
  <c r="B67" i="30"/>
  <c r="A67" i="30"/>
  <c r="M66" i="30"/>
  <c r="J66" i="30"/>
  <c r="G66" i="30"/>
  <c r="I66" i="30" s="1"/>
  <c r="D66" i="30"/>
  <c r="B66" i="30"/>
  <c r="A66" i="30"/>
  <c r="M65" i="30"/>
  <c r="J65" i="30"/>
  <c r="G65" i="30"/>
  <c r="D65" i="30"/>
  <c r="B65" i="30"/>
  <c r="A65" i="30"/>
  <c r="M64" i="30"/>
  <c r="J64" i="30"/>
  <c r="G64" i="30"/>
  <c r="I64" i="30" s="1"/>
  <c r="D64" i="30"/>
  <c r="B64" i="30"/>
  <c r="A64" i="30"/>
  <c r="M63" i="30"/>
  <c r="J63" i="30"/>
  <c r="G63" i="30"/>
  <c r="D63" i="30"/>
  <c r="B63" i="30"/>
  <c r="A63" i="30"/>
  <c r="M62" i="30"/>
  <c r="J62" i="30"/>
  <c r="G62" i="30"/>
  <c r="I62" i="30" s="1"/>
  <c r="D62" i="30"/>
  <c r="B62" i="30"/>
  <c r="A62" i="30"/>
  <c r="M61" i="30"/>
  <c r="J61" i="30"/>
  <c r="G61" i="30"/>
  <c r="D61" i="30"/>
  <c r="B61" i="30"/>
  <c r="A61" i="30"/>
  <c r="M60" i="30"/>
  <c r="J60" i="30"/>
  <c r="G60" i="30"/>
  <c r="D60" i="30"/>
  <c r="B60" i="30"/>
  <c r="A60" i="30"/>
  <c r="M59" i="30"/>
  <c r="J59" i="30"/>
  <c r="G59" i="30"/>
  <c r="I59" i="30" s="1"/>
  <c r="D59" i="30"/>
  <c r="B59" i="30"/>
  <c r="A59" i="30"/>
  <c r="M58" i="30"/>
  <c r="J58" i="30"/>
  <c r="G58" i="30"/>
  <c r="I58" i="30" s="1"/>
  <c r="D58" i="30"/>
  <c r="B58" i="30"/>
  <c r="A58" i="30"/>
  <c r="M57" i="30"/>
  <c r="J57" i="30"/>
  <c r="G57" i="30"/>
  <c r="D57" i="30"/>
  <c r="B57" i="30"/>
  <c r="A57" i="30"/>
  <c r="M56" i="30"/>
  <c r="J56" i="30"/>
  <c r="G56" i="30"/>
  <c r="D56" i="30"/>
  <c r="B56" i="30"/>
  <c r="A56" i="30"/>
  <c r="M55" i="30"/>
  <c r="J55" i="30"/>
  <c r="G55" i="30"/>
  <c r="D55" i="30"/>
  <c r="B55" i="30"/>
  <c r="A55" i="30"/>
  <c r="M54" i="30"/>
  <c r="J54" i="30"/>
  <c r="G54" i="30"/>
  <c r="D54" i="30"/>
  <c r="B54" i="30"/>
  <c r="A54" i="30"/>
  <c r="M53" i="30"/>
  <c r="J53" i="30"/>
  <c r="G53" i="30"/>
  <c r="D53" i="30"/>
  <c r="B53" i="30"/>
  <c r="A53" i="30"/>
  <c r="M52" i="30"/>
  <c r="J52" i="30"/>
  <c r="G52" i="30"/>
  <c r="I52" i="30" s="1"/>
  <c r="D52" i="30"/>
  <c r="B52" i="30"/>
  <c r="A52" i="30"/>
  <c r="M51" i="30"/>
  <c r="J51" i="30"/>
  <c r="G51" i="30"/>
  <c r="D51" i="30"/>
  <c r="B51" i="30"/>
  <c r="A51" i="30"/>
  <c r="M50" i="30"/>
  <c r="J50" i="30"/>
  <c r="G50" i="30"/>
  <c r="I50" i="30" s="1"/>
  <c r="D50" i="30"/>
  <c r="B50" i="30"/>
  <c r="A50" i="30"/>
  <c r="M49" i="30"/>
  <c r="J49" i="30"/>
  <c r="G49" i="30"/>
  <c r="D49" i="30"/>
  <c r="B49" i="30"/>
  <c r="A49" i="30"/>
  <c r="M48" i="30"/>
  <c r="J48" i="30"/>
  <c r="G48" i="30"/>
  <c r="D48" i="30"/>
  <c r="B48" i="30"/>
  <c r="A48" i="30"/>
  <c r="M47" i="30"/>
  <c r="J47" i="30"/>
  <c r="G47" i="30"/>
  <c r="D47" i="30"/>
  <c r="B47" i="30"/>
  <c r="A47" i="30"/>
  <c r="M46" i="30"/>
  <c r="J46" i="30"/>
  <c r="G46" i="30"/>
  <c r="I46" i="30" s="1"/>
  <c r="D46" i="30"/>
  <c r="B46" i="30"/>
  <c r="A46" i="30"/>
  <c r="M45" i="30"/>
  <c r="J45" i="30"/>
  <c r="G45" i="30"/>
  <c r="I45" i="30" s="1"/>
  <c r="D45" i="30"/>
  <c r="B45" i="30"/>
  <c r="A45" i="30"/>
  <c r="M44" i="30"/>
  <c r="J44" i="30"/>
  <c r="G44" i="30"/>
  <c r="I44" i="30" s="1"/>
  <c r="D44" i="30"/>
  <c r="B44" i="30"/>
  <c r="A44" i="30"/>
  <c r="M43" i="30"/>
  <c r="J43" i="30"/>
  <c r="G43" i="30"/>
  <c r="D43" i="30"/>
  <c r="B43" i="30"/>
  <c r="A43" i="30"/>
  <c r="M42" i="30"/>
  <c r="J42" i="30"/>
  <c r="G42" i="30"/>
  <c r="D42" i="30"/>
  <c r="B42" i="30"/>
  <c r="A42" i="30"/>
  <c r="M41" i="30"/>
  <c r="J41" i="30"/>
  <c r="G41" i="30"/>
  <c r="D41" i="30"/>
  <c r="B41" i="30"/>
  <c r="A41" i="30"/>
  <c r="M40" i="30"/>
  <c r="J40" i="30"/>
  <c r="G40" i="30"/>
  <c r="D40" i="30"/>
  <c r="B40" i="30"/>
  <c r="A40" i="30"/>
  <c r="M39" i="30"/>
  <c r="J39" i="30"/>
  <c r="G39" i="30"/>
  <c r="D39" i="30"/>
  <c r="B39" i="30"/>
  <c r="A39" i="30"/>
  <c r="M38" i="30"/>
  <c r="J38" i="30"/>
  <c r="G38" i="30"/>
  <c r="I38" i="30" s="1"/>
  <c r="D38" i="30"/>
  <c r="B38" i="30"/>
  <c r="A38" i="30"/>
  <c r="M37" i="30"/>
  <c r="J37" i="30"/>
  <c r="G37" i="30"/>
  <c r="D37" i="30"/>
  <c r="B37" i="30"/>
  <c r="A37" i="30"/>
  <c r="M36" i="30"/>
  <c r="J36" i="30"/>
  <c r="G36" i="30"/>
  <c r="D36" i="30"/>
  <c r="B36" i="30"/>
  <c r="A36" i="30"/>
  <c r="M35" i="30"/>
  <c r="J35" i="30"/>
  <c r="G35" i="30"/>
  <c r="D35" i="30"/>
  <c r="B35" i="30"/>
  <c r="A35" i="30"/>
  <c r="M34" i="30"/>
  <c r="J34" i="30"/>
  <c r="G34" i="30"/>
  <c r="D34" i="30"/>
  <c r="B34" i="30"/>
  <c r="A34" i="30"/>
  <c r="M33" i="30"/>
  <c r="J33" i="30"/>
  <c r="G33" i="30"/>
  <c r="D33" i="30"/>
  <c r="B33" i="30"/>
  <c r="A33" i="30"/>
  <c r="M32" i="30"/>
  <c r="G32" i="30"/>
  <c r="I32" i="30" s="1"/>
  <c r="D32" i="30"/>
  <c r="B32" i="30"/>
  <c r="A32" i="30"/>
  <c r="M31" i="30"/>
  <c r="G31" i="30"/>
  <c r="D31" i="30"/>
  <c r="B31" i="30"/>
  <c r="A31" i="30"/>
  <c r="M30" i="30"/>
  <c r="G30" i="30"/>
  <c r="I30" i="30" s="1"/>
  <c r="D30" i="30"/>
  <c r="B30" i="30"/>
  <c r="A30" i="30"/>
  <c r="M29" i="30"/>
  <c r="G29" i="30"/>
  <c r="D29" i="30"/>
  <c r="B29" i="30"/>
  <c r="A29" i="30"/>
  <c r="M28" i="30"/>
  <c r="G28" i="30"/>
  <c r="D28" i="30"/>
  <c r="B28" i="30"/>
  <c r="A28" i="30"/>
  <c r="M27" i="30"/>
  <c r="G27" i="30"/>
  <c r="D27" i="30"/>
  <c r="B27" i="30"/>
  <c r="A27" i="30"/>
  <c r="M26" i="30"/>
  <c r="G26" i="30"/>
  <c r="D26" i="30"/>
  <c r="B26" i="30"/>
  <c r="A26" i="30"/>
  <c r="M25" i="30"/>
  <c r="G25" i="30"/>
  <c r="D25" i="30"/>
  <c r="B25" i="30"/>
  <c r="A25" i="30"/>
  <c r="M24" i="30"/>
  <c r="G24" i="30"/>
  <c r="D24" i="30"/>
  <c r="B24" i="30"/>
  <c r="A24" i="30"/>
  <c r="M23" i="30"/>
  <c r="G23" i="30"/>
  <c r="D23" i="30"/>
  <c r="B23" i="30"/>
  <c r="A23" i="30"/>
  <c r="M22" i="30"/>
  <c r="G22" i="30"/>
  <c r="I22" i="30" s="1"/>
  <c r="D22" i="30"/>
  <c r="B22" i="30"/>
  <c r="A22" i="30"/>
  <c r="M21" i="30"/>
  <c r="G21" i="30"/>
  <c r="D21" i="30"/>
  <c r="B21" i="30"/>
  <c r="A21" i="30"/>
  <c r="M20" i="30"/>
  <c r="G20" i="30"/>
  <c r="I20" i="30" s="1"/>
  <c r="D20" i="30"/>
  <c r="B20" i="30"/>
  <c r="A20" i="30"/>
  <c r="M19" i="30"/>
  <c r="G19" i="30"/>
  <c r="D19" i="30"/>
  <c r="B19" i="30"/>
  <c r="A19" i="30"/>
  <c r="M18" i="30"/>
  <c r="G18" i="30"/>
  <c r="D18" i="30"/>
  <c r="B18" i="30"/>
  <c r="A18" i="30"/>
  <c r="M17" i="30"/>
  <c r="G17" i="30"/>
  <c r="D17" i="30"/>
  <c r="B17" i="30"/>
  <c r="A17" i="30"/>
  <c r="M16" i="30"/>
  <c r="G16" i="30"/>
  <c r="I16" i="30" s="1"/>
  <c r="D16" i="30"/>
  <c r="B16" i="30"/>
  <c r="M15" i="30"/>
  <c r="G15" i="30"/>
  <c r="D15" i="30"/>
  <c r="B15" i="30"/>
  <c r="A15" i="30"/>
  <c r="M14" i="30"/>
  <c r="J14" i="30"/>
  <c r="G14" i="30"/>
  <c r="D14" i="30"/>
  <c r="B14" i="30"/>
  <c r="A14" i="30"/>
  <c r="M13" i="30"/>
  <c r="J13" i="30"/>
  <c r="G13" i="30"/>
  <c r="D13" i="30"/>
  <c r="B13" i="30"/>
  <c r="A13" i="30"/>
  <c r="M12" i="30"/>
  <c r="J12" i="30"/>
  <c r="G12" i="30"/>
  <c r="D12" i="30"/>
  <c r="B12" i="30"/>
  <c r="A12" i="30"/>
  <c r="M11" i="30"/>
  <c r="J11" i="30"/>
  <c r="G11" i="30"/>
  <c r="D11" i="30"/>
  <c r="B11" i="30"/>
  <c r="A11" i="30"/>
  <c r="M10" i="30"/>
  <c r="J10" i="30"/>
  <c r="G10" i="30"/>
  <c r="D10" i="30"/>
  <c r="B10" i="30"/>
  <c r="A10" i="30"/>
  <c r="M9" i="30"/>
  <c r="J9" i="30"/>
  <c r="G9" i="30"/>
  <c r="D9" i="30"/>
  <c r="B9" i="30"/>
  <c r="A9" i="30"/>
  <c r="M8" i="30"/>
  <c r="J8" i="30"/>
  <c r="D8" i="30"/>
  <c r="B8" i="30"/>
  <c r="A8" i="30"/>
  <c r="B7" i="30"/>
  <c r="M5" i="30"/>
  <c r="N8" i="30" s="1"/>
  <c r="J5" i="30"/>
  <c r="G2" i="32"/>
  <c r="F2" i="32"/>
  <c r="E2" i="32"/>
  <c r="K60" i="31"/>
  <c r="I60" i="31"/>
  <c r="G58" i="31"/>
  <c r="K57" i="31"/>
  <c r="I57" i="31"/>
  <c r="A57" i="31"/>
  <c r="A56" i="31"/>
  <c r="A55" i="31"/>
  <c r="A54" i="31"/>
  <c r="A53" i="31"/>
  <c r="A52" i="31"/>
  <c r="A51" i="31"/>
  <c r="K50" i="31"/>
  <c r="I50" i="31"/>
  <c r="A50" i="31"/>
  <c r="A49" i="31"/>
  <c r="A48" i="31"/>
  <c r="A47" i="31"/>
  <c r="A46" i="31"/>
  <c r="A45" i="31"/>
  <c r="A44" i="31"/>
  <c r="A43" i="31"/>
  <c r="E42" i="31"/>
  <c r="A42" i="31"/>
  <c r="A41" i="31"/>
  <c r="A40" i="31"/>
  <c r="A39" i="31"/>
  <c r="A38" i="31"/>
  <c r="A37" i="31"/>
  <c r="A36" i="31"/>
  <c r="A35" i="31"/>
  <c r="A34" i="31"/>
  <c r="A33" i="31"/>
  <c r="A32" i="31"/>
  <c r="A31" i="31"/>
  <c r="K30" i="31"/>
  <c r="I30" i="31"/>
  <c r="A30" i="31"/>
  <c r="A29" i="31"/>
  <c r="A28" i="31"/>
  <c r="A27" i="31"/>
  <c r="A26" i="31"/>
  <c r="A25" i="31"/>
  <c r="E24" i="31"/>
  <c r="A24" i="31"/>
  <c r="A23" i="31"/>
  <c r="A22" i="31"/>
  <c r="A21" i="31"/>
  <c r="A20" i="31"/>
  <c r="A19" i="31"/>
  <c r="A18" i="31"/>
  <c r="A17" i="31"/>
  <c r="A16" i="31"/>
  <c r="A15" i="31"/>
  <c r="A14" i="31"/>
  <c r="A13" i="31"/>
  <c r="E12" i="31"/>
  <c r="A12" i="31"/>
  <c r="A11" i="31"/>
  <c r="A10" i="31"/>
  <c r="A9" i="31"/>
  <c r="A8" i="31"/>
  <c r="K7" i="31"/>
  <c r="I7" i="31"/>
  <c r="G7" i="31"/>
  <c r="E7" i="31"/>
  <c r="A7" i="31"/>
  <c r="K6" i="31"/>
  <c r="I6" i="31"/>
  <c r="G6" i="31"/>
  <c r="E6" i="31"/>
  <c r="A6" i="31"/>
  <c r="A5" i="31"/>
  <c r="K4" i="31"/>
  <c r="I4" i="31"/>
  <c r="A4" i="31"/>
  <c r="A3" i="31"/>
  <c r="A2" i="31"/>
  <c r="E245" i="30"/>
  <c r="E236" i="30"/>
  <c r="E227" i="30"/>
  <c r="E216" i="30"/>
  <c r="E204" i="30"/>
  <c r="F204" i="30" s="1"/>
  <c r="E197" i="30"/>
  <c r="E191" i="30"/>
  <c r="E187" i="30"/>
  <c r="E170" i="30"/>
  <c r="E164" i="30"/>
  <c r="E157" i="30"/>
  <c r="E133" i="30"/>
  <c r="E129" i="30"/>
  <c r="E125" i="30"/>
  <c r="E121" i="30"/>
  <c r="E117" i="30"/>
  <c r="E113" i="30"/>
  <c r="E109" i="30"/>
  <c r="E101" i="30"/>
  <c r="E87" i="30"/>
  <c r="E80" i="30"/>
  <c r="E73" i="30"/>
  <c r="E59" i="30"/>
  <c r="E51" i="30"/>
  <c r="E43" i="30"/>
  <c r="E35" i="30"/>
  <c r="E30" i="30"/>
  <c r="E27" i="30"/>
  <c r="E25" i="30"/>
  <c r="E22" i="30"/>
  <c r="E20" i="30"/>
  <c r="E18" i="30"/>
  <c r="T61" i="33" l="1"/>
  <c r="V61" i="33"/>
  <c r="R62" i="33"/>
  <c r="Q63" i="33"/>
  <c r="U62" i="33"/>
  <c r="S62" i="33"/>
  <c r="I117" i="30"/>
  <c r="I131" i="30"/>
  <c r="I173" i="30"/>
  <c r="I187" i="30"/>
  <c r="I257" i="30"/>
  <c r="I249" i="30"/>
  <c r="I179" i="30"/>
  <c r="I165" i="30"/>
  <c r="I221" i="30"/>
  <c r="I98" i="30"/>
  <c r="I112" i="30"/>
  <c r="I126" i="30"/>
  <c r="I140" i="30"/>
  <c r="I154" i="30"/>
  <c r="I182" i="30"/>
  <c r="I196" i="30"/>
  <c r="I210" i="30"/>
  <c r="I224" i="30"/>
  <c r="I238" i="30"/>
  <c r="I40" i="30"/>
  <c r="I54" i="30"/>
  <c r="I68" i="30"/>
  <c r="I82" i="30"/>
  <c r="I110" i="30"/>
  <c r="I124" i="30"/>
  <c r="I138" i="30"/>
  <c r="I152" i="30"/>
  <c r="I166" i="30"/>
  <c r="I194" i="30"/>
  <c r="I208" i="30"/>
  <c r="I222" i="30"/>
  <c r="I236" i="30"/>
  <c r="I250" i="30"/>
  <c r="I53" i="30"/>
  <c r="I235" i="30"/>
  <c r="I56" i="30"/>
  <c r="I70" i="30"/>
  <c r="I28" i="30"/>
  <c r="I42" i="30"/>
  <c r="K12" i="30"/>
  <c r="K74" i="30"/>
  <c r="L74" i="30" s="1"/>
  <c r="K15" i="30"/>
  <c r="K8" i="30"/>
  <c r="K14" i="30"/>
  <c r="K9" i="30"/>
  <c r="K13" i="30"/>
  <c r="K10" i="30"/>
  <c r="K11" i="30"/>
  <c r="E11" i="30"/>
  <c r="F11" i="30" s="1"/>
  <c r="E15" i="30"/>
  <c r="I77" i="30"/>
  <c r="I91" i="30"/>
  <c r="I29" i="30"/>
  <c r="I141" i="30"/>
  <c r="I155" i="30"/>
  <c r="I197" i="30"/>
  <c r="I211" i="30"/>
  <c r="I225" i="30"/>
  <c r="P176" i="30"/>
  <c r="I12" i="30"/>
  <c r="I37" i="30"/>
  <c r="I43" i="30"/>
  <c r="I51" i="30"/>
  <c r="I61" i="30"/>
  <c r="I67" i="30"/>
  <c r="I75" i="30"/>
  <c r="I85" i="30"/>
  <c r="I99" i="30"/>
  <c r="I109" i="30"/>
  <c r="I123" i="30"/>
  <c r="I133" i="30"/>
  <c r="I147" i="30"/>
  <c r="I157" i="30"/>
  <c r="I171" i="30"/>
  <c r="I181" i="30"/>
  <c r="I195" i="30"/>
  <c r="I205" i="30"/>
  <c r="I217" i="30"/>
  <c r="I219" i="30"/>
  <c r="I229" i="30"/>
  <c r="I241" i="30"/>
  <c r="I243" i="30"/>
  <c r="I253" i="30"/>
  <c r="I24" i="30"/>
  <c r="I36" i="30"/>
  <c r="I48" i="30"/>
  <c r="I60" i="30"/>
  <c r="I72" i="30"/>
  <c r="I84" i="30"/>
  <c r="I96" i="30"/>
  <c r="I108" i="30"/>
  <c r="I120" i="30"/>
  <c r="I132" i="30"/>
  <c r="I144" i="30"/>
  <c r="I156" i="30"/>
  <c r="I168" i="30"/>
  <c r="I180" i="30"/>
  <c r="I192" i="30"/>
  <c r="I204" i="30"/>
  <c r="I216" i="30"/>
  <c r="I228" i="30"/>
  <c r="I240" i="30"/>
  <c r="I252" i="30"/>
  <c r="P66" i="30"/>
  <c r="P113" i="30"/>
  <c r="P117" i="30"/>
  <c r="P133" i="30"/>
  <c r="P221" i="30"/>
  <c r="P229" i="30"/>
  <c r="P253" i="30"/>
  <c r="P124" i="30"/>
  <c r="P105" i="30"/>
  <c r="P121" i="30"/>
  <c r="P145" i="30"/>
  <c r="I8" i="30"/>
  <c r="F113" i="30"/>
  <c r="F121" i="30"/>
  <c r="P256" i="30"/>
  <c r="F245" i="30"/>
  <c r="F129" i="30"/>
  <c r="P225" i="30"/>
  <c r="P196" i="30"/>
  <c r="P224" i="30"/>
  <c r="P248" i="30"/>
  <c r="N11" i="30"/>
  <c r="O11" i="30" s="1"/>
  <c r="F187" i="30"/>
  <c r="P245" i="30"/>
  <c r="P108" i="30"/>
  <c r="N12" i="30"/>
  <c r="O12" i="30" s="1"/>
  <c r="F191" i="30"/>
  <c r="F227" i="30"/>
  <c r="P249" i="30"/>
  <c r="N14" i="30"/>
  <c r="O14" i="30" s="1"/>
  <c r="O5" i="30"/>
  <c r="P233" i="30"/>
  <c r="I23" i="30"/>
  <c r="I31" i="30"/>
  <c r="I39" i="30"/>
  <c r="I47" i="30"/>
  <c r="I55" i="30"/>
  <c r="I63" i="30"/>
  <c r="I71" i="30"/>
  <c r="I79" i="30"/>
  <c r="I87" i="30"/>
  <c r="I95" i="30"/>
  <c r="I103" i="30"/>
  <c r="I111" i="30"/>
  <c r="P112" i="30"/>
  <c r="P116" i="30"/>
  <c r="I119" i="30"/>
  <c r="P120" i="30"/>
  <c r="I127" i="30"/>
  <c r="P128" i="30"/>
  <c r="P132" i="30"/>
  <c r="I135" i="30"/>
  <c r="P136" i="30"/>
  <c r="I143" i="30"/>
  <c r="P151" i="30"/>
  <c r="I159" i="30"/>
  <c r="I167" i="30"/>
  <c r="P168" i="30"/>
  <c r="I175" i="30"/>
  <c r="I183" i="30"/>
  <c r="P188" i="30"/>
  <c r="I191" i="30"/>
  <c r="I199" i="30"/>
  <c r="I207" i="30"/>
  <c r="P212" i="30"/>
  <c r="I215" i="30"/>
  <c r="I223" i="30"/>
  <c r="P228" i="30"/>
  <c r="P231" i="30"/>
  <c r="P232" i="30"/>
  <c r="P236" i="30"/>
  <c r="I239" i="30"/>
  <c r="P240" i="30"/>
  <c r="P244" i="30"/>
  <c r="I247" i="30"/>
  <c r="P252" i="30"/>
  <c r="I255" i="30"/>
  <c r="J258" i="30"/>
  <c r="P15" i="30"/>
  <c r="P78" i="30"/>
  <c r="P102" i="30"/>
  <c r="P106" i="30"/>
  <c r="P110" i="30"/>
  <c r="P114" i="30"/>
  <c r="P118" i="30"/>
  <c r="P122" i="30"/>
  <c r="P126" i="30"/>
  <c r="P130" i="30"/>
  <c r="P134" i="30"/>
  <c r="P138" i="30"/>
  <c r="P166" i="30"/>
  <c r="P174" i="30"/>
  <c r="P182" i="30"/>
  <c r="P186" i="30"/>
  <c r="P194" i="30"/>
  <c r="P198" i="30"/>
  <c r="N9" i="30"/>
  <c r="O9" i="30" s="1"/>
  <c r="P109" i="30"/>
  <c r="P237" i="30"/>
  <c r="N13" i="30"/>
  <c r="O13" i="30" s="1"/>
  <c r="P213" i="30"/>
  <c r="P257" i="30"/>
  <c r="N10" i="30"/>
  <c r="O10" i="30" s="1"/>
  <c r="N62" i="30"/>
  <c r="O62" i="30" s="1"/>
  <c r="P125" i="30"/>
  <c r="P217" i="30"/>
  <c r="P241" i="30"/>
  <c r="P21" i="30"/>
  <c r="P129" i="30"/>
  <c r="P87" i="30"/>
  <c r="P95" i="30"/>
  <c r="P99" i="30"/>
  <c r="P103" i="30"/>
  <c r="P107" i="30"/>
  <c r="P111" i="30"/>
  <c r="P115" i="30"/>
  <c r="P119" i="30"/>
  <c r="P123" i="30"/>
  <c r="P127" i="30"/>
  <c r="P131" i="30"/>
  <c r="P135" i="30"/>
  <c r="P147" i="30"/>
  <c r="P155" i="30"/>
  <c r="P159" i="30"/>
  <c r="P171" i="30"/>
  <c r="P179" i="30"/>
  <c r="P183" i="30"/>
  <c r="P187" i="30"/>
  <c r="P211" i="30"/>
  <c r="P215" i="30"/>
  <c r="P219" i="30"/>
  <c r="P227" i="30"/>
  <c r="P235" i="30"/>
  <c r="P239" i="30"/>
  <c r="P243" i="30"/>
  <c r="P247" i="30"/>
  <c r="P250" i="30"/>
  <c r="P251" i="30"/>
  <c r="P254" i="30"/>
  <c r="P255" i="30"/>
  <c r="I15" i="30"/>
  <c r="I151" i="30"/>
  <c r="F8" i="30"/>
  <c r="I231" i="30"/>
  <c r="F59" i="30"/>
  <c r="F157" i="30"/>
  <c r="F236" i="30"/>
  <c r="O8" i="30"/>
  <c r="P14" i="30"/>
  <c r="I21" i="30"/>
  <c r="Q258" i="30"/>
  <c r="P190" i="30"/>
  <c r="I25" i="30"/>
  <c r="I33" i="30"/>
  <c r="I41" i="30"/>
  <c r="I49" i="30"/>
  <c r="I57" i="30"/>
  <c r="I65" i="30"/>
  <c r="I73" i="30"/>
  <c r="I81" i="30"/>
  <c r="I89" i="30"/>
  <c r="I97" i="30"/>
  <c r="I105" i="30"/>
  <c r="I113" i="30"/>
  <c r="I121" i="30"/>
  <c r="I129" i="30"/>
  <c r="I137" i="30"/>
  <c r="I145" i="30"/>
  <c r="I153" i="30"/>
  <c r="I161" i="30"/>
  <c r="I169" i="30"/>
  <c r="I177" i="30"/>
  <c r="I185" i="30"/>
  <c r="I193" i="30"/>
  <c r="I201" i="30"/>
  <c r="I209" i="30"/>
  <c r="E244" i="30"/>
  <c r="F244" i="30" s="1"/>
  <c r="E235" i="30"/>
  <c r="F235" i="30" s="1"/>
  <c r="E220" i="30"/>
  <c r="F220" i="30" s="1"/>
  <c r="E210" i="30"/>
  <c r="F210" i="30" s="1"/>
  <c r="E180" i="30"/>
  <c r="E168" i="30"/>
  <c r="F168" i="30" s="1"/>
  <c r="E149" i="30"/>
  <c r="F149" i="30" s="1"/>
  <c r="E136" i="30"/>
  <c r="F136" i="30" s="1"/>
  <c r="E128" i="30"/>
  <c r="F128" i="30" s="1"/>
  <c r="E120" i="30"/>
  <c r="F120" i="30" s="1"/>
  <c r="E93" i="30"/>
  <c r="E78" i="30"/>
  <c r="F78" i="30" s="1"/>
  <c r="E64" i="30"/>
  <c r="F64" i="30" s="1"/>
  <c r="E49" i="30"/>
  <c r="F49" i="30" s="1"/>
  <c r="E33" i="30"/>
  <c r="F33" i="30" s="1"/>
  <c r="E256" i="30"/>
  <c r="F256" i="30" s="1"/>
  <c r="E252" i="30"/>
  <c r="F252" i="30" s="1"/>
  <c r="E248" i="30"/>
  <c r="F248" i="30" s="1"/>
  <c r="E239" i="30"/>
  <c r="F239" i="30" s="1"/>
  <c r="E234" i="30"/>
  <c r="F234" i="30" s="1"/>
  <c r="E225" i="30"/>
  <c r="F225" i="30" s="1"/>
  <c r="E219" i="30"/>
  <c r="F219" i="30" s="1"/>
  <c r="E214" i="30"/>
  <c r="F214" i="30" s="1"/>
  <c r="E209" i="30"/>
  <c r="F209" i="30" s="1"/>
  <c r="E201" i="30"/>
  <c r="F201" i="30" s="1"/>
  <c r="E195" i="30"/>
  <c r="F195" i="30" s="1"/>
  <c r="E190" i="30"/>
  <c r="F190" i="30" s="1"/>
  <c r="E185" i="30"/>
  <c r="F185" i="30" s="1"/>
  <c r="E179" i="30"/>
  <c r="F179" i="30" s="1"/>
  <c r="E161" i="30"/>
  <c r="F161" i="30" s="1"/>
  <c r="E148" i="30"/>
  <c r="F148" i="30" s="1"/>
  <c r="E142" i="30"/>
  <c r="F142" i="30" s="1"/>
  <c r="E108" i="30"/>
  <c r="F108" i="30" s="1"/>
  <c r="E104" i="30"/>
  <c r="F104" i="30" s="1"/>
  <c r="E92" i="30"/>
  <c r="F92" i="30" s="1"/>
  <c r="E85" i="30"/>
  <c r="F85" i="30" s="1"/>
  <c r="E70" i="30"/>
  <c r="F70" i="30" s="1"/>
  <c r="E63" i="30"/>
  <c r="F63" i="30" s="1"/>
  <c r="E56" i="30"/>
  <c r="F56" i="30" s="1"/>
  <c r="E48" i="30"/>
  <c r="F48" i="30" s="1"/>
  <c r="E40" i="30"/>
  <c r="F40" i="30" s="1"/>
  <c r="E32" i="30"/>
  <c r="F32" i="30" s="1"/>
  <c r="E24" i="30"/>
  <c r="F24" i="30" s="1"/>
  <c r="E17" i="30"/>
  <c r="F17" i="30" s="1"/>
  <c r="E12" i="30"/>
  <c r="E55" i="30"/>
  <c r="F55" i="30" s="1"/>
  <c r="E47" i="30"/>
  <c r="F47" i="30" s="1"/>
  <c r="E39" i="30"/>
  <c r="F39" i="30" s="1"/>
  <c r="E31" i="30"/>
  <c r="F31" i="30" s="1"/>
  <c r="E23" i="30"/>
  <c r="F23" i="30" s="1"/>
  <c r="E16" i="30"/>
  <c r="F16" i="30" s="1"/>
  <c r="E194" i="30"/>
  <c r="F194" i="30" s="1"/>
  <c r="E178" i="30"/>
  <c r="F178" i="30" s="1"/>
  <c r="E166" i="30"/>
  <c r="F166" i="30" s="1"/>
  <c r="E153" i="30"/>
  <c r="F153" i="30" s="1"/>
  <c r="E107" i="30"/>
  <c r="F107" i="30" s="1"/>
  <c r="E90" i="30"/>
  <c r="F90" i="30" s="1"/>
  <c r="E76" i="30"/>
  <c r="F76" i="30" s="1"/>
  <c r="E62" i="30"/>
  <c r="F62" i="30" s="1"/>
  <c r="E46" i="30"/>
  <c r="F46" i="30" s="1"/>
  <c r="E243" i="30"/>
  <c r="F243" i="30" s="1"/>
  <c r="E238" i="30"/>
  <c r="F238" i="30" s="1"/>
  <c r="E229" i="30"/>
  <c r="F229" i="30" s="1"/>
  <c r="E208" i="30"/>
  <c r="F208" i="30" s="1"/>
  <c r="E200" i="30"/>
  <c r="F200" i="30" s="1"/>
  <c r="E189" i="30"/>
  <c r="E184" i="30"/>
  <c r="E173" i="30"/>
  <c r="F173" i="30" s="1"/>
  <c r="E167" i="30"/>
  <c r="F167" i="30" s="1"/>
  <c r="E160" i="30"/>
  <c r="F160" i="30" s="1"/>
  <c r="E154" i="30"/>
  <c r="F154" i="30" s="1"/>
  <c r="E147" i="30"/>
  <c r="F147" i="30" s="1"/>
  <c r="E141" i="30"/>
  <c r="F141" i="30" s="1"/>
  <c r="E135" i="30"/>
  <c r="F135" i="30" s="1"/>
  <c r="E131" i="30"/>
  <c r="F131" i="30" s="1"/>
  <c r="E127" i="30"/>
  <c r="E123" i="30"/>
  <c r="F123" i="30" s="1"/>
  <c r="E119" i="30"/>
  <c r="F119" i="30" s="1"/>
  <c r="E115" i="30"/>
  <c r="E111" i="30"/>
  <c r="F111" i="30" s="1"/>
  <c r="E103" i="30"/>
  <c r="F103" i="30" s="1"/>
  <c r="E98" i="30"/>
  <c r="F98" i="30" s="1"/>
  <c r="E91" i="30"/>
  <c r="F91" i="30" s="1"/>
  <c r="E84" i="30"/>
  <c r="F84" i="30" s="1"/>
  <c r="E77" i="30"/>
  <c r="F77" i="30" s="1"/>
  <c r="E69" i="30"/>
  <c r="F69" i="30" s="1"/>
  <c r="E255" i="30"/>
  <c r="F255" i="30" s="1"/>
  <c r="E251" i="30"/>
  <c r="F251" i="30" s="1"/>
  <c r="E247" i="30"/>
  <c r="F247" i="30" s="1"/>
  <c r="E242" i="30"/>
  <c r="F242" i="30" s="1"/>
  <c r="E233" i="30"/>
  <c r="F233" i="30" s="1"/>
  <c r="E224" i="30"/>
  <c r="F224" i="30" s="1"/>
  <c r="E218" i="30"/>
  <c r="F218" i="30" s="1"/>
  <c r="E213" i="30"/>
  <c r="F213" i="30" s="1"/>
  <c r="E207" i="30"/>
  <c r="F207" i="30" s="1"/>
  <c r="E199" i="30"/>
  <c r="F199" i="30" s="1"/>
  <c r="E188" i="30"/>
  <c r="F188" i="30" s="1"/>
  <c r="E183" i="30"/>
  <c r="F183" i="30" s="1"/>
  <c r="E172" i="30"/>
  <c r="F172" i="30" s="1"/>
  <c r="E159" i="30"/>
  <c r="F159" i="30" s="1"/>
  <c r="E140" i="30"/>
  <c r="F140" i="30" s="1"/>
  <c r="E97" i="30"/>
  <c r="F97" i="30" s="1"/>
  <c r="E83" i="30"/>
  <c r="F83" i="30" s="1"/>
  <c r="E68" i="30"/>
  <c r="F68" i="30" s="1"/>
  <c r="E54" i="30"/>
  <c r="F54" i="30" s="1"/>
  <c r="E38" i="30"/>
  <c r="F38" i="30" s="1"/>
  <c r="E246" i="30"/>
  <c r="F246" i="30" s="1"/>
  <c r="E237" i="30"/>
  <c r="F237" i="30" s="1"/>
  <c r="E228" i="30"/>
  <c r="F228" i="30" s="1"/>
  <c r="E223" i="30"/>
  <c r="F223" i="30" s="1"/>
  <c r="E206" i="30"/>
  <c r="F206" i="30" s="1"/>
  <c r="E193" i="30"/>
  <c r="F193" i="30" s="1"/>
  <c r="E177" i="30"/>
  <c r="F177" i="30" s="1"/>
  <c r="E171" i="30"/>
  <c r="F171" i="30" s="1"/>
  <c r="E152" i="30"/>
  <c r="F152" i="30" s="1"/>
  <c r="E146" i="30"/>
  <c r="F146" i="30" s="1"/>
  <c r="E139" i="30"/>
  <c r="F139" i="30" s="1"/>
  <c r="E134" i="30"/>
  <c r="F134" i="30" s="1"/>
  <c r="E130" i="30"/>
  <c r="F130" i="30" s="1"/>
  <c r="E126" i="30"/>
  <c r="F126" i="30" s="1"/>
  <c r="E122" i="30"/>
  <c r="F122" i="30" s="1"/>
  <c r="E118" i="30"/>
  <c r="F118" i="30" s="1"/>
  <c r="E114" i="30"/>
  <c r="F114" i="30" s="1"/>
  <c r="E110" i="30"/>
  <c r="F110" i="30" s="1"/>
  <c r="E102" i="30"/>
  <c r="F102" i="30" s="1"/>
  <c r="E96" i="30"/>
  <c r="F96" i="30" s="1"/>
  <c r="E89" i="30"/>
  <c r="F89" i="30" s="1"/>
  <c r="E82" i="30"/>
  <c r="F82" i="30" s="1"/>
  <c r="E75" i="30"/>
  <c r="F75" i="30" s="1"/>
  <c r="E67" i="30"/>
  <c r="E61" i="30"/>
  <c r="E53" i="30"/>
  <c r="F53" i="30" s="1"/>
  <c r="E45" i="30"/>
  <c r="F45" i="30" s="1"/>
  <c r="E37" i="30"/>
  <c r="F37" i="30" s="1"/>
  <c r="E29" i="30"/>
  <c r="F29" i="30" s="1"/>
  <c r="E254" i="30"/>
  <c r="F254" i="30" s="1"/>
  <c r="E250" i="30"/>
  <c r="F250" i="30" s="1"/>
  <c r="E241" i="30"/>
  <c r="F241" i="30" s="1"/>
  <c r="E232" i="30"/>
  <c r="F232" i="30" s="1"/>
  <c r="E222" i="30"/>
  <c r="F222" i="30" s="1"/>
  <c r="E217" i="30"/>
  <c r="F217" i="30" s="1"/>
  <c r="E212" i="30"/>
  <c r="F212" i="30" s="1"/>
  <c r="E205" i="30"/>
  <c r="F205" i="30" s="1"/>
  <c r="E198" i="30"/>
  <c r="F198" i="30" s="1"/>
  <c r="E192" i="30"/>
  <c r="E182" i="30"/>
  <c r="F182" i="30" s="1"/>
  <c r="E176" i="30"/>
  <c r="F176" i="30" s="1"/>
  <c r="E165" i="30"/>
  <c r="F165" i="30" s="1"/>
  <c r="E158" i="30"/>
  <c r="F158" i="30" s="1"/>
  <c r="E151" i="30"/>
  <c r="F151" i="30" s="1"/>
  <c r="E145" i="30"/>
  <c r="F145" i="30" s="1"/>
  <c r="E138" i="30"/>
  <c r="F138" i="30" s="1"/>
  <c r="E106" i="30"/>
  <c r="F106" i="30" s="1"/>
  <c r="E95" i="30"/>
  <c r="F95" i="30" s="1"/>
  <c r="E88" i="30"/>
  <c r="F88" i="30" s="1"/>
  <c r="E81" i="30"/>
  <c r="F81" i="30" s="1"/>
  <c r="E74" i="30"/>
  <c r="F74" i="30" s="1"/>
  <c r="E66" i="30"/>
  <c r="F66" i="30" s="1"/>
  <c r="E60" i="30"/>
  <c r="F60" i="30" s="1"/>
  <c r="E52" i="30"/>
  <c r="E44" i="30"/>
  <c r="E36" i="30"/>
  <c r="F36" i="30" s="1"/>
  <c r="E28" i="30"/>
  <c r="F28" i="30" s="1"/>
  <c r="E21" i="30"/>
  <c r="F21" i="30" s="1"/>
  <c r="E14" i="30"/>
  <c r="E10" i="30"/>
  <c r="E257" i="30"/>
  <c r="F257" i="30" s="1"/>
  <c r="E253" i="30"/>
  <c r="F253" i="30" s="1"/>
  <c r="E249" i="30"/>
  <c r="F249" i="30" s="1"/>
  <c r="E240" i="30"/>
  <c r="F240" i="30" s="1"/>
  <c r="E231" i="30"/>
  <c r="F231" i="30" s="1"/>
  <c r="E226" i="30"/>
  <c r="F226" i="30" s="1"/>
  <c r="E221" i="30"/>
  <c r="F221" i="30" s="1"/>
  <c r="E215" i="30"/>
  <c r="F215" i="30" s="1"/>
  <c r="E211" i="30"/>
  <c r="E203" i="30"/>
  <c r="F203" i="30" s="1"/>
  <c r="E196" i="30"/>
  <c r="F196" i="30" s="1"/>
  <c r="E186" i="30"/>
  <c r="F186" i="30" s="1"/>
  <c r="E181" i="30"/>
  <c r="F181" i="30" s="1"/>
  <c r="E175" i="30"/>
  <c r="F175" i="30" s="1"/>
  <c r="E169" i="30"/>
  <c r="F169" i="30" s="1"/>
  <c r="E163" i="30"/>
  <c r="F163" i="30" s="1"/>
  <c r="E156" i="30"/>
  <c r="F156" i="30" s="1"/>
  <c r="E150" i="30"/>
  <c r="F150" i="30" s="1"/>
  <c r="E144" i="30"/>
  <c r="F144" i="30" s="1"/>
  <c r="E137" i="30"/>
  <c r="F137" i="30" s="1"/>
  <c r="E105" i="30"/>
  <c r="F105" i="30" s="1"/>
  <c r="E100" i="30"/>
  <c r="F100" i="30" s="1"/>
  <c r="E94" i="30"/>
  <c r="F94" i="30" s="1"/>
  <c r="E79" i="30"/>
  <c r="F79" i="30" s="1"/>
  <c r="E72" i="30"/>
  <c r="F72" i="30" s="1"/>
  <c r="E65" i="30"/>
  <c r="E58" i="30"/>
  <c r="F58" i="30" s="1"/>
  <c r="E50" i="30"/>
  <c r="F50" i="30" s="1"/>
  <c r="E42" i="30"/>
  <c r="F42" i="30" s="1"/>
  <c r="E34" i="30"/>
  <c r="F34" i="30" s="1"/>
  <c r="E26" i="30"/>
  <c r="F26" i="30" s="1"/>
  <c r="E19" i="30"/>
  <c r="F19" i="30" s="1"/>
  <c r="E13" i="30"/>
  <c r="E9" i="30"/>
  <c r="E230" i="30"/>
  <c r="F230" i="30" s="1"/>
  <c r="E202" i="30"/>
  <c r="F202" i="30" s="1"/>
  <c r="E174" i="30"/>
  <c r="F174" i="30" s="1"/>
  <c r="E162" i="30"/>
  <c r="F162" i="30" s="1"/>
  <c r="E155" i="30"/>
  <c r="F155" i="30" s="1"/>
  <c r="E143" i="30"/>
  <c r="F143" i="30" s="1"/>
  <c r="E132" i="30"/>
  <c r="F132" i="30" s="1"/>
  <c r="E124" i="30"/>
  <c r="F124" i="30" s="1"/>
  <c r="E116" i="30"/>
  <c r="F116" i="30" s="1"/>
  <c r="E112" i="30"/>
  <c r="F112" i="30" s="1"/>
  <c r="E99" i="30"/>
  <c r="F99" i="30" s="1"/>
  <c r="E86" i="30"/>
  <c r="F86" i="30" s="1"/>
  <c r="E71" i="30"/>
  <c r="F71" i="30" s="1"/>
  <c r="E57" i="30"/>
  <c r="F57" i="30" s="1"/>
  <c r="E41" i="30"/>
  <c r="F170" i="30"/>
  <c r="D258" i="30"/>
  <c r="M258" i="30"/>
  <c r="P11" i="30"/>
  <c r="I18" i="30"/>
  <c r="I26" i="30"/>
  <c r="I34" i="30"/>
  <c r="I19" i="30"/>
  <c r="I27" i="30"/>
  <c r="I35" i="30"/>
  <c r="I17" i="30"/>
  <c r="P13" i="30"/>
  <c r="I10" i="30"/>
  <c r="I11" i="30"/>
  <c r="I14" i="30"/>
  <c r="I13" i="30"/>
  <c r="I9" i="30"/>
  <c r="G258" i="30"/>
  <c r="P10" i="30"/>
  <c r="P12" i="30"/>
  <c r="P17" i="30"/>
  <c r="P9" i="30"/>
  <c r="K257" i="30"/>
  <c r="L257" i="30" s="1"/>
  <c r="K242" i="30"/>
  <c r="L242" i="30" s="1"/>
  <c r="K234" i="30"/>
  <c r="L234" i="30" s="1"/>
  <c r="K226" i="30"/>
  <c r="L226" i="30" s="1"/>
  <c r="K215" i="30"/>
  <c r="L215" i="30" s="1"/>
  <c r="K214" i="30"/>
  <c r="L214" i="30" s="1"/>
  <c r="K213" i="30"/>
  <c r="L213" i="30" s="1"/>
  <c r="K212" i="30"/>
  <c r="L212" i="30" s="1"/>
  <c r="K211" i="30"/>
  <c r="L211" i="30" s="1"/>
  <c r="K210" i="30"/>
  <c r="L210" i="30" s="1"/>
  <c r="K209" i="30"/>
  <c r="L209" i="30" s="1"/>
  <c r="K208" i="30"/>
  <c r="L208" i="30" s="1"/>
  <c r="K207" i="30"/>
  <c r="L207" i="30" s="1"/>
  <c r="K206" i="30"/>
  <c r="L206" i="30" s="1"/>
  <c r="K205" i="30"/>
  <c r="L205" i="30" s="1"/>
  <c r="K204" i="30"/>
  <c r="L204" i="30" s="1"/>
  <c r="K203" i="30"/>
  <c r="L203" i="30" s="1"/>
  <c r="K202" i="30"/>
  <c r="L202" i="30" s="1"/>
  <c r="K201" i="30"/>
  <c r="L201" i="30" s="1"/>
  <c r="K200" i="30"/>
  <c r="L200" i="30" s="1"/>
  <c r="K199" i="30"/>
  <c r="L199" i="30" s="1"/>
  <c r="K198" i="30"/>
  <c r="L198" i="30" s="1"/>
  <c r="K197" i="30"/>
  <c r="L197" i="30" s="1"/>
  <c r="K196" i="30"/>
  <c r="L196" i="30" s="1"/>
  <c r="K195" i="30"/>
  <c r="L195" i="30" s="1"/>
  <c r="K194" i="30"/>
  <c r="L194" i="30" s="1"/>
  <c r="K193" i="30"/>
  <c r="L193" i="30" s="1"/>
  <c r="K192" i="30"/>
  <c r="L192" i="30" s="1"/>
  <c r="K191" i="30"/>
  <c r="L191" i="30" s="1"/>
  <c r="K190" i="30"/>
  <c r="L190" i="30" s="1"/>
  <c r="K189" i="30"/>
  <c r="L189" i="30" s="1"/>
  <c r="K188" i="30"/>
  <c r="L188" i="30" s="1"/>
  <c r="K187" i="30"/>
  <c r="L187" i="30" s="1"/>
  <c r="K186" i="30"/>
  <c r="L186" i="30" s="1"/>
  <c r="K256" i="30"/>
  <c r="L256" i="30" s="1"/>
  <c r="K254" i="30"/>
  <c r="L254" i="30" s="1"/>
  <c r="K252" i="30"/>
  <c r="L252" i="30" s="1"/>
  <c r="K250" i="30"/>
  <c r="L250" i="30" s="1"/>
  <c r="K245" i="30"/>
  <c r="L245" i="30" s="1"/>
  <c r="K237" i="30"/>
  <c r="L237" i="30" s="1"/>
  <c r="K229" i="30"/>
  <c r="L229" i="30" s="1"/>
  <c r="K220" i="30"/>
  <c r="L220" i="30" s="1"/>
  <c r="K216" i="30"/>
  <c r="L216" i="30" s="1"/>
  <c r="K248" i="30"/>
  <c r="L248" i="30" s="1"/>
  <c r="K240" i="30"/>
  <c r="L240" i="30" s="1"/>
  <c r="K232" i="30"/>
  <c r="L232" i="30" s="1"/>
  <c r="K224" i="30"/>
  <c r="L224" i="30" s="1"/>
  <c r="K246" i="30"/>
  <c r="L246" i="30" s="1"/>
  <c r="K238" i="30"/>
  <c r="L238" i="30" s="1"/>
  <c r="K230" i="30"/>
  <c r="L230" i="30" s="1"/>
  <c r="K255" i="30"/>
  <c r="L255" i="30" s="1"/>
  <c r="K253" i="30"/>
  <c r="L253" i="30" s="1"/>
  <c r="K251" i="30"/>
  <c r="L251" i="30" s="1"/>
  <c r="K249" i="30"/>
  <c r="L249" i="30" s="1"/>
  <c r="K241" i="30"/>
  <c r="L241" i="30" s="1"/>
  <c r="K233" i="30"/>
  <c r="L233" i="30" s="1"/>
  <c r="K225" i="30"/>
  <c r="L225" i="30" s="1"/>
  <c r="K222" i="30"/>
  <c r="L222" i="30" s="1"/>
  <c r="K218" i="30"/>
  <c r="L218" i="30" s="1"/>
  <c r="K244" i="30"/>
  <c r="L244" i="30" s="1"/>
  <c r="K236" i="30"/>
  <c r="L236" i="30" s="1"/>
  <c r="K228" i="30"/>
  <c r="L228" i="30" s="1"/>
  <c r="K217" i="30"/>
  <c r="L217" i="30" s="1"/>
  <c r="K185" i="30"/>
  <c r="L185" i="30" s="1"/>
  <c r="K184" i="30"/>
  <c r="L184" i="30" s="1"/>
  <c r="K183" i="30"/>
  <c r="L183" i="30" s="1"/>
  <c r="K182" i="30"/>
  <c r="L182" i="30" s="1"/>
  <c r="K181" i="30"/>
  <c r="L181" i="30" s="1"/>
  <c r="K180" i="30"/>
  <c r="L180" i="30" s="1"/>
  <c r="K179" i="30"/>
  <c r="L179" i="30" s="1"/>
  <c r="K178" i="30"/>
  <c r="L178" i="30" s="1"/>
  <c r="K177" i="30"/>
  <c r="L177" i="30" s="1"/>
  <c r="K176" i="30"/>
  <c r="L176" i="30" s="1"/>
  <c r="K175" i="30"/>
  <c r="L175" i="30" s="1"/>
  <c r="K174" i="30"/>
  <c r="L174" i="30" s="1"/>
  <c r="K173" i="30"/>
  <c r="L173" i="30" s="1"/>
  <c r="K172" i="30"/>
  <c r="L172" i="30" s="1"/>
  <c r="K171" i="30"/>
  <c r="L171" i="30" s="1"/>
  <c r="K170" i="30"/>
  <c r="L170" i="30" s="1"/>
  <c r="K169" i="30"/>
  <c r="L169" i="30" s="1"/>
  <c r="K168" i="30"/>
  <c r="L168" i="30" s="1"/>
  <c r="K167" i="30"/>
  <c r="L167" i="30" s="1"/>
  <c r="K166" i="30"/>
  <c r="L166" i="30" s="1"/>
  <c r="K239" i="30"/>
  <c r="L239" i="30" s="1"/>
  <c r="K227" i="30"/>
  <c r="L227" i="30" s="1"/>
  <c r="K221" i="30"/>
  <c r="L221" i="30" s="1"/>
  <c r="K243" i="30"/>
  <c r="L243" i="30" s="1"/>
  <c r="K231" i="30"/>
  <c r="L231" i="30" s="1"/>
  <c r="K247" i="30"/>
  <c r="L247" i="30" s="1"/>
  <c r="K235" i="30"/>
  <c r="L235" i="30" s="1"/>
  <c r="K223" i="30"/>
  <c r="L223" i="30" s="1"/>
  <c r="K164" i="30"/>
  <c r="L164" i="30" s="1"/>
  <c r="K162" i="30"/>
  <c r="L162" i="30" s="1"/>
  <c r="K160" i="30"/>
  <c r="L160" i="30" s="1"/>
  <c r="K156" i="30"/>
  <c r="L156" i="30" s="1"/>
  <c r="K152" i="30"/>
  <c r="L152" i="30" s="1"/>
  <c r="K157" i="30"/>
  <c r="L157" i="30" s="1"/>
  <c r="K153" i="30"/>
  <c r="L153" i="30" s="1"/>
  <c r="K149" i="30"/>
  <c r="L149" i="30" s="1"/>
  <c r="K145" i="30"/>
  <c r="L145" i="30" s="1"/>
  <c r="K219" i="30"/>
  <c r="L219" i="30" s="1"/>
  <c r="K165" i="30"/>
  <c r="L165" i="30" s="1"/>
  <c r="K163" i="30"/>
  <c r="L163" i="30" s="1"/>
  <c r="K161" i="30"/>
  <c r="L161" i="30" s="1"/>
  <c r="K158" i="30"/>
  <c r="L158" i="30" s="1"/>
  <c r="K154" i="30"/>
  <c r="L154" i="30" s="1"/>
  <c r="K150" i="30"/>
  <c r="L150" i="30" s="1"/>
  <c r="K146" i="30"/>
  <c r="L146" i="30" s="1"/>
  <c r="K142" i="30"/>
  <c r="L142" i="30" s="1"/>
  <c r="K138" i="30"/>
  <c r="L138" i="30" s="1"/>
  <c r="K151" i="30"/>
  <c r="L151" i="30" s="1"/>
  <c r="K131" i="30"/>
  <c r="L131" i="30" s="1"/>
  <c r="K123" i="30"/>
  <c r="L123" i="30" s="1"/>
  <c r="K115" i="30"/>
  <c r="L115" i="30" s="1"/>
  <c r="K107" i="30"/>
  <c r="L107" i="30" s="1"/>
  <c r="K99" i="30"/>
  <c r="L99" i="30" s="1"/>
  <c r="K91" i="30"/>
  <c r="L91" i="30" s="1"/>
  <c r="K82" i="30"/>
  <c r="L82" i="30" s="1"/>
  <c r="K78" i="30"/>
  <c r="L78" i="30" s="1"/>
  <c r="K155" i="30"/>
  <c r="L155" i="30" s="1"/>
  <c r="K147" i="30"/>
  <c r="L147" i="30" s="1"/>
  <c r="K140" i="30"/>
  <c r="L140" i="30" s="1"/>
  <c r="K134" i="30"/>
  <c r="L134" i="30" s="1"/>
  <c r="K126" i="30"/>
  <c r="L126" i="30" s="1"/>
  <c r="K118" i="30"/>
  <c r="L118" i="30" s="1"/>
  <c r="K110" i="30"/>
  <c r="L110" i="30" s="1"/>
  <c r="K102" i="30"/>
  <c r="L102" i="30" s="1"/>
  <c r="K94" i="30"/>
  <c r="L94" i="30" s="1"/>
  <c r="K86" i="30"/>
  <c r="L86" i="30" s="1"/>
  <c r="K129" i="30"/>
  <c r="L129" i="30" s="1"/>
  <c r="K121" i="30"/>
  <c r="L121" i="30" s="1"/>
  <c r="K113" i="30"/>
  <c r="L113" i="30" s="1"/>
  <c r="K105" i="30"/>
  <c r="L105" i="30" s="1"/>
  <c r="K97" i="30"/>
  <c r="L97" i="30" s="1"/>
  <c r="K89" i="30"/>
  <c r="L89" i="30" s="1"/>
  <c r="K83" i="30"/>
  <c r="L83" i="30" s="1"/>
  <c r="K79" i="30"/>
  <c r="L79" i="30" s="1"/>
  <c r="K144" i="30"/>
  <c r="L144" i="30" s="1"/>
  <c r="K132" i="30"/>
  <c r="L132" i="30" s="1"/>
  <c r="K124" i="30"/>
  <c r="L124" i="30" s="1"/>
  <c r="K116" i="30"/>
  <c r="L116" i="30" s="1"/>
  <c r="K108" i="30"/>
  <c r="L108" i="30" s="1"/>
  <c r="K100" i="30"/>
  <c r="L100" i="30" s="1"/>
  <c r="K92" i="30"/>
  <c r="L92" i="30" s="1"/>
  <c r="K139" i="30"/>
  <c r="L139" i="30" s="1"/>
  <c r="K137" i="30"/>
  <c r="L137" i="30" s="1"/>
  <c r="K135" i="30"/>
  <c r="L135" i="30" s="1"/>
  <c r="K127" i="30"/>
  <c r="L127" i="30" s="1"/>
  <c r="K119" i="30"/>
  <c r="L119" i="30" s="1"/>
  <c r="K111" i="30"/>
  <c r="L111" i="30" s="1"/>
  <c r="K103" i="30"/>
  <c r="L103" i="30" s="1"/>
  <c r="K95" i="30"/>
  <c r="L95" i="30" s="1"/>
  <c r="K87" i="30"/>
  <c r="L87" i="30" s="1"/>
  <c r="K159" i="30"/>
  <c r="L159" i="30" s="1"/>
  <c r="K130" i="30"/>
  <c r="L130" i="30" s="1"/>
  <c r="K122" i="30"/>
  <c r="L122" i="30" s="1"/>
  <c r="K114" i="30"/>
  <c r="L114" i="30" s="1"/>
  <c r="K106" i="30"/>
  <c r="L106" i="30" s="1"/>
  <c r="K98" i="30"/>
  <c r="L98" i="30" s="1"/>
  <c r="K90" i="30"/>
  <c r="L90" i="30" s="1"/>
  <c r="K143" i="30"/>
  <c r="L143" i="30" s="1"/>
  <c r="K141" i="30"/>
  <c r="L141" i="30" s="1"/>
  <c r="K133" i="30"/>
  <c r="L133" i="30" s="1"/>
  <c r="K125" i="30"/>
  <c r="L125" i="30" s="1"/>
  <c r="K117" i="30"/>
  <c r="L117" i="30" s="1"/>
  <c r="K109" i="30"/>
  <c r="L109" i="30" s="1"/>
  <c r="K101" i="30"/>
  <c r="L101" i="30" s="1"/>
  <c r="K148" i="30"/>
  <c r="L148" i="30" s="1"/>
  <c r="K136" i="30"/>
  <c r="L136" i="30" s="1"/>
  <c r="K128" i="30"/>
  <c r="L128" i="30" s="1"/>
  <c r="K120" i="30"/>
  <c r="L120" i="30" s="1"/>
  <c r="K112" i="30"/>
  <c r="L112" i="30" s="1"/>
  <c r="K104" i="30"/>
  <c r="L104" i="30" s="1"/>
  <c r="K84" i="30"/>
  <c r="L84" i="30" s="1"/>
  <c r="K81" i="30"/>
  <c r="L81" i="30" s="1"/>
  <c r="K76" i="30"/>
  <c r="L76" i="30" s="1"/>
  <c r="K72" i="30"/>
  <c r="L72" i="30" s="1"/>
  <c r="K70" i="30"/>
  <c r="L70" i="30" s="1"/>
  <c r="K68" i="30"/>
  <c r="L68" i="30" s="1"/>
  <c r="K66" i="30"/>
  <c r="L66" i="30" s="1"/>
  <c r="K62" i="30"/>
  <c r="L62" i="30" s="1"/>
  <c r="K58" i="30"/>
  <c r="L58" i="30" s="1"/>
  <c r="K80" i="30"/>
  <c r="L80" i="30" s="1"/>
  <c r="K63" i="30"/>
  <c r="L63" i="30" s="1"/>
  <c r="K59" i="30"/>
  <c r="L59" i="30" s="1"/>
  <c r="K88" i="30"/>
  <c r="L88" i="30" s="1"/>
  <c r="K77" i="30"/>
  <c r="L77" i="30" s="1"/>
  <c r="K75" i="30"/>
  <c r="L75" i="30" s="1"/>
  <c r="K73" i="30"/>
  <c r="L73" i="30" s="1"/>
  <c r="K85" i="30"/>
  <c r="L85" i="30" s="1"/>
  <c r="P28" i="30"/>
  <c r="L8" i="30"/>
  <c r="P16" i="30"/>
  <c r="K18" i="30"/>
  <c r="L18" i="30" s="1"/>
  <c r="P20" i="30"/>
  <c r="K22" i="30"/>
  <c r="L22" i="30" s="1"/>
  <c r="P23" i="30"/>
  <c r="P50" i="30"/>
  <c r="K54" i="30"/>
  <c r="L54" i="30" s="1"/>
  <c r="P58" i="30"/>
  <c r="P26" i="30"/>
  <c r="K34" i="30"/>
  <c r="L34" i="30" s="1"/>
  <c r="K38" i="30"/>
  <c r="L38" i="30" s="1"/>
  <c r="P40" i="30"/>
  <c r="K42" i="30"/>
  <c r="L42" i="30" s="1"/>
  <c r="P44" i="30"/>
  <c r="F44" i="30"/>
  <c r="K51" i="30"/>
  <c r="L51" i="30" s="1"/>
  <c r="P25" i="30"/>
  <c r="F25" i="30"/>
  <c r="P27" i="30"/>
  <c r="F27" i="30"/>
  <c r="K28" i="30"/>
  <c r="L28" i="30" s="1"/>
  <c r="P30" i="30"/>
  <c r="F30" i="30"/>
  <c r="K32" i="30"/>
  <c r="L32" i="30" s="1"/>
  <c r="P34" i="30"/>
  <c r="K36" i="30"/>
  <c r="L36" i="30" s="1"/>
  <c r="P38" i="30"/>
  <c r="K40" i="30"/>
  <c r="L40" i="30" s="1"/>
  <c r="P42" i="30"/>
  <c r="K44" i="30"/>
  <c r="L44" i="30" s="1"/>
  <c r="P46" i="30"/>
  <c r="K48" i="30"/>
  <c r="L48" i="30" s="1"/>
  <c r="P51" i="30"/>
  <c r="F51" i="30"/>
  <c r="K55" i="30"/>
  <c r="L55" i="30" s="1"/>
  <c r="K64" i="30"/>
  <c r="L64" i="30" s="1"/>
  <c r="K17" i="30"/>
  <c r="L17" i="30" s="1"/>
  <c r="F18" i="30"/>
  <c r="P19" i="30"/>
  <c r="K21" i="30"/>
  <c r="L21" i="30" s="1"/>
  <c r="F22" i="30"/>
  <c r="K24" i="30"/>
  <c r="L24" i="30" s="1"/>
  <c r="K26" i="30"/>
  <c r="L26" i="30" s="1"/>
  <c r="P52" i="30"/>
  <c r="F52" i="30"/>
  <c r="K56" i="30"/>
  <c r="L56" i="30" s="1"/>
  <c r="K60" i="30"/>
  <c r="L60" i="30" s="1"/>
  <c r="K61" i="30"/>
  <c r="L61" i="30" s="1"/>
  <c r="K65" i="30"/>
  <c r="L65" i="30" s="1"/>
  <c r="K96" i="30"/>
  <c r="L96" i="30" s="1"/>
  <c r="L5" i="30"/>
  <c r="K29" i="30"/>
  <c r="L29" i="30" s="1"/>
  <c r="P31" i="30"/>
  <c r="K33" i="30"/>
  <c r="L33" i="30" s="1"/>
  <c r="P35" i="30"/>
  <c r="F35" i="30"/>
  <c r="K37" i="30"/>
  <c r="L37" i="30" s="1"/>
  <c r="P39" i="30"/>
  <c r="K41" i="30"/>
  <c r="L41" i="30" s="1"/>
  <c r="P43" i="30"/>
  <c r="F43" i="30"/>
  <c r="K45" i="30"/>
  <c r="L45" i="30" s="1"/>
  <c r="P47" i="30"/>
  <c r="K49" i="30"/>
  <c r="L49" i="30" s="1"/>
  <c r="P53" i="30"/>
  <c r="K57" i="30"/>
  <c r="L57" i="30" s="1"/>
  <c r="N248" i="30"/>
  <c r="O248" i="30" s="1"/>
  <c r="N240" i="30"/>
  <c r="O240" i="30" s="1"/>
  <c r="N232" i="30"/>
  <c r="O232" i="30" s="1"/>
  <c r="N224" i="30"/>
  <c r="O224" i="30" s="1"/>
  <c r="N221" i="30"/>
  <c r="O221" i="30" s="1"/>
  <c r="N217" i="30"/>
  <c r="O217" i="30" s="1"/>
  <c r="N243" i="30"/>
  <c r="O243" i="30" s="1"/>
  <c r="N235" i="30"/>
  <c r="O235" i="30" s="1"/>
  <c r="N227" i="30"/>
  <c r="O227" i="30" s="1"/>
  <c r="N246" i="30"/>
  <c r="O246" i="30" s="1"/>
  <c r="N238" i="30"/>
  <c r="O238" i="30" s="1"/>
  <c r="N230" i="30"/>
  <c r="O230" i="30" s="1"/>
  <c r="N222" i="30"/>
  <c r="O222" i="30" s="1"/>
  <c r="N218" i="30"/>
  <c r="O218" i="30" s="1"/>
  <c r="N255" i="30"/>
  <c r="O255" i="30" s="1"/>
  <c r="N253" i="30"/>
  <c r="O253" i="30" s="1"/>
  <c r="N251" i="30"/>
  <c r="O251" i="30" s="1"/>
  <c r="N249" i="30"/>
  <c r="O249" i="30" s="1"/>
  <c r="N257" i="30"/>
  <c r="O257" i="30" s="1"/>
  <c r="N244" i="30"/>
  <c r="O244" i="30" s="1"/>
  <c r="N236" i="30"/>
  <c r="O236" i="30" s="1"/>
  <c r="N228" i="30"/>
  <c r="O228" i="30" s="1"/>
  <c r="N219" i="30"/>
  <c r="O219" i="30" s="1"/>
  <c r="N247" i="30"/>
  <c r="O247" i="30" s="1"/>
  <c r="N239" i="30"/>
  <c r="O239" i="30" s="1"/>
  <c r="N231" i="30"/>
  <c r="O231" i="30" s="1"/>
  <c r="N223" i="30"/>
  <c r="O223" i="30" s="1"/>
  <c r="N215" i="30"/>
  <c r="O215" i="30" s="1"/>
  <c r="N214" i="30"/>
  <c r="O214" i="30" s="1"/>
  <c r="N213" i="30"/>
  <c r="O213" i="30" s="1"/>
  <c r="N212" i="30"/>
  <c r="O212" i="30" s="1"/>
  <c r="N211" i="30"/>
  <c r="O211" i="30" s="1"/>
  <c r="N210" i="30"/>
  <c r="O210" i="30" s="1"/>
  <c r="N209" i="30"/>
  <c r="O209" i="30" s="1"/>
  <c r="N208" i="30"/>
  <c r="O208" i="30" s="1"/>
  <c r="N207" i="30"/>
  <c r="O207" i="30" s="1"/>
  <c r="N206" i="30"/>
  <c r="O206" i="30" s="1"/>
  <c r="N205" i="30"/>
  <c r="O205" i="30" s="1"/>
  <c r="N204" i="30"/>
  <c r="O204" i="30" s="1"/>
  <c r="N203" i="30"/>
  <c r="O203" i="30" s="1"/>
  <c r="N202" i="30"/>
  <c r="O202" i="30" s="1"/>
  <c r="N242" i="30"/>
  <c r="O242" i="30" s="1"/>
  <c r="R242" i="30" s="1"/>
  <c r="N216" i="30"/>
  <c r="O216" i="30" s="1"/>
  <c r="N201" i="30"/>
  <c r="O201" i="30" s="1"/>
  <c r="N193" i="30"/>
  <c r="O193" i="30" s="1"/>
  <c r="N226" i="30"/>
  <c r="O226" i="30" s="1"/>
  <c r="N225" i="30"/>
  <c r="O225" i="30" s="1"/>
  <c r="N220" i="30"/>
  <c r="O220" i="30" s="1"/>
  <c r="N254" i="30"/>
  <c r="O254" i="30" s="1"/>
  <c r="N237" i="30"/>
  <c r="O237" i="30" s="1"/>
  <c r="N199" i="30"/>
  <c r="O199" i="30" s="1"/>
  <c r="N191" i="30"/>
  <c r="O191" i="30" s="1"/>
  <c r="N194" i="30"/>
  <c r="O194" i="30" s="1"/>
  <c r="N250" i="30"/>
  <c r="O250" i="30" s="1"/>
  <c r="N241" i="30"/>
  <c r="O241" i="30" s="1"/>
  <c r="N197" i="30"/>
  <c r="O197" i="30" s="1"/>
  <c r="N189" i="30"/>
  <c r="O189" i="30" s="1"/>
  <c r="N256" i="30"/>
  <c r="O256" i="30" s="1"/>
  <c r="N245" i="30"/>
  <c r="O245" i="30" s="1"/>
  <c r="N234" i="30"/>
  <c r="O234" i="30" s="1"/>
  <c r="N233" i="30"/>
  <c r="O233" i="30" s="1"/>
  <c r="N198" i="30"/>
  <c r="O198" i="30" s="1"/>
  <c r="N190" i="30"/>
  <c r="O190" i="30" s="1"/>
  <c r="N176" i="30"/>
  <c r="O176" i="30" s="1"/>
  <c r="N168" i="30"/>
  <c r="O168" i="30" s="1"/>
  <c r="N229" i="30"/>
  <c r="O229" i="30" s="1"/>
  <c r="N182" i="30"/>
  <c r="O182" i="30" s="1"/>
  <c r="N173" i="30"/>
  <c r="O173" i="30" s="1"/>
  <c r="N165" i="30"/>
  <c r="O165" i="30" s="1"/>
  <c r="N163" i="30"/>
  <c r="O163" i="30" s="1"/>
  <c r="N161" i="30"/>
  <c r="O161" i="30" s="1"/>
  <c r="N158" i="30"/>
  <c r="O158" i="30" s="1"/>
  <c r="N154" i="30"/>
  <c r="O154" i="30" s="1"/>
  <c r="N150" i="30"/>
  <c r="O150" i="30" s="1"/>
  <c r="N146" i="30"/>
  <c r="O146" i="30" s="1"/>
  <c r="N142" i="30"/>
  <c r="O142" i="30" s="1"/>
  <c r="N138" i="30"/>
  <c r="O138" i="30" s="1"/>
  <c r="N186" i="30"/>
  <c r="O186" i="30" s="1"/>
  <c r="N178" i="30"/>
  <c r="O178" i="30" s="1"/>
  <c r="N170" i="30"/>
  <c r="O170" i="30" s="1"/>
  <c r="N200" i="30"/>
  <c r="O200" i="30" s="1"/>
  <c r="N196" i="30"/>
  <c r="O196" i="30" s="1"/>
  <c r="N192" i="30"/>
  <c r="O192" i="30" s="1"/>
  <c r="N188" i="30"/>
  <c r="O188" i="30" s="1"/>
  <c r="N185" i="30"/>
  <c r="O185" i="30" s="1"/>
  <c r="N181" i="30"/>
  <c r="O181" i="30" s="1"/>
  <c r="N175" i="30"/>
  <c r="O175" i="30" s="1"/>
  <c r="N167" i="30"/>
  <c r="O167" i="30" s="1"/>
  <c r="N159" i="30"/>
  <c r="O159" i="30" s="1"/>
  <c r="N155" i="30"/>
  <c r="O155" i="30" s="1"/>
  <c r="N151" i="30"/>
  <c r="O151" i="30" s="1"/>
  <c r="N147" i="30"/>
  <c r="O147" i="30" s="1"/>
  <c r="N143" i="30"/>
  <c r="O143" i="30" s="1"/>
  <c r="N139" i="30"/>
  <c r="O139" i="30" s="1"/>
  <c r="N172" i="30"/>
  <c r="O172" i="30" s="1"/>
  <c r="N252" i="30"/>
  <c r="O252" i="30" s="1"/>
  <c r="N184" i="30"/>
  <c r="O184" i="30" s="1"/>
  <c r="N180" i="30"/>
  <c r="O180" i="30" s="1"/>
  <c r="N177" i="30"/>
  <c r="O177" i="30" s="1"/>
  <c r="N169" i="30"/>
  <c r="O169" i="30" s="1"/>
  <c r="N164" i="30"/>
  <c r="O164" i="30" s="1"/>
  <c r="N162" i="30"/>
  <c r="O162" i="30" s="1"/>
  <c r="N160" i="30"/>
  <c r="O160" i="30" s="1"/>
  <c r="N156" i="30"/>
  <c r="O156" i="30" s="1"/>
  <c r="N195" i="30"/>
  <c r="O195" i="30" s="1"/>
  <c r="N174" i="30"/>
  <c r="O174" i="30" s="1"/>
  <c r="N187" i="30"/>
  <c r="O187" i="30" s="1"/>
  <c r="N183" i="30"/>
  <c r="O183" i="30" s="1"/>
  <c r="N179" i="30"/>
  <c r="O179" i="30" s="1"/>
  <c r="N171" i="30"/>
  <c r="O171" i="30" s="1"/>
  <c r="N157" i="30"/>
  <c r="O157" i="30" s="1"/>
  <c r="N153" i="30"/>
  <c r="O153" i="30" s="1"/>
  <c r="N149" i="30"/>
  <c r="O149" i="30" s="1"/>
  <c r="N144" i="30"/>
  <c r="O144" i="30" s="1"/>
  <c r="N132" i="30"/>
  <c r="O132" i="30" s="1"/>
  <c r="N124" i="30"/>
  <c r="O124" i="30" s="1"/>
  <c r="N116" i="30"/>
  <c r="O116" i="30" s="1"/>
  <c r="N108" i="30"/>
  <c r="O108" i="30" s="1"/>
  <c r="N100" i="30"/>
  <c r="O100" i="30" s="1"/>
  <c r="N92" i="30"/>
  <c r="O92" i="30" s="1"/>
  <c r="N135" i="30"/>
  <c r="O135" i="30" s="1"/>
  <c r="N127" i="30"/>
  <c r="O127" i="30" s="1"/>
  <c r="N119" i="30"/>
  <c r="O119" i="30" s="1"/>
  <c r="N111" i="30"/>
  <c r="O111" i="30" s="1"/>
  <c r="N103" i="30"/>
  <c r="O103" i="30" s="1"/>
  <c r="N95" i="30"/>
  <c r="O95" i="30" s="1"/>
  <c r="N87" i="30"/>
  <c r="O87" i="30" s="1"/>
  <c r="N84" i="30"/>
  <c r="O84" i="30" s="1"/>
  <c r="N80" i="30"/>
  <c r="O80" i="30" s="1"/>
  <c r="N137" i="30"/>
  <c r="O137" i="30" s="1"/>
  <c r="N130" i="30"/>
  <c r="O130" i="30" s="1"/>
  <c r="N122" i="30"/>
  <c r="O122" i="30" s="1"/>
  <c r="N114" i="30"/>
  <c r="O114" i="30" s="1"/>
  <c r="N106" i="30"/>
  <c r="O106" i="30" s="1"/>
  <c r="N98" i="30"/>
  <c r="O98" i="30" s="1"/>
  <c r="N90" i="30"/>
  <c r="O90" i="30" s="1"/>
  <c r="N133" i="30"/>
  <c r="O133" i="30" s="1"/>
  <c r="N125" i="30"/>
  <c r="O125" i="30" s="1"/>
  <c r="N117" i="30"/>
  <c r="O117" i="30" s="1"/>
  <c r="N109" i="30"/>
  <c r="O109" i="30" s="1"/>
  <c r="N101" i="30"/>
  <c r="O101" i="30" s="1"/>
  <c r="N93" i="30"/>
  <c r="O93" i="30" s="1"/>
  <c r="N85" i="30"/>
  <c r="O85" i="30" s="1"/>
  <c r="N141" i="30"/>
  <c r="O141" i="30" s="1"/>
  <c r="N136" i="30"/>
  <c r="O136" i="30" s="1"/>
  <c r="N128" i="30"/>
  <c r="O128" i="30" s="1"/>
  <c r="N120" i="30"/>
  <c r="O120" i="30" s="1"/>
  <c r="N112" i="30"/>
  <c r="O112" i="30" s="1"/>
  <c r="N104" i="30"/>
  <c r="O104" i="30" s="1"/>
  <c r="N96" i="30"/>
  <c r="O96" i="30" s="1"/>
  <c r="N88" i="30"/>
  <c r="O88" i="30" s="1"/>
  <c r="N152" i="30"/>
  <c r="O152" i="30" s="1"/>
  <c r="N148" i="30"/>
  <c r="O148" i="30" s="1"/>
  <c r="N131" i="30"/>
  <c r="O131" i="30" s="1"/>
  <c r="N123" i="30"/>
  <c r="O123" i="30" s="1"/>
  <c r="N115" i="30"/>
  <c r="O115" i="30" s="1"/>
  <c r="N107" i="30"/>
  <c r="O107" i="30" s="1"/>
  <c r="N99" i="30"/>
  <c r="O99" i="30" s="1"/>
  <c r="N91" i="30"/>
  <c r="O91" i="30" s="1"/>
  <c r="N82" i="30"/>
  <c r="O82" i="30" s="1"/>
  <c r="N166" i="30"/>
  <c r="O166" i="30" s="1"/>
  <c r="N140" i="30"/>
  <c r="O140" i="30" s="1"/>
  <c r="N134" i="30"/>
  <c r="O134" i="30" s="1"/>
  <c r="N126" i="30"/>
  <c r="O126" i="30" s="1"/>
  <c r="N118" i="30"/>
  <c r="O118" i="30" s="1"/>
  <c r="N110" i="30"/>
  <c r="O110" i="30" s="1"/>
  <c r="N102" i="30"/>
  <c r="O102" i="30" s="1"/>
  <c r="N145" i="30"/>
  <c r="O145" i="30" s="1"/>
  <c r="N129" i="30"/>
  <c r="O129" i="30" s="1"/>
  <c r="N121" i="30"/>
  <c r="O121" i="30" s="1"/>
  <c r="N113" i="30"/>
  <c r="O113" i="30" s="1"/>
  <c r="N105" i="30"/>
  <c r="O105" i="30" s="1"/>
  <c r="N97" i="30"/>
  <c r="O97" i="30" s="1"/>
  <c r="N63" i="30"/>
  <c r="O63" i="30" s="1"/>
  <c r="N59" i="30"/>
  <c r="O59" i="30" s="1"/>
  <c r="N89" i="30"/>
  <c r="O89" i="30" s="1"/>
  <c r="N83" i="30"/>
  <c r="O83" i="30" s="1"/>
  <c r="N77" i="30"/>
  <c r="O77" i="30" s="1"/>
  <c r="N75" i="30"/>
  <c r="O75" i="30" s="1"/>
  <c r="N73" i="30"/>
  <c r="O73" i="30" s="1"/>
  <c r="N71" i="30"/>
  <c r="O71" i="30" s="1"/>
  <c r="N69" i="30"/>
  <c r="O69" i="30" s="1"/>
  <c r="N67" i="30"/>
  <c r="O67" i="30" s="1"/>
  <c r="N64" i="30"/>
  <c r="O64" i="30" s="1"/>
  <c r="N60" i="30"/>
  <c r="O60" i="30" s="1"/>
  <c r="N79" i="30"/>
  <c r="O79" i="30" s="1"/>
  <c r="N56" i="30"/>
  <c r="O56" i="30" s="1"/>
  <c r="N55" i="30"/>
  <c r="O55" i="30" s="1"/>
  <c r="N54" i="30"/>
  <c r="O54" i="30" s="1"/>
  <c r="N53" i="30"/>
  <c r="O53" i="30" s="1"/>
  <c r="N52" i="30"/>
  <c r="O52" i="30" s="1"/>
  <c r="N51" i="30"/>
  <c r="O51" i="30" s="1"/>
  <c r="N50" i="30"/>
  <c r="O50" i="30" s="1"/>
  <c r="N49" i="30"/>
  <c r="O49" i="30" s="1"/>
  <c r="N48" i="30"/>
  <c r="O48" i="30" s="1"/>
  <c r="N47" i="30"/>
  <c r="O47" i="30" s="1"/>
  <c r="N46" i="30"/>
  <c r="O46" i="30" s="1"/>
  <c r="N45" i="30"/>
  <c r="O45" i="30" s="1"/>
  <c r="N44" i="30"/>
  <c r="O44" i="30" s="1"/>
  <c r="N43" i="30"/>
  <c r="O43" i="30" s="1"/>
  <c r="N42" i="30"/>
  <c r="O42" i="30" s="1"/>
  <c r="N41" i="30"/>
  <c r="O41" i="30" s="1"/>
  <c r="N40" i="30"/>
  <c r="O40" i="30" s="1"/>
  <c r="N39" i="30"/>
  <c r="O39" i="30" s="1"/>
  <c r="N38" i="30"/>
  <c r="O38" i="30" s="1"/>
  <c r="N37" i="30"/>
  <c r="O37" i="30" s="1"/>
  <c r="N36" i="30"/>
  <c r="O36" i="30" s="1"/>
  <c r="N35" i="30"/>
  <c r="O35" i="30" s="1"/>
  <c r="N34" i="30"/>
  <c r="O34" i="30" s="1"/>
  <c r="N33" i="30"/>
  <c r="O33" i="30" s="1"/>
  <c r="N32" i="30"/>
  <c r="O32" i="30" s="1"/>
  <c r="N31" i="30"/>
  <c r="O31" i="30" s="1"/>
  <c r="N30" i="30"/>
  <c r="O30" i="30" s="1"/>
  <c r="N29" i="30"/>
  <c r="O29" i="30" s="1"/>
  <c r="N28" i="30"/>
  <c r="O28" i="30" s="1"/>
  <c r="N27" i="30"/>
  <c r="O27" i="30" s="1"/>
  <c r="N26" i="30"/>
  <c r="O26" i="30" s="1"/>
  <c r="N25" i="30"/>
  <c r="O25" i="30" s="1"/>
  <c r="N24" i="30"/>
  <c r="O24" i="30" s="1"/>
  <c r="N23" i="30"/>
  <c r="O23" i="30" s="1"/>
  <c r="N22" i="30"/>
  <c r="O22" i="30" s="1"/>
  <c r="N21" i="30"/>
  <c r="O21" i="30" s="1"/>
  <c r="N20" i="30"/>
  <c r="O20" i="30" s="1"/>
  <c r="N19" i="30"/>
  <c r="O19" i="30" s="1"/>
  <c r="N18" i="30"/>
  <c r="O18" i="30" s="1"/>
  <c r="N17" i="30"/>
  <c r="O17" i="30" s="1"/>
  <c r="N16" i="30"/>
  <c r="O16" i="30" s="1"/>
  <c r="N15" i="30"/>
  <c r="O15" i="30" s="1"/>
  <c r="N65" i="30"/>
  <c r="O65" i="30" s="1"/>
  <c r="N61" i="30"/>
  <c r="O61" i="30" s="1"/>
  <c r="N57" i="30"/>
  <c r="O57" i="30" s="1"/>
  <c r="N86" i="30"/>
  <c r="O86" i="30" s="1"/>
  <c r="N94" i="30"/>
  <c r="O94" i="30" s="1"/>
  <c r="N81" i="30"/>
  <c r="O81" i="30" s="1"/>
  <c r="N76" i="30"/>
  <c r="O76" i="30" s="1"/>
  <c r="N74" i="30"/>
  <c r="O74" i="30" s="1"/>
  <c r="N72" i="30"/>
  <c r="O72" i="30" s="1"/>
  <c r="N70" i="30"/>
  <c r="O70" i="30" s="1"/>
  <c r="N68" i="30"/>
  <c r="O68" i="30" s="1"/>
  <c r="N66" i="30"/>
  <c r="O66" i="30" s="1"/>
  <c r="P8" i="30"/>
  <c r="K16" i="30"/>
  <c r="L16" i="30" s="1"/>
  <c r="P18" i="30"/>
  <c r="K20" i="30"/>
  <c r="L20" i="30" s="1"/>
  <c r="P22" i="30"/>
  <c r="K50" i="30"/>
  <c r="L50" i="30" s="1"/>
  <c r="P54" i="30"/>
  <c r="K67" i="30"/>
  <c r="L67" i="30" s="1"/>
  <c r="K69" i="30"/>
  <c r="L69" i="30" s="1"/>
  <c r="K71" i="30"/>
  <c r="L71" i="30" s="1"/>
  <c r="K93" i="30"/>
  <c r="L93" i="30" s="1"/>
  <c r="P65" i="30"/>
  <c r="F65" i="30"/>
  <c r="K19" i="30"/>
  <c r="L19" i="30" s="1"/>
  <c r="F20" i="30"/>
  <c r="K23" i="30"/>
  <c r="L23" i="30" s="1"/>
  <c r="K25" i="30"/>
  <c r="L25" i="30" s="1"/>
  <c r="K27" i="30"/>
  <c r="L27" i="30" s="1"/>
  <c r="K52" i="30"/>
  <c r="L52" i="30" s="1"/>
  <c r="P56" i="30"/>
  <c r="N58" i="30"/>
  <c r="O58" i="30" s="1"/>
  <c r="P61" i="30"/>
  <c r="F61" i="30"/>
  <c r="P24" i="30"/>
  <c r="K30" i="30"/>
  <c r="L30" i="30" s="1"/>
  <c r="P32" i="30"/>
  <c r="P36" i="30"/>
  <c r="K46" i="30"/>
  <c r="L46" i="30" s="1"/>
  <c r="P48" i="30"/>
  <c r="P55" i="30"/>
  <c r="P29" i="30"/>
  <c r="K31" i="30"/>
  <c r="L31" i="30" s="1"/>
  <c r="P33" i="30"/>
  <c r="K35" i="30"/>
  <c r="L35" i="30" s="1"/>
  <c r="P37" i="30"/>
  <c r="K39" i="30"/>
  <c r="L39" i="30" s="1"/>
  <c r="P41" i="30"/>
  <c r="F41" i="30"/>
  <c r="K43" i="30"/>
  <c r="L43" i="30" s="1"/>
  <c r="P45" i="30"/>
  <c r="K47" i="30"/>
  <c r="L47" i="30" s="1"/>
  <c r="P49" i="30"/>
  <c r="K53" i="30"/>
  <c r="L53" i="30" s="1"/>
  <c r="P57" i="30"/>
  <c r="P62" i="30"/>
  <c r="N78" i="30"/>
  <c r="O78" i="30" s="1"/>
  <c r="P68" i="30"/>
  <c r="P70" i="30"/>
  <c r="P72" i="30"/>
  <c r="P74" i="30"/>
  <c r="P76" i="30"/>
  <c r="P91" i="30"/>
  <c r="P81" i="30"/>
  <c r="P60" i="30"/>
  <c r="P64" i="30"/>
  <c r="P82" i="30"/>
  <c r="P85" i="30"/>
  <c r="P94" i="30"/>
  <c r="P67" i="30"/>
  <c r="P69" i="30"/>
  <c r="P71" i="30"/>
  <c r="P73" i="30"/>
  <c r="P75" i="30"/>
  <c r="P77" i="30"/>
  <c r="P86" i="30"/>
  <c r="P59" i="30"/>
  <c r="P63" i="30"/>
  <c r="F67" i="30"/>
  <c r="F73" i="30"/>
  <c r="P142" i="30"/>
  <c r="P140" i="30"/>
  <c r="P88" i="30"/>
  <c r="P96" i="30"/>
  <c r="P104" i="30"/>
  <c r="P93" i="30"/>
  <c r="P101" i="30"/>
  <c r="F115" i="30"/>
  <c r="P143" i="30"/>
  <c r="P148" i="30"/>
  <c r="P156" i="30"/>
  <c r="P90" i="30"/>
  <c r="P98" i="30"/>
  <c r="P149" i="30"/>
  <c r="P152" i="30"/>
  <c r="P153" i="30"/>
  <c r="P80" i="30"/>
  <c r="P84" i="30"/>
  <c r="F93" i="30"/>
  <c r="F101" i="30"/>
  <c r="F109" i="30"/>
  <c r="F117" i="30"/>
  <c r="F125" i="30"/>
  <c r="F133" i="30"/>
  <c r="P139" i="30"/>
  <c r="P141" i="30"/>
  <c r="P146" i="30"/>
  <c r="P92" i="30"/>
  <c r="P100" i="30"/>
  <c r="P160" i="30"/>
  <c r="P79" i="30"/>
  <c r="F80" i="30"/>
  <c r="P83" i="30"/>
  <c r="F87" i="30"/>
  <c r="P89" i="30"/>
  <c r="P97" i="30"/>
  <c r="F127" i="30"/>
  <c r="P137" i="30"/>
  <c r="P144" i="30"/>
  <c r="P150" i="30"/>
  <c r="P154" i="30"/>
  <c r="P158" i="30"/>
  <c r="P189" i="30"/>
  <c r="P197" i="30"/>
  <c r="P157" i="30"/>
  <c r="P162" i="30"/>
  <c r="P164" i="30"/>
  <c r="P201" i="30"/>
  <c r="P169" i="30"/>
  <c r="P177" i="30"/>
  <c r="P180" i="30"/>
  <c r="P184" i="30"/>
  <c r="F164" i="30"/>
  <c r="S164" i="30" s="1"/>
  <c r="P172" i="30"/>
  <c r="P195" i="30"/>
  <c r="P204" i="30"/>
  <c r="P167" i="30"/>
  <c r="P175" i="30"/>
  <c r="F180" i="30"/>
  <c r="P181" i="30"/>
  <c r="F184" i="30"/>
  <c r="P185" i="30"/>
  <c r="P192" i="30"/>
  <c r="F192" i="30"/>
  <c r="P200" i="30"/>
  <c r="P206" i="30"/>
  <c r="P161" i="30"/>
  <c r="P163" i="30"/>
  <c r="P165" i="30"/>
  <c r="P170" i="30"/>
  <c r="P178" i="30"/>
  <c r="P191" i="30"/>
  <c r="P193" i="30"/>
  <c r="P199" i="30"/>
  <c r="P223" i="30"/>
  <c r="P173" i="30"/>
  <c r="P220" i="30"/>
  <c r="P209" i="30"/>
  <c r="P216" i="30"/>
  <c r="F216" i="30"/>
  <c r="P230" i="30"/>
  <c r="P246" i="30"/>
  <c r="P242" i="30"/>
  <c r="P207" i="30"/>
  <c r="P226" i="30"/>
  <c r="P202" i="30"/>
  <c r="P210" i="30"/>
  <c r="P214" i="30"/>
  <c r="P222" i="30"/>
  <c r="P238" i="30"/>
  <c r="F189" i="30"/>
  <c r="F197" i="30"/>
  <c r="P205" i="30"/>
  <c r="P218" i="30"/>
  <c r="P208" i="30"/>
  <c r="P234" i="30"/>
  <c r="P203" i="30"/>
  <c r="F211" i="30"/>
  <c r="S200" i="30" l="1"/>
  <c r="R163" i="30"/>
  <c r="R218" i="30"/>
  <c r="R222" i="30"/>
  <c r="S110" i="30"/>
  <c r="Q64" i="33"/>
  <c r="R63" i="33"/>
  <c r="U63" i="33"/>
  <c r="S63" i="33"/>
  <c r="V62" i="33"/>
  <c r="T62" i="33"/>
  <c r="R69" i="30"/>
  <c r="R117" i="30"/>
  <c r="R70" i="30"/>
  <c r="R131" i="30"/>
  <c r="R188" i="30"/>
  <c r="R20" i="30"/>
  <c r="R102" i="30"/>
  <c r="R148" i="30"/>
  <c r="R165" i="30"/>
  <c r="R202" i="30"/>
  <c r="R74" i="30"/>
  <c r="R184" i="30"/>
  <c r="S189" i="30"/>
  <c r="L14" i="30"/>
  <c r="R14" i="30" s="1"/>
  <c r="R125" i="30"/>
  <c r="R203" i="30"/>
  <c r="S214" i="30"/>
  <c r="S216" i="30"/>
  <c r="S130" i="30"/>
  <c r="S30" i="30"/>
  <c r="R68" i="30"/>
  <c r="R32" i="30"/>
  <c r="R46" i="30"/>
  <c r="R101" i="30"/>
  <c r="R149" i="30"/>
  <c r="R189" i="30"/>
  <c r="R214" i="30"/>
  <c r="R248" i="30"/>
  <c r="R138" i="30"/>
  <c r="R41" i="30"/>
  <c r="R151" i="30"/>
  <c r="R239" i="30"/>
  <c r="R78" i="30"/>
  <c r="R126" i="30"/>
  <c r="R90" i="30"/>
  <c r="R139" i="30"/>
  <c r="R170" i="30"/>
  <c r="R246" i="30"/>
  <c r="R8" i="30"/>
  <c r="R110" i="30"/>
  <c r="R230" i="30"/>
  <c r="R50" i="30"/>
  <c r="R182" i="30"/>
  <c r="R94" i="30"/>
  <c r="R38" i="30"/>
  <c r="R83" i="30"/>
  <c r="R134" i="30"/>
  <c r="R104" i="30"/>
  <c r="R98" i="30"/>
  <c r="R187" i="30"/>
  <c r="R227" i="30"/>
  <c r="S51" i="30"/>
  <c r="R17" i="30"/>
  <c r="R173" i="30"/>
  <c r="S27" i="30"/>
  <c r="R86" i="30"/>
  <c r="R53" i="30"/>
  <c r="R140" i="30"/>
  <c r="R112" i="30"/>
  <c r="R106" i="30"/>
  <c r="R92" i="30"/>
  <c r="R174" i="30"/>
  <c r="R186" i="30"/>
  <c r="R176" i="30"/>
  <c r="R237" i="30"/>
  <c r="R235" i="30"/>
  <c r="R250" i="30"/>
  <c r="R58" i="30"/>
  <c r="R88" i="30"/>
  <c r="R200" i="30"/>
  <c r="R238" i="30"/>
  <c r="R59" i="30"/>
  <c r="R100" i="30"/>
  <c r="R190" i="30"/>
  <c r="R254" i="30"/>
  <c r="R208" i="30"/>
  <c r="R236" i="30"/>
  <c r="R76" i="30"/>
  <c r="R179" i="30"/>
  <c r="S20" i="30"/>
  <c r="R82" i="30"/>
  <c r="R128" i="30"/>
  <c r="R122" i="30"/>
  <c r="R142" i="30"/>
  <c r="R198" i="30"/>
  <c r="R220" i="30"/>
  <c r="R244" i="30"/>
  <c r="S116" i="30"/>
  <c r="S42" i="30"/>
  <c r="S169" i="30"/>
  <c r="S257" i="30"/>
  <c r="S232" i="30"/>
  <c r="S102" i="30"/>
  <c r="S188" i="30"/>
  <c r="R89" i="30"/>
  <c r="R54" i="30"/>
  <c r="S180" i="30"/>
  <c r="S123" i="30"/>
  <c r="R28" i="30"/>
  <c r="R42" i="30"/>
  <c r="R56" i="30"/>
  <c r="R136" i="30"/>
  <c r="R130" i="30"/>
  <c r="R116" i="30"/>
  <c r="R160" i="30"/>
  <c r="R233" i="30"/>
  <c r="R210" i="30"/>
  <c r="R257" i="30"/>
  <c r="R221" i="30"/>
  <c r="R152" i="30"/>
  <c r="R196" i="30"/>
  <c r="R118" i="30"/>
  <c r="S48" i="30"/>
  <c r="R166" i="30"/>
  <c r="R124" i="30"/>
  <c r="R150" i="30"/>
  <c r="R234" i="30"/>
  <c r="R226" i="30"/>
  <c r="R249" i="30"/>
  <c r="R224" i="30"/>
  <c r="R185" i="30"/>
  <c r="R73" i="30"/>
  <c r="R62" i="30"/>
  <c r="S192" i="30"/>
  <c r="R22" i="30"/>
  <c r="R172" i="30"/>
  <c r="R194" i="30"/>
  <c r="R114" i="30"/>
  <c r="S87" i="30"/>
  <c r="R162" i="30"/>
  <c r="S218" i="30"/>
  <c r="S101" i="30"/>
  <c r="S91" i="30"/>
  <c r="R16" i="30"/>
  <c r="R44" i="30"/>
  <c r="R107" i="30"/>
  <c r="R80" i="30"/>
  <c r="R164" i="30"/>
  <c r="R154" i="30"/>
  <c r="R245" i="30"/>
  <c r="R212" i="30"/>
  <c r="R251" i="30"/>
  <c r="R232" i="30"/>
  <c r="R40" i="30"/>
  <c r="S80" i="30"/>
  <c r="S115" i="30"/>
  <c r="S72" i="30"/>
  <c r="S36" i="30"/>
  <c r="S65" i="30"/>
  <c r="R30" i="30"/>
  <c r="S93" i="30"/>
  <c r="R66" i="30"/>
  <c r="R45" i="30"/>
  <c r="R64" i="30"/>
  <c r="R115" i="30"/>
  <c r="R93" i="30"/>
  <c r="R158" i="30"/>
  <c r="R256" i="30"/>
  <c r="R213" i="30"/>
  <c r="S28" i="30"/>
  <c r="S11" i="30"/>
  <c r="S52" i="30"/>
  <c r="S190" i="30"/>
  <c r="S44" i="30"/>
  <c r="S132" i="30"/>
  <c r="S58" i="30"/>
  <c r="S181" i="30"/>
  <c r="S145" i="30"/>
  <c r="S250" i="30"/>
  <c r="S114" i="30"/>
  <c r="S228" i="30"/>
  <c r="S207" i="30"/>
  <c r="S178" i="30"/>
  <c r="S56" i="30"/>
  <c r="S201" i="30"/>
  <c r="S157" i="30"/>
  <c r="R191" i="30"/>
  <c r="S106" i="30"/>
  <c r="S35" i="30"/>
  <c r="S143" i="30"/>
  <c r="S186" i="30"/>
  <c r="S151" i="30"/>
  <c r="R52" i="30"/>
  <c r="S21" i="30"/>
  <c r="S203" i="30"/>
  <c r="S165" i="30"/>
  <c r="S8" i="30"/>
  <c r="S204" i="30"/>
  <c r="S122" i="30"/>
  <c r="S94" i="30"/>
  <c r="S176" i="30"/>
  <c r="S45" i="30"/>
  <c r="S233" i="30"/>
  <c r="S229" i="30"/>
  <c r="S92" i="30"/>
  <c r="S225" i="30"/>
  <c r="S149" i="30"/>
  <c r="R205" i="30"/>
  <c r="R51" i="30"/>
  <c r="R91" i="30"/>
  <c r="R206" i="30"/>
  <c r="S41" i="30"/>
  <c r="S61" i="30"/>
  <c r="S29" i="30"/>
  <c r="S32" i="30"/>
  <c r="S202" i="30"/>
  <c r="S100" i="30"/>
  <c r="S215" i="30"/>
  <c r="S53" i="30"/>
  <c r="S242" i="30"/>
  <c r="S234" i="30"/>
  <c r="R96" i="30"/>
  <c r="R195" i="30"/>
  <c r="R77" i="30"/>
  <c r="R178" i="30"/>
  <c r="S174" i="30"/>
  <c r="S98" i="30"/>
  <c r="S17" i="30"/>
  <c r="S105" i="30"/>
  <c r="S221" i="30"/>
  <c r="S60" i="30"/>
  <c r="S139" i="30"/>
  <c r="S83" i="30"/>
  <c r="S247" i="30"/>
  <c r="S131" i="30"/>
  <c r="S243" i="30"/>
  <c r="S108" i="30"/>
  <c r="S239" i="30"/>
  <c r="R25" i="30"/>
  <c r="R159" i="30"/>
  <c r="S227" i="30"/>
  <c r="S121" i="30"/>
  <c r="R84" i="30"/>
  <c r="R181" i="30"/>
  <c r="R37" i="30"/>
  <c r="R146" i="30"/>
  <c r="S25" i="30"/>
  <c r="S54" i="30"/>
  <c r="S47" i="30"/>
  <c r="S137" i="30"/>
  <c r="S226" i="30"/>
  <c r="S66" i="30"/>
  <c r="S146" i="30"/>
  <c r="S46" i="30"/>
  <c r="S55" i="30"/>
  <c r="S248" i="30"/>
  <c r="S210" i="30"/>
  <c r="S191" i="30"/>
  <c r="S162" i="30"/>
  <c r="S79" i="30"/>
  <c r="S37" i="30"/>
  <c r="S126" i="30"/>
  <c r="S38" i="30"/>
  <c r="S224" i="30"/>
  <c r="S208" i="30"/>
  <c r="S85" i="30"/>
  <c r="S219" i="30"/>
  <c r="S136" i="30"/>
  <c r="R161" i="30"/>
  <c r="R49" i="30"/>
  <c r="R175" i="30"/>
  <c r="S129" i="30"/>
  <c r="R120" i="30"/>
  <c r="R217" i="30"/>
  <c r="R61" i="30"/>
  <c r="R29" i="30"/>
  <c r="R111" i="30"/>
  <c r="S245" i="30"/>
  <c r="R108" i="30"/>
  <c r="S170" i="30"/>
  <c r="S182" i="30"/>
  <c r="S134" i="30"/>
  <c r="S68" i="30"/>
  <c r="S238" i="30"/>
  <c r="S39" i="30"/>
  <c r="S104" i="30"/>
  <c r="S168" i="30"/>
  <c r="R145" i="30"/>
  <c r="R33" i="30"/>
  <c r="R167" i="30"/>
  <c r="R103" i="30"/>
  <c r="R43" i="30"/>
  <c r="R252" i="30"/>
  <c r="R171" i="30"/>
  <c r="S127" i="30"/>
  <c r="S103" i="30"/>
  <c r="S97" i="30"/>
  <c r="R129" i="30"/>
  <c r="S113" i="30"/>
  <c r="S211" i="30"/>
  <c r="S184" i="30"/>
  <c r="S31" i="30"/>
  <c r="S71" i="30"/>
  <c r="S144" i="30"/>
  <c r="S231" i="30"/>
  <c r="S74" i="30"/>
  <c r="S205" i="30"/>
  <c r="S75" i="30"/>
  <c r="S152" i="30"/>
  <c r="S140" i="30"/>
  <c r="S255" i="30"/>
  <c r="S141" i="30"/>
  <c r="S62" i="30"/>
  <c r="S148" i="30"/>
  <c r="S252" i="30"/>
  <c r="S220" i="30"/>
  <c r="R121" i="30"/>
  <c r="R143" i="30"/>
  <c r="R79" i="30"/>
  <c r="R228" i="30"/>
  <c r="R60" i="30"/>
  <c r="R157" i="30"/>
  <c r="R153" i="30"/>
  <c r="S135" i="30"/>
  <c r="S133" i="30"/>
  <c r="S86" i="30"/>
  <c r="S150" i="30"/>
  <c r="S240" i="30"/>
  <c r="S81" i="30"/>
  <c r="S212" i="30"/>
  <c r="S82" i="30"/>
  <c r="S171" i="30"/>
  <c r="S159" i="30"/>
  <c r="S69" i="30"/>
  <c r="S147" i="30"/>
  <c r="S76" i="30"/>
  <c r="S161" i="30"/>
  <c r="S256" i="30"/>
  <c r="S235" i="30"/>
  <c r="R113" i="30"/>
  <c r="R223" i="30"/>
  <c r="R71" i="30"/>
  <c r="R216" i="30"/>
  <c r="R48" i="30"/>
  <c r="R147" i="30"/>
  <c r="R137" i="30"/>
  <c r="S57" i="30"/>
  <c r="S198" i="30"/>
  <c r="S251" i="30"/>
  <c r="S142" i="30"/>
  <c r="R87" i="30"/>
  <c r="R72" i="30"/>
  <c r="S125" i="30"/>
  <c r="S73" i="30"/>
  <c r="S43" i="30"/>
  <c r="R35" i="30"/>
  <c r="S99" i="30"/>
  <c r="S156" i="30"/>
  <c r="S249" i="30"/>
  <c r="S88" i="30"/>
  <c r="S217" i="30"/>
  <c r="S89" i="30"/>
  <c r="S177" i="30"/>
  <c r="S172" i="30"/>
  <c r="S77" i="30"/>
  <c r="S154" i="30"/>
  <c r="S90" i="30"/>
  <c r="S179" i="30"/>
  <c r="S33" i="30"/>
  <c r="S244" i="30"/>
  <c r="R105" i="30"/>
  <c r="R215" i="30"/>
  <c r="R135" i="30"/>
  <c r="R63" i="30"/>
  <c r="R204" i="30"/>
  <c r="R36" i="30"/>
  <c r="R133" i="30"/>
  <c r="S119" i="30"/>
  <c r="S230" i="30"/>
  <c r="R95" i="30"/>
  <c r="R240" i="30"/>
  <c r="S117" i="30"/>
  <c r="S67" i="30"/>
  <c r="R27" i="30"/>
  <c r="S112" i="30"/>
  <c r="S34" i="30"/>
  <c r="S163" i="30"/>
  <c r="S253" i="30"/>
  <c r="S95" i="30"/>
  <c r="S222" i="30"/>
  <c r="S96" i="30"/>
  <c r="S193" i="30"/>
  <c r="S183" i="30"/>
  <c r="S84" i="30"/>
  <c r="S160" i="30"/>
  <c r="S107" i="30"/>
  <c r="S185" i="30"/>
  <c r="S49" i="30"/>
  <c r="R209" i="30"/>
  <c r="R97" i="30"/>
  <c r="R55" i="30"/>
  <c r="S187" i="30"/>
  <c r="R192" i="30"/>
  <c r="R123" i="30"/>
  <c r="S206" i="30"/>
  <c r="S167" i="30"/>
  <c r="S153" i="30"/>
  <c r="S40" i="30"/>
  <c r="S64" i="30"/>
  <c r="R201" i="30"/>
  <c r="R207" i="30"/>
  <c r="R47" i="30"/>
  <c r="R180" i="30"/>
  <c r="R253" i="30"/>
  <c r="R109" i="30"/>
  <c r="R225" i="30"/>
  <c r="S109" i="30"/>
  <c r="S78" i="30"/>
  <c r="R34" i="30"/>
  <c r="S124" i="30"/>
  <c r="S50" i="30"/>
  <c r="S175" i="30"/>
  <c r="S138" i="30"/>
  <c r="S241" i="30"/>
  <c r="S223" i="30"/>
  <c r="S199" i="30"/>
  <c r="S173" i="30"/>
  <c r="S166" i="30"/>
  <c r="S195" i="30"/>
  <c r="R193" i="30"/>
  <c r="R81" i="30"/>
  <c r="S236" i="30"/>
  <c r="R255" i="30"/>
  <c r="R199" i="30"/>
  <c r="R127" i="30"/>
  <c r="R39" i="30"/>
  <c r="R168" i="30"/>
  <c r="R243" i="30"/>
  <c r="R99" i="30"/>
  <c r="R211" i="30"/>
  <c r="R31" i="30"/>
  <c r="R156" i="30"/>
  <c r="R241" i="30"/>
  <c r="R85" i="30"/>
  <c r="R197" i="30"/>
  <c r="S118" i="30"/>
  <c r="S237" i="30"/>
  <c r="S213" i="30"/>
  <c r="S111" i="30"/>
  <c r="S194" i="30"/>
  <c r="S63" i="30"/>
  <c r="S209" i="30"/>
  <c r="S120" i="30"/>
  <c r="R177" i="30"/>
  <c r="R65" i="30"/>
  <c r="S59" i="30"/>
  <c r="R247" i="30"/>
  <c r="R119" i="30"/>
  <c r="R144" i="30"/>
  <c r="R229" i="30"/>
  <c r="R75" i="30"/>
  <c r="R155" i="30"/>
  <c r="S254" i="30"/>
  <c r="S197" i="30"/>
  <c r="S155" i="30"/>
  <c r="S196" i="30"/>
  <c r="S158" i="30"/>
  <c r="S246" i="30"/>
  <c r="S70" i="30"/>
  <c r="S128" i="30"/>
  <c r="R169" i="30"/>
  <c r="R57" i="30"/>
  <c r="R231" i="30"/>
  <c r="R183" i="30"/>
  <c r="R132" i="30"/>
  <c r="R219" i="30"/>
  <c r="R67" i="30"/>
  <c r="R141" i="30"/>
  <c r="R21" i="30"/>
  <c r="R24" i="30"/>
  <c r="R19" i="30"/>
  <c r="R26" i="30"/>
  <c r="R18" i="30"/>
  <c r="R23" i="30"/>
  <c r="S22" i="30"/>
  <c r="S18" i="30"/>
  <c r="S23" i="30"/>
  <c r="S19" i="30"/>
  <c r="S16" i="30"/>
  <c r="S26" i="30"/>
  <c r="S24" i="30"/>
  <c r="L15" i="30"/>
  <c r="R15" i="30" s="1"/>
  <c r="L11" i="30"/>
  <c r="R11" i="30" s="1"/>
  <c r="F15" i="30"/>
  <c r="F14" i="30"/>
  <c r="S14" i="30" s="1"/>
  <c r="F9" i="30"/>
  <c r="S9" i="30" s="1"/>
  <c r="L9" i="30"/>
  <c r="R9" i="30" s="1"/>
  <c r="F13" i="30"/>
  <c r="S13" i="30" s="1"/>
  <c r="L13" i="30"/>
  <c r="R13" i="30" s="1"/>
  <c r="F10" i="30"/>
  <c r="S10" i="30" s="1"/>
  <c r="L10" i="30"/>
  <c r="R10" i="30" s="1"/>
  <c r="F12" i="30"/>
  <c r="S12" i="30" s="1"/>
  <c r="L12" i="30"/>
  <c r="R12" i="30" s="1"/>
  <c r="P258" i="30"/>
  <c r="I258" i="30"/>
  <c r="O258" i="30"/>
  <c r="V63" i="33" l="1"/>
  <c r="T63" i="33"/>
  <c r="U64" i="33"/>
  <c r="Q65" i="33"/>
  <c r="S64" i="33"/>
  <c r="R64" i="33"/>
  <c r="T107" i="30"/>
  <c r="T226" i="30"/>
  <c r="S15" i="30"/>
  <c r="T15" i="30" s="1"/>
  <c r="T164" i="30"/>
  <c r="T100" i="30"/>
  <c r="T196" i="30"/>
  <c r="T132" i="30"/>
  <c r="T257" i="30"/>
  <c r="T186" i="30"/>
  <c r="T228" i="30"/>
  <c r="L258" i="30"/>
  <c r="F258" i="30"/>
  <c r="T131" i="30"/>
  <c r="T246" i="30"/>
  <c r="T87" i="30"/>
  <c r="T91" i="30"/>
  <c r="T83" i="30"/>
  <c r="T127" i="30"/>
  <c r="T75" i="30"/>
  <c r="T123" i="30"/>
  <c r="T65" i="30"/>
  <c r="T161" i="30"/>
  <c r="T95" i="30"/>
  <c r="T69" i="30"/>
  <c r="T165" i="30"/>
  <c r="T64" i="30"/>
  <c r="T96" i="30"/>
  <c r="T128" i="30"/>
  <c r="T160" i="30"/>
  <c r="T192" i="30"/>
  <c r="T224" i="30"/>
  <c r="T256" i="30"/>
  <c r="T35" i="30"/>
  <c r="T225" i="30"/>
  <c r="T68" i="30"/>
  <c r="T33" i="30"/>
  <c r="T129" i="30"/>
  <c r="T58" i="30"/>
  <c r="T142" i="30"/>
  <c r="T187" i="30"/>
  <c r="T250" i="30"/>
  <c r="T135" i="30"/>
  <c r="T238" i="30"/>
  <c r="T254" i="30"/>
  <c r="T59" i="30"/>
  <c r="T115" i="30"/>
  <c r="T22" i="30"/>
  <c r="T219" i="30"/>
  <c r="T97" i="30"/>
  <c r="T193" i="30"/>
  <c r="T101" i="30"/>
  <c r="T197" i="30"/>
  <c r="T54" i="30"/>
  <c r="T143" i="30"/>
  <c r="T28" i="30"/>
  <c r="T36" i="30"/>
  <c r="T14" i="30"/>
  <c r="T155" i="30"/>
  <c r="T251" i="30"/>
  <c r="T159" i="30"/>
  <c r="T37" i="30"/>
  <c r="T133" i="30"/>
  <c r="T229" i="30"/>
  <c r="T242" i="30"/>
  <c r="T237" i="30"/>
  <c r="T51" i="30"/>
  <c r="T178" i="30"/>
  <c r="T198" i="30"/>
  <c r="T42" i="30"/>
  <c r="T170" i="30"/>
  <c r="T119" i="30"/>
  <c r="T183" i="30"/>
  <c r="T215" i="30"/>
  <c r="T247" i="30"/>
  <c r="T71" i="30"/>
  <c r="T111" i="30"/>
  <c r="T60" i="30"/>
  <c r="T92" i="30"/>
  <c r="T124" i="30"/>
  <c r="T156" i="30"/>
  <c r="T188" i="30"/>
  <c r="T220" i="30"/>
  <c r="T252" i="30"/>
  <c r="T25" i="30"/>
  <c r="T57" i="30"/>
  <c r="T230" i="30"/>
  <c r="T126" i="30"/>
  <c r="T55" i="30"/>
  <c r="T151" i="30"/>
  <c r="T29" i="30"/>
  <c r="T61" i="30"/>
  <c r="T93" i="30"/>
  <c r="T125" i="30"/>
  <c r="T157" i="30"/>
  <c r="T189" i="30"/>
  <c r="T221" i="30"/>
  <c r="T253" i="30"/>
  <c r="T12" i="30"/>
  <c r="T11" i="30"/>
  <c r="T202" i="30"/>
  <c r="T191" i="30"/>
  <c r="T223" i="30"/>
  <c r="T255" i="30"/>
  <c r="T72" i="30"/>
  <c r="T104" i="30"/>
  <c r="T136" i="30"/>
  <c r="T168" i="30"/>
  <c r="T200" i="30"/>
  <c r="T232" i="30"/>
  <c r="T31" i="30"/>
  <c r="T41" i="30"/>
  <c r="T73" i="30"/>
  <c r="T105" i="30"/>
  <c r="T137" i="30"/>
  <c r="T169" i="30"/>
  <c r="T201" i="30"/>
  <c r="T233" i="30"/>
  <c r="T74" i="30"/>
  <c r="T43" i="30"/>
  <c r="T40" i="30"/>
  <c r="T147" i="30"/>
  <c r="T214" i="30"/>
  <c r="T90" i="30"/>
  <c r="T218" i="30"/>
  <c r="T67" i="30"/>
  <c r="T163" i="30"/>
  <c r="T195" i="30"/>
  <c r="T227" i="30"/>
  <c r="T76" i="30"/>
  <c r="T108" i="30"/>
  <c r="T140" i="30"/>
  <c r="T172" i="30"/>
  <c r="T204" i="30"/>
  <c r="T236" i="30"/>
  <c r="T34" i="30"/>
  <c r="T70" i="30"/>
  <c r="T103" i="30"/>
  <c r="T13" i="30"/>
  <c r="T45" i="30"/>
  <c r="T77" i="30"/>
  <c r="T109" i="30"/>
  <c r="T141" i="30"/>
  <c r="T173" i="30"/>
  <c r="T205" i="30"/>
  <c r="T63" i="30"/>
  <c r="T86" i="30"/>
  <c r="T134" i="30"/>
  <c r="T158" i="30"/>
  <c r="T114" i="30"/>
  <c r="T194" i="30"/>
  <c r="T138" i="30"/>
  <c r="T47" i="30"/>
  <c r="T175" i="30"/>
  <c r="T207" i="30"/>
  <c r="T239" i="30"/>
  <c r="T56" i="30"/>
  <c r="T88" i="30"/>
  <c r="T120" i="30"/>
  <c r="T152" i="30"/>
  <c r="T184" i="30"/>
  <c r="T216" i="30"/>
  <c r="T248" i="30"/>
  <c r="T44" i="30"/>
  <c r="T10" i="30"/>
  <c r="T16" i="30"/>
  <c r="T234" i="30"/>
  <c r="T30" i="30"/>
  <c r="T38" i="30"/>
  <c r="T9" i="30"/>
  <c r="T46" i="30"/>
  <c r="T174" i="30"/>
  <c r="T99" i="30"/>
  <c r="T23" i="30"/>
  <c r="T32" i="30"/>
  <c r="T24" i="30"/>
  <c r="T19" i="30"/>
  <c r="T210" i="30"/>
  <c r="T118" i="30"/>
  <c r="T66" i="30"/>
  <c r="T106" i="30"/>
  <c r="T18" i="30"/>
  <c r="T62" i="30"/>
  <c r="T190" i="30"/>
  <c r="T39" i="30"/>
  <c r="T167" i="30"/>
  <c r="T199" i="30"/>
  <c r="T231" i="30"/>
  <c r="T48" i="30"/>
  <c r="T80" i="30"/>
  <c r="T112" i="30"/>
  <c r="T144" i="30"/>
  <c r="T176" i="30"/>
  <c r="T208" i="30"/>
  <c r="T240" i="30"/>
  <c r="T130" i="30"/>
  <c r="T102" i="30"/>
  <c r="T122" i="30"/>
  <c r="T50" i="30"/>
  <c r="T78" i="30"/>
  <c r="T206" i="30"/>
  <c r="T139" i="30"/>
  <c r="T171" i="30"/>
  <c r="T203" i="30"/>
  <c r="T235" i="30"/>
  <c r="T52" i="30"/>
  <c r="T84" i="30"/>
  <c r="T116" i="30"/>
  <c r="T148" i="30"/>
  <c r="T180" i="30"/>
  <c r="T212" i="30"/>
  <c r="T244" i="30"/>
  <c r="T17" i="30"/>
  <c r="T49" i="30"/>
  <c r="T81" i="30"/>
  <c r="T113" i="30"/>
  <c r="T145" i="30"/>
  <c r="T177" i="30"/>
  <c r="T209" i="30"/>
  <c r="T241" i="30"/>
  <c r="T150" i="30"/>
  <c r="T98" i="30"/>
  <c r="T94" i="30"/>
  <c r="T222" i="30"/>
  <c r="T79" i="30"/>
  <c r="T27" i="30"/>
  <c r="T21" i="30"/>
  <c r="T53" i="30"/>
  <c r="T85" i="30"/>
  <c r="T117" i="30"/>
  <c r="T149" i="30"/>
  <c r="T181" i="30"/>
  <c r="T213" i="30"/>
  <c r="T245" i="30"/>
  <c r="T20" i="30"/>
  <c r="T82" i="30"/>
  <c r="T166" i="30"/>
  <c r="T146" i="30"/>
  <c r="T182" i="30"/>
  <c r="T26" i="30"/>
  <c r="T154" i="30"/>
  <c r="T162" i="30"/>
  <c r="T110" i="30"/>
  <c r="T179" i="30"/>
  <c r="T211" i="30"/>
  <c r="T243" i="30"/>
  <c r="T89" i="30"/>
  <c r="T121" i="30"/>
  <c r="T153" i="30"/>
  <c r="T185" i="30"/>
  <c r="T217" i="30"/>
  <c r="T249" i="30"/>
  <c r="R258" i="30"/>
  <c r="T8" i="30"/>
  <c r="S258" i="30" l="1"/>
  <c r="U65" i="33"/>
  <c r="S65" i="33"/>
  <c r="Q66" i="33"/>
  <c r="R65" i="33"/>
  <c r="V64" i="33"/>
  <c r="T64" i="33"/>
  <c r="T258" i="30"/>
  <c r="C4" i="2"/>
  <c r="D4" i="8"/>
  <c r="AC22" i="3" s="1"/>
  <c r="A267" i="2"/>
  <c r="V65" i="33" l="1"/>
  <c r="T65" i="33"/>
  <c r="S66" i="33"/>
  <c r="U66" i="33"/>
  <c r="Q67" i="33"/>
  <c r="R66" i="33"/>
  <c r="B9" i="8"/>
  <c r="V66" i="33" l="1"/>
  <c r="T66" i="33"/>
  <c r="R67" i="33"/>
  <c r="U67" i="33"/>
  <c r="S67" i="33"/>
  <c r="Q68" i="33"/>
  <c r="G29" i="8"/>
  <c r="C23" i="3"/>
  <c r="U68" i="33" l="1"/>
  <c r="S68" i="33"/>
  <c r="Q69" i="33"/>
  <c r="R68" i="33"/>
  <c r="V67" i="33"/>
  <c r="T67" i="33"/>
  <c r="A22" i="3"/>
  <c r="T68" i="33" l="1"/>
  <c r="V68" i="33"/>
  <c r="S69" i="33"/>
  <c r="Q70" i="33"/>
  <c r="R69" i="33"/>
  <c r="U69" i="33"/>
  <c r="L15" i="2"/>
  <c r="AI14" i="4" s="1"/>
  <c r="AK14" i="4"/>
  <c r="A64" i="28"/>
  <c r="A63" i="28"/>
  <c r="A45" i="29"/>
  <c r="A46" i="29"/>
  <c r="T69" i="33" l="1"/>
  <c r="V69" i="33"/>
  <c r="S70" i="33"/>
  <c r="Q71" i="33"/>
  <c r="R70" i="33"/>
  <c r="U70" i="33"/>
  <c r="AJ14" i="4"/>
  <c r="T70" i="33" l="1"/>
  <c r="V70" i="33"/>
  <c r="Q72" i="33"/>
  <c r="R71" i="33"/>
  <c r="S71" i="33"/>
  <c r="U71" i="33"/>
  <c r="H5" i="12"/>
  <c r="H6" i="12" s="1"/>
  <c r="H7" i="12" s="1"/>
  <c r="H8" i="12" s="1"/>
  <c r="H9" i="12" s="1"/>
  <c r="H10" i="12" s="1"/>
  <c r="H11" i="12" s="1"/>
  <c r="H12" i="12" s="1"/>
  <c r="H13" i="12" s="1"/>
  <c r="H14" i="12" s="1"/>
  <c r="H15" i="12" s="1"/>
  <c r="H16" i="12" s="1"/>
  <c r="H17" i="12" s="1"/>
  <c r="H18" i="12" s="1"/>
  <c r="H19" i="12" s="1"/>
  <c r="H20" i="12" s="1"/>
  <c r="H21" i="12" s="1"/>
  <c r="H22" i="12" s="1"/>
  <c r="H23" i="12" s="1"/>
  <c r="H24" i="12" s="1"/>
  <c r="H25" i="12" s="1"/>
  <c r="H26" i="12" s="1"/>
  <c r="H27" i="12" s="1"/>
  <c r="H28" i="12" s="1"/>
  <c r="H29" i="12" s="1"/>
  <c r="H30" i="12" s="1"/>
  <c r="H31" i="12" s="1"/>
  <c r="H32" i="12" s="1"/>
  <c r="H33" i="12" s="1"/>
  <c r="H34" i="12" s="1"/>
  <c r="H35" i="12" s="1"/>
  <c r="H36" i="12" s="1"/>
  <c r="H37" i="12" s="1"/>
  <c r="H38" i="12" s="1"/>
  <c r="H39" i="12" s="1"/>
  <c r="H40" i="12" s="1"/>
  <c r="H41" i="12" s="1"/>
  <c r="H42" i="12" s="1"/>
  <c r="H43" i="12" s="1"/>
  <c r="H44" i="12" s="1"/>
  <c r="G36" i="8"/>
  <c r="V71" i="33" l="1"/>
  <c r="T71" i="33"/>
  <c r="U72" i="33"/>
  <c r="R72" i="33"/>
  <c r="S72" i="33"/>
  <c r="V72" i="33" l="1"/>
  <c r="T72" i="33"/>
  <c r="L14" i="2"/>
  <c r="AI13" i="4" s="1"/>
  <c r="AI7" i="4"/>
  <c r="B7" i="4"/>
  <c r="AH257" i="4" l="1"/>
  <c r="AH256" i="4"/>
  <c r="AH255" i="4"/>
  <c r="AH254" i="4"/>
  <c r="AH253" i="4"/>
  <c r="AH252" i="4"/>
  <c r="AH251" i="4"/>
  <c r="AH250" i="4"/>
  <c r="AH249" i="4"/>
  <c r="AH248" i="4"/>
  <c r="AH247" i="4"/>
  <c r="AH246" i="4"/>
  <c r="AH245" i="4"/>
  <c r="AH244" i="4"/>
  <c r="AH243" i="4"/>
  <c r="AH242" i="4"/>
  <c r="AH241" i="4"/>
  <c r="AH240" i="4"/>
  <c r="AH239" i="4"/>
  <c r="AH238" i="4"/>
  <c r="AH237" i="4"/>
  <c r="AH236" i="4"/>
  <c r="AH235" i="4"/>
  <c r="AH234" i="4"/>
  <c r="AH233" i="4"/>
  <c r="AH232" i="4"/>
  <c r="AH231" i="4"/>
  <c r="AH230" i="4"/>
  <c r="AH229" i="4"/>
  <c r="AH228" i="4"/>
  <c r="AH227" i="4"/>
  <c r="AH226" i="4"/>
  <c r="AH225" i="4"/>
  <c r="AH224" i="4"/>
  <c r="AH223" i="4"/>
  <c r="AH222" i="4"/>
  <c r="AH221" i="4"/>
  <c r="AH220" i="4"/>
  <c r="AH219" i="4"/>
  <c r="AH218" i="4"/>
  <c r="AH217" i="4"/>
  <c r="AH216" i="4"/>
  <c r="AH215" i="4"/>
  <c r="AH214" i="4"/>
  <c r="AH213" i="4"/>
  <c r="AH212" i="4"/>
  <c r="AH211" i="4"/>
  <c r="AH210" i="4"/>
  <c r="AH209" i="4"/>
  <c r="AH208" i="4"/>
  <c r="AH207" i="4"/>
  <c r="AH206" i="4"/>
  <c r="AH205" i="4"/>
  <c r="AH204" i="4"/>
  <c r="AH203" i="4"/>
  <c r="AH202" i="4"/>
  <c r="AH201" i="4"/>
  <c r="AH200" i="4"/>
  <c r="AH199" i="4"/>
  <c r="AH198" i="4"/>
  <c r="AH197" i="4"/>
  <c r="AH196" i="4"/>
  <c r="AH195" i="4"/>
  <c r="AH194" i="4"/>
  <c r="AH193" i="4"/>
  <c r="AH192" i="4"/>
  <c r="AH191" i="4"/>
  <c r="AH190" i="4"/>
  <c r="AH189" i="4"/>
  <c r="AH188" i="4"/>
  <c r="AH187" i="4"/>
  <c r="AH186" i="4"/>
  <c r="AH185" i="4"/>
  <c r="AH184" i="4"/>
  <c r="AH183" i="4"/>
  <c r="AH182" i="4"/>
  <c r="AH181" i="4"/>
  <c r="AH180" i="4"/>
  <c r="AH179" i="4"/>
  <c r="AH178" i="4"/>
  <c r="AH177" i="4"/>
  <c r="AH176" i="4"/>
  <c r="AH175" i="4"/>
  <c r="AH174" i="4"/>
  <c r="AH173" i="4"/>
  <c r="AH172" i="4"/>
  <c r="AH171" i="4"/>
  <c r="AH170" i="4"/>
  <c r="AH169" i="4"/>
  <c r="AH168" i="4"/>
  <c r="AH167" i="4"/>
  <c r="AH166" i="4"/>
  <c r="AH165" i="4"/>
  <c r="AH164" i="4"/>
  <c r="AH163" i="4"/>
  <c r="AH162" i="4"/>
  <c r="AH161" i="4"/>
  <c r="AH160" i="4"/>
  <c r="AH159" i="4"/>
  <c r="AH158" i="4"/>
  <c r="AH157" i="4"/>
  <c r="AH156" i="4"/>
  <c r="AH155" i="4"/>
  <c r="AH154" i="4"/>
  <c r="AH153" i="4"/>
  <c r="AH152" i="4"/>
  <c r="AH151" i="4"/>
  <c r="AH150" i="4"/>
  <c r="AH149" i="4"/>
  <c r="AH148" i="4"/>
  <c r="AH147" i="4"/>
  <c r="AH146" i="4"/>
  <c r="AH145" i="4"/>
  <c r="AH144" i="4"/>
  <c r="AH143" i="4"/>
  <c r="AH142" i="4"/>
  <c r="AH141" i="4"/>
  <c r="AH140" i="4"/>
  <c r="AH139" i="4"/>
  <c r="AH138" i="4"/>
  <c r="AH137" i="4"/>
  <c r="AH136" i="4"/>
  <c r="AH135" i="4"/>
  <c r="AH134" i="4"/>
  <c r="AH133" i="4"/>
  <c r="AH132" i="4"/>
  <c r="AH131" i="4"/>
  <c r="AH130" i="4"/>
  <c r="AH129" i="4"/>
  <c r="AH128" i="4"/>
  <c r="AH127" i="4"/>
  <c r="AH126" i="4"/>
  <c r="AH125" i="4"/>
  <c r="AH124" i="4"/>
  <c r="AH123" i="4"/>
  <c r="AH122" i="4"/>
  <c r="AH121" i="4"/>
  <c r="AH120" i="4"/>
  <c r="AH119" i="4"/>
  <c r="AH118" i="4"/>
  <c r="AH117" i="4"/>
  <c r="AH116" i="4"/>
  <c r="AH115" i="4"/>
  <c r="AH114" i="4"/>
  <c r="AH113" i="4"/>
  <c r="AH112" i="4"/>
  <c r="AH111" i="4"/>
  <c r="AH110" i="4"/>
  <c r="AH109" i="4"/>
  <c r="AH108" i="4"/>
  <c r="AH107" i="4"/>
  <c r="AH106" i="4"/>
  <c r="AH105" i="4"/>
  <c r="AH104" i="4"/>
  <c r="AH103" i="4"/>
  <c r="AH102" i="4"/>
  <c r="AH101" i="4"/>
  <c r="AH100" i="4"/>
  <c r="AH99" i="4"/>
  <c r="AH98" i="4"/>
  <c r="AH97" i="4"/>
  <c r="AH96" i="4"/>
  <c r="AH95" i="4"/>
  <c r="AH94" i="4"/>
  <c r="AH93" i="4"/>
  <c r="AH92" i="4"/>
  <c r="AH91" i="4"/>
  <c r="AH90" i="4"/>
  <c r="AH89" i="4"/>
  <c r="AH88" i="4"/>
  <c r="AH87" i="4"/>
  <c r="AH86" i="4"/>
  <c r="AH85" i="4"/>
  <c r="AH84" i="4"/>
  <c r="AH83" i="4"/>
  <c r="AH82" i="4"/>
  <c r="AH81" i="4"/>
  <c r="AH80" i="4"/>
  <c r="AH79" i="4"/>
  <c r="AH78" i="4"/>
  <c r="AH77" i="4"/>
  <c r="AH76" i="4"/>
  <c r="AH75" i="4"/>
  <c r="AH74" i="4"/>
  <c r="AH73" i="4"/>
  <c r="AH72" i="4"/>
  <c r="AH71" i="4"/>
  <c r="AH70" i="4"/>
  <c r="AH69" i="4"/>
  <c r="AH68" i="4"/>
  <c r="AH67" i="4"/>
  <c r="AH66" i="4"/>
  <c r="AH65" i="4"/>
  <c r="AH64" i="4"/>
  <c r="AH63" i="4"/>
  <c r="AH62" i="4"/>
  <c r="AH61" i="4"/>
  <c r="AH60" i="4"/>
  <c r="AH59" i="4"/>
  <c r="AH58" i="4"/>
  <c r="AH57" i="4"/>
  <c r="AH56" i="4"/>
  <c r="AH55" i="4"/>
  <c r="AH54" i="4"/>
  <c r="AH53" i="4"/>
  <c r="AH52" i="4"/>
  <c r="AH51" i="4"/>
  <c r="AH50" i="4"/>
  <c r="AH49" i="4"/>
  <c r="AH48" i="4"/>
  <c r="AH47" i="4"/>
  <c r="AH46" i="4"/>
  <c r="AH45" i="4"/>
  <c r="AH44" i="4"/>
  <c r="AH43" i="4"/>
  <c r="AH42" i="4"/>
  <c r="AH41" i="4"/>
  <c r="AH40" i="4"/>
  <c r="AJ13" i="4"/>
  <c r="L258" i="2"/>
  <c r="AI257" i="4" s="1"/>
  <c r="AJ257" i="4" s="1"/>
  <c r="L257" i="2"/>
  <c r="AI256" i="4" s="1"/>
  <c r="AJ256" i="4" s="1"/>
  <c r="L256" i="2"/>
  <c r="AI255" i="4" s="1"/>
  <c r="AJ255" i="4" s="1"/>
  <c r="L255" i="2"/>
  <c r="AI254" i="4" s="1"/>
  <c r="AJ254" i="4" s="1"/>
  <c r="L254" i="2"/>
  <c r="AI253" i="4" s="1"/>
  <c r="AJ253" i="4" s="1"/>
  <c r="L253" i="2"/>
  <c r="AI252" i="4" s="1"/>
  <c r="AJ252" i="4" s="1"/>
  <c r="L252" i="2"/>
  <c r="AI251" i="4" s="1"/>
  <c r="AJ251" i="4" s="1"/>
  <c r="L251" i="2"/>
  <c r="AI250" i="4" s="1"/>
  <c r="AJ250" i="4" s="1"/>
  <c r="L250" i="2"/>
  <c r="AI249" i="4" s="1"/>
  <c r="AJ249" i="4" s="1"/>
  <c r="L249" i="2"/>
  <c r="AI248" i="4" s="1"/>
  <c r="AJ248" i="4" s="1"/>
  <c r="L248" i="2"/>
  <c r="AI247" i="4" s="1"/>
  <c r="AJ247" i="4" s="1"/>
  <c r="L247" i="2"/>
  <c r="AI246" i="4" s="1"/>
  <c r="AJ246" i="4" s="1"/>
  <c r="L246" i="2"/>
  <c r="AI245" i="4" s="1"/>
  <c r="AJ245" i="4" s="1"/>
  <c r="L245" i="2"/>
  <c r="AI244" i="4" s="1"/>
  <c r="AJ244" i="4" s="1"/>
  <c r="L244" i="2"/>
  <c r="AI243" i="4" s="1"/>
  <c r="AJ243" i="4" s="1"/>
  <c r="L243" i="2"/>
  <c r="AI242" i="4" s="1"/>
  <c r="AJ242" i="4" s="1"/>
  <c r="L242" i="2"/>
  <c r="AI241" i="4" s="1"/>
  <c r="AJ241" i="4" s="1"/>
  <c r="L241" i="2"/>
  <c r="AI240" i="4" s="1"/>
  <c r="AJ240" i="4" s="1"/>
  <c r="L240" i="2"/>
  <c r="AI239" i="4" s="1"/>
  <c r="AJ239" i="4" s="1"/>
  <c r="L239" i="2"/>
  <c r="AI238" i="4" s="1"/>
  <c r="AJ238" i="4" s="1"/>
  <c r="L238" i="2"/>
  <c r="AI237" i="4" s="1"/>
  <c r="AJ237" i="4" s="1"/>
  <c r="L237" i="2"/>
  <c r="AI236" i="4" s="1"/>
  <c r="AJ236" i="4" s="1"/>
  <c r="L236" i="2"/>
  <c r="AI235" i="4" s="1"/>
  <c r="AJ235" i="4" s="1"/>
  <c r="L235" i="2"/>
  <c r="AI234" i="4" s="1"/>
  <c r="AJ234" i="4" s="1"/>
  <c r="L234" i="2"/>
  <c r="AI233" i="4" s="1"/>
  <c r="AJ233" i="4" s="1"/>
  <c r="L233" i="2"/>
  <c r="AI232" i="4" s="1"/>
  <c r="AJ232" i="4" s="1"/>
  <c r="L232" i="2"/>
  <c r="AI231" i="4" s="1"/>
  <c r="AJ231" i="4" s="1"/>
  <c r="L231" i="2"/>
  <c r="AI230" i="4" s="1"/>
  <c r="AJ230" i="4" s="1"/>
  <c r="L230" i="2"/>
  <c r="AI229" i="4" s="1"/>
  <c r="AJ229" i="4" s="1"/>
  <c r="L229" i="2"/>
  <c r="AI228" i="4" s="1"/>
  <c r="AJ228" i="4" s="1"/>
  <c r="L228" i="2"/>
  <c r="AI227" i="4" s="1"/>
  <c r="AJ227" i="4" s="1"/>
  <c r="L227" i="2"/>
  <c r="AI226" i="4" s="1"/>
  <c r="AJ226" i="4" s="1"/>
  <c r="L226" i="2"/>
  <c r="AI225" i="4" s="1"/>
  <c r="AJ225" i="4" s="1"/>
  <c r="L225" i="2"/>
  <c r="AI224" i="4" s="1"/>
  <c r="AJ224" i="4" s="1"/>
  <c r="L224" i="2"/>
  <c r="AI223" i="4" s="1"/>
  <c r="AJ223" i="4" s="1"/>
  <c r="L223" i="2"/>
  <c r="AI222" i="4" s="1"/>
  <c r="AJ222" i="4" s="1"/>
  <c r="L222" i="2"/>
  <c r="AI221" i="4" s="1"/>
  <c r="AJ221" i="4" s="1"/>
  <c r="L221" i="2"/>
  <c r="AI220" i="4" s="1"/>
  <c r="AJ220" i="4" s="1"/>
  <c r="L220" i="2"/>
  <c r="AI219" i="4" s="1"/>
  <c r="AJ219" i="4" s="1"/>
  <c r="L219" i="2"/>
  <c r="AI218" i="4" s="1"/>
  <c r="AJ218" i="4" s="1"/>
  <c r="L218" i="2"/>
  <c r="AI217" i="4" s="1"/>
  <c r="AJ217" i="4" s="1"/>
  <c r="L217" i="2"/>
  <c r="AI216" i="4" s="1"/>
  <c r="AJ216" i="4" s="1"/>
  <c r="L216" i="2"/>
  <c r="AI215" i="4" s="1"/>
  <c r="AJ215" i="4" s="1"/>
  <c r="L215" i="2"/>
  <c r="AI214" i="4" s="1"/>
  <c r="AJ214" i="4" s="1"/>
  <c r="L214" i="2"/>
  <c r="AI213" i="4" s="1"/>
  <c r="AJ213" i="4" s="1"/>
  <c r="L213" i="2"/>
  <c r="AI212" i="4" s="1"/>
  <c r="AJ212" i="4" s="1"/>
  <c r="L212" i="2"/>
  <c r="AI211" i="4" s="1"/>
  <c r="AJ211" i="4" s="1"/>
  <c r="L211" i="2"/>
  <c r="AI210" i="4" s="1"/>
  <c r="AJ210" i="4" s="1"/>
  <c r="L210" i="2"/>
  <c r="AI209" i="4" s="1"/>
  <c r="AJ209" i="4" s="1"/>
  <c r="L209" i="2"/>
  <c r="AI208" i="4" s="1"/>
  <c r="AJ208" i="4" s="1"/>
  <c r="L208" i="2"/>
  <c r="AI207" i="4" s="1"/>
  <c r="AJ207" i="4" s="1"/>
  <c r="L207" i="2"/>
  <c r="AI206" i="4" s="1"/>
  <c r="AJ206" i="4" s="1"/>
  <c r="L206" i="2"/>
  <c r="AI205" i="4" s="1"/>
  <c r="AJ205" i="4" s="1"/>
  <c r="L205" i="2"/>
  <c r="AI204" i="4" s="1"/>
  <c r="AJ204" i="4" s="1"/>
  <c r="L204" i="2"/>
  <c r="AI203" i="4" s="1"/>
  <c r="AJ203" i="4" s="1"/>
  <c r="L203" i="2"/>
  <c r="AI202" i="4" s="1"/>
  <c r="AJ202" i="4" s="1"/>
  <c r="L202" i="2"/>
  <c r="AI201" i="4" s="1"/>
  <c r="AJ201" i="4" s="1"/>
  <c r="L201" i="2"/>
  <c r="AI200" i="4" s="1"/>
  <c r="AJ200" i="4" s="1"/>
  <c r="L200" i="2"/>
  <c r="AI199" i="4" s="1"/>
  <c r="AJ199" i="4" s="1"/>
  <c r="L199" i="2"/>
  <c r="AI198" i="4" s="1"/>
  <c r="AJ198" i="4" s="1"/>
  <c r="L198" i="2"/>
  <c r="AI197" i="4" s="1"/>
  <c r="AJ197" i="4" s="1"/>
  <c r="L197" i="2"/>
  <c r="AI196" i="4" s="1"/>
  <c r="AJ196" i="4" s="1"/>
  <c r="L196" i="2"/>
  <c r="AI195" i="4" s="1"/>
  <c r="AJ195" i="4" s="1"/>
  <c r="L195" i="2"/>
  <c r="AI194" i="4" s="1"/>
  <c r="AJ194" i="4" s="1"/>
  <c r="L194" i="2"/>
  <c r="AI193" i="4" s="1"/>
  <c r="AJ193" i="4" s="1"/>
  <c r="L193" i="2"/>
  <c r="AI192" i="4" s="1"/>
  <c r="AJ192" i="4" s="1"/>
  <c r="L192" i="2"/>
  <c r="AI191" i="4" s="1"/>
  <c r="AJ191" i="4" s="1"/>
  <c r="L191" i="2"/>
  <c r="AI190" i="4" s="1"/>
  <c r="AJ190" i="4" s="1"/>
  <c r="L190" i="2"/>
  <c r="AI189" i="4" s="1"/>
  <c r="AJ189" i="4" s="1"/>
  <c r="L189" i="2"/>
  <c r="AI188" i="4" s="1"/>
  <c r="AJ188" i="4" s="1"/>
  <c r="L188" i="2"/>
  <c r="AI187" i="4" s="1"/>
  <c r="AJ187" i="4" s="1"/>
  <c r="L187" i="2"/>
  <c r="AI186" i="4" s="1"/>
  <c r="AJ186" i="4" s="1"/>
  <c r="L186" i="2"/>
  <c r="AI185" i="4" s="1"/>
  <c r="AJ185" i="4" s="1"/>
  <c r="L185" i="2"/>
  <c r="AI184" i="4" s="1"/>
  <c r="AJ184" i="4" s="1"/>
  <c r="L184" i="2"/>
  <c r="AI183" i="4" s="1"/>
  <c r="AJ183" i="4" s="1"/>
  <c r="L183" i="2"/>
  <c r="AI182" i="4" s="1"/>
  <c r="AJ182" i="4" s="1"/>
  <c r="L182" i="2"/>
  <c r="AI181" i="4" s="1"/>
  <c r="AJ181" i="4" s="1"/>
  <c r="L181" i="2"/>
  <c r="AI180" i="4" s="1"/>
  <c r="AJ180" i="4" s="1"/>
  <c r="L180" i="2"/>
  <c r="AI179" i="4" s="1"/>
  <c r="AJ179" i="4" s="1"/>
  <c r="L179" i="2"/>
  <c r="AI178" i="4" s="1"/>
  <c r="AJ178" i="4" s="1"/>
  <c r="L178" i="2"/>
  <c r="AI177" i="4" s="1"/>
  <c r="AJ177" i="4" s="1"/>
  <c r="L177" i="2"/>
  <c r="AI176" i="4" s="1"/>
  <c r="AJ176" i="4" s="1"/>
  <c r="L176" i="2"/>
  <c r="AI175" i="4" s="1"/>
  <c r="AJ175" i="4" s="1"/>
  <c r="L175" i="2"/>
  <c r="AI174" i="4" s="1"/>
  <c r="AJ174" i="4" s="1"/>
  <c r="L174" i="2"/>
  <c r="AI173" i="4" s="1"/>
  <c r="AJ173" i="4" s="1"/>
  <c r="L173" i="2"/>
  <c r="AI172" i="4" s="1"/>
  <c r="AJ172" i="4" s="1"/>
  <c r="L172" i="2"/>
  <c r="AI171" i="4" s="1"/>
  <c r="AJ171" i="4" s="1"/>
  <c r="L171" i="2"/>
  <c r="AI170" i="4" s="1"/>
  <c r="AJ170" i="4" s="1"/>
  <c r="L170" i="2"/>
  <c r="AI169" i="4" s="1"/>
  <c r="AJ169" i="4" s="1"/>
  <c r="L169" i="2"/>
  <c r="AI168" i="4" s="1"/>
  <c r="AJ168" i="4" s="1"/>
  <c r="L168" i="2"/>
  <c r="AI167" i="4" s="1"/>
  <c r="AJ167" i="4" s="1"/>
  <c r="L167" i="2"/>
  <c r="AI166" i="4" s="1"/>
  <c r="AJ166" i="4" s="1"/>
  <c r="L166" i="2"/>
  <c r="AI165" i="4" s="1"/>
  <c r="AJ165" i="4" s="1"/>
  <c r="L165" i="2"/>
  <c r="AI164" i="4" s="1"/>
  <c r="AJ164" i="4" s="1"/>
  <c r="L164" i="2"/>
  <c r="AI163" i="4" s="1"/>
  <c r="AJ163" i="4" s="1"/>
  <c r="L163" i="2"/>
  <c r="AI162" i="4" s="1"/>
  <c r="AJ162" i="4" s="1"/>
  <c r="L162" i="2"/>
  <c r="AI161" i="4" s="1"/>
  <c r="AJ161" i="4" s="1"/>
  <c r="L161" i="2"/>
  <c r="AI160" i="4" s="1"/>
  <c r="AJ160" i="4" s="1"/>
  <c r="L160" i="2"/>
  <c r="AI159" i="4" s="1"/>
  <c r="AJ159" i="4" s="1"/>
  <c r="L159" i="2"/>
  <c r="AI158" i="4" s="1"/>
  <c r="AJ158" i="4" s="1"/>
  <c r="L158" i="2"/>
  <c r="AI157" i="4" s="1"/>
  <c r="AJ157" i="4" s="1"/>
  <c r="L157" i="2"/>
  <c r="AI156" i="4" s="1"/>
  <c r="AJ156" i="4" s="1"/>
  <c r="L156" i="2"/>
  <c r="AI155" i="4" s="1"/>
  <c r="AJ155" i="4" s="1"/>
  <c r="L155" i="2"/>
  <c r="AI154" i="4" s="1"/>
  <c r="AJ154" i="4" s="1"/>
  <c r="L154" i="2"/>
  <c r="AI153" i="4" s="1"/>
  <c r="AJ153" i="4" s="1"/>
  <c r="L153" i="2"/>
  <c r="AI152" i="4" s="1"/>
  <c r="AJ152" i="4" s="1"/>
  <c r="L152" i="2"/>
  <c r="AI151" i="4" s="1"/>
  <c r="AJ151" i="4" s="1"/>
  <c r="L151" i="2"/>
  <c r="AI150" i="4" s="1"/>
  <c r="AJ150" i="4" s="1"/>
  <c r="L150" i="2"/>
  <c r="AI149" i="4" s="1"/>
  <c r="AJ149" i="4" s="1"/>
  <c r="L149" i="2"/>
  <c r="AI148" i="4" s="1"/>
  <c r="AJ148" i="4" s="1"/>
  <c r="L148" i="2"/>
  <c r="AI147" i="4" s="1"/>
  <c r="AJ147" i="4" s="1"/>
  <c r="L147" i="2"/>
  <c r="AI146" i="4" s="1"/>
  <c r="AJ146" i="4" s="1"/>
  <c r="L146" i="2"/>
  <c r="AI145" i="4" s="1"/>
  <c r="AJ145" i="4" s="1"/>
  <c r="L145" i="2"/>
  <c r="AI144" i="4" s="1"/>
  <c r="AJ144" i="4" s="1"/>
  <c r="L144" i="2"/>
  <c r="AI143" i="4" s="1"/>
  <c r="AJ143" i="4" s="1"/>
  <c r="L143" i="2"/>
  <c r="AI142" i="4" s="1"/>
  <c r="AJ142" i="4" s="1"/>
  <c r="L142" i="2"/>
  <c r="AI141" i="4" s="1"/>
  <c r="AJ141" i="4" s="1"/>
  <c r="L141" i="2"/>
  <c r="AI140" i="4" s="1"/>
  <c r="AJ140" i="4" s="1"/>
  <c r="L140" i="2"/>
  <c r="AI139" i="4" s="1"/>
  <c r="AJ139" i="4" s="1"/>
  <c r="L139" i="2"/>
  <c r="AI138" i="4" s="1"/>
  <c r="AJ138" i="4" s="1"/>
  <c r="L138" i="2"/>
  <c r="AI137" i="4" s="1"/>
  <c r="AJ137" i="4" s="1"/>
  <c r="L137" i="2"/>
  <c r="AI136" i="4" s="1"/>
  <c r="AJ136" i="4" s="1"/>
  <c r="L136" i="2"/>
  <c r="AI135" i="4" s="1"/>
  <c r="AJ135" i="4" s="1"/>
  <c r="L135" i="2"/>
  <c r="AI134" i="4" s="1"/>
  <c r="AJ134" i="4" s="1"/>
  <c r="L134" i="2"/>
  <c r="AI133" i="4" s="1"/>
  <c r="AJ133" i="4" s="1"/>
  <c r="L133" i="2"/>
  <c r="AI132" i="4" s="1"/>
  <c r="AJ132" i="4" s="1"/>
  <c r="L132" i="2"/>
  <c r="AI131" i="4" s="1"/>
  <c r="AJ131" i="4" s="1"/>
  <c r="L131" i="2"/>
  <c r="AI130" i="4" s="1"/>
  <c r="AJ130" i="4" s="1"/>
  <c r="L130" i="2"/>
  <c r="AI129" i="4" s="1"/>
  <c r="AJ129" i="4" s="1"/>
  <c r="L129" i="2"/>
  <c r="AI128" i="4" s="1"/>
  <c r="AJ128" i="4" s="1"/>
  <c r="L128" i="2"/>
  <c r="AI127" i="4" s="1"/>
  <c r="AJ127" i="4" s="1"/>
  <c r="L127" i="2"/>
  <c r="AI126" i="4" s="1"/>
  <c r="AJ126" i="4" s="1"/>
  <c r="L126" i="2"/>
  <c r="AI125" i="4" s="1"/>
  <c r="AJ125" i="4" s="1"/>
  <c r="L125" i="2"/>
  <c r="AI124" i="4" s="1"/>
  <c r="AJ124" i="4" s="1"/>
  <c r="L124" i="2"/>
  <c r="AI123" i="4" s="1"/>
  <c r="AJ123" i="4" s="1"/>
  <c r="L123" i="2"/>
  <c r="AI122" i="4" s="1"/>
  <c r="AJ122" i="4" s="1"/>
  <c r="L122" i="2"/>
  <c r="AI121" i="4" s="1"/>
  <c r="AJ121" i="4" s="1"/>
  <c r="L121" i="2"/>
  <c r="AI120" i="4" s="1"/>
  <c r="AJ120" i="4" s="1"/>
  <c r="L120" i="2"/>
  <c r="AI119" i="4" s="1"/>
  <c r="AJ119" i="4" s="1"/>
  <c r="L119" i="2"/>
  <c r="AI118" i="4" s="1"/>
  <c r="AJ118" i="4" s="1"/>
  <c r="L118" i="2"/>
  <c r="AI117" i="4" s="1"/>
  <c r="AJ117" i="4" s="1"/>
  <c r="L117" i="2"/>
  <c r="AI116" i="4" s="1"/>
  <c r="AJ116" i="4" s="1"/>
  <c r="L116" i="2"/>
  <c r="AI115" i="4" s="1"/>
  <c r="AJ115" i="4" s="1"/>
  <c r="L115" i="2"/>
  <c r="AI114" i="4" s="1"/>
  <c r="AJ114" i="4" s="1"/>
  <c r="L114" i="2"/>
  <c r="AI113" i="4" s="1"/>
  <c r="AJ113" i="4" s="1"/>
  <c r="L113" i="2"/>
  <c r="AI112" i="4" s="1"/>
  <c r="AJ112" i="4" s="1"/>
  <c r="L112" i="2"/>
  <c r="AI111" i="4" s="1"/>
  <c r="AJ111" i="4" s="1"/>
  <c r="L111" i="2"/>
  <c r="AI110" i="4" s="1"/>
  <c r="AJ110" i="4" s="1"/>
  <c r="L110" i="2"/>
  <c r="AI109" i="4" s="1"/>
  <c r="AJ109" i="4" s="1"/>
  <c r="L109" i="2"/>
  <c r="AI108" i="4" s="1"/>
  <c r="AJ108" i="4" s="1"/>
  <c r="L108" i="2"/>
  <c r="AI107" i="4" s="1"/>
  <c r="AJ107" i="4" s="1"/>
  <c r="L107" i="2"/>
  <c r="AI106" i="4" s="1"/>
  <c r="AJ106" i="4" s="1"/>
  <c r="L106" i="2"/>
  <c r="AI105" i="4" s="1"/>
  <c r="AJ105" i="4" s="1"/>
  <c r="L105" i="2"/>
  <c r="AI104" i="4" s="1"/>
  <c r="AJ104" i="4" s="1"/>
  <c r="L104" i="2"/>
  <c r="AI103" i="4" s="1"/>
  <c r="AJ103" i="4" s="1"/>
  <c r="L103" i="2"/>
  <c r="AI102" i="4" s="1"/>
  <c r="AJ102" i="4" s="1"/>
  <c r="L102" i="2"/>
  <c r="AI101" i="4" s="1"/>
  <c r="AJ101" i="4" s="1"/>
  <c r="L101" i="2"/>
  <c r="AI100" i="4" s="1"/>
  <c r="AJ100" i="4" s="1"/>
  <c r="L100" i="2"/>
  <c r="AI99" i="4" s="1"/>
  <c r="AJ99" i="4" s="1"/>
  <c r="L99" i="2"/>
  <c r="AI98" i="4" s="1"/>
  <c r="AJ98" i="4" s="1"/>
  <c r="L98" i="2"/>
  <c r="AI97" i="4" s="1"/>
  <c r="AJ97" i="4" s="1"/>
  <c r="L97" i="2"/>
  <c r="AI96" i="4" s="1"/>
  <c r="AJ96" i="4" s="1"/>
  <c r="L96" i="2"/>
  <c r="AI95" i="4" s="1"/>
  <c r="L95" i="2"/>
  <c r="AI94" i="4" s="1"/>
  <c r="L94" i="2"/>
  <c r="AI93" i="4" s="1"/>
  <c r="L93" i="2"/>
  <c r="AI92" i="4" s="1"/>
  <c r="L92" i="2"/>
  <c r="AI91" i="4" s="1"/>
  <c r="L91" i="2"/>
  <c r="AI90" i="4" s="1"/>
  <c r="L90" i="2"/>
  <c r="AI89" i="4" s="1"/>
  <c r="AJ89" i="4" s="1"/>
  <c r="L89" i="2"/>
  <c r="AI88" i="4" s="1"/>
  <c r="AJ88" i="4" s="1"/>
  <c r="L88" i="2"/>
  <c r="AI87" i="4" s="1"/>
  <c r="L87" i="2"/>
  <c r="AI86" i="4" s="1"/>
  <c r="L86" i="2"/>
  <c r="AI85" i="4" s="1"/>
  <c r="L85" i="2"/>
  <c r="AI84" i="4" s="1"/>
  <c r="L84" i="2"/>
  <c r="AI83" i="4" s="1"/>
  <c r="L83" i="2"/>
  <c r="AI82" i="4" s="1"/>
  <c r="L82" i="2"/>
  <c r="AI81" i="4" s="1"/>
  <c r="AJ81" i="4" s="1"/>
  <c r="L81" i="2"/>
  <c r="AI80" i="4" s="1"/>
  <c r="L80" i="2"/>
  <c r="AI79" i="4" s="1"/>
  <c r="L79" i="2"/>
  <c r="AI78" i="4" s="1"/>
  <c r="L78" i="2"/>
  <c r="AI77" i="4" s="1"/>
  <c r="AJ77" i="4" s="1"/>
  <c r="L77" i="2"/>
  <c r="AI76" i="4" s="1"/>
  <c r="AJ76" i="4" s="1"/>
  <c r="L76" i="2"/>
  <c r="AI75" i="4" s="1"/>
  <c r="AJ75" i="4" s="1"/>
  <c r="L75" i="2"/>
  <c r="AI74" i="4" s="1"/>
  <c r="AJ74" i="4" s="1"/>
  <c r="L74" i="2"/>
  <c r="AI73" i="4" s="1"/>
  <c r="AJ73" i="4" s="1"/>
  <c r="L73" i="2"/>
  <c r="AI72" i="4" s="1"/>
  <c r="AJ72" i="4" s="1"/>
  <c r="L72" i="2"/>
  <c r="AI71" i="4" s="1"/>
  <c r="AJ71" i="4" s="1"/>
  <c r="L71" i="2"/>
  <c r="AI70" i="4" s="1"/>
  <c r="AJ70" i="4" s="1"/>
  <c r="L70" i="2"/>
  <c r="AI69" i="4" s="1"/>
  <c r="AJ69" i="4" s="1"/>
  <c r="L69" i="2"/>
  <c r="AI68" i="4" s="1"/>
  <c r="AJ68" i="4" s="1"/>
  <c r="L68" i="2"/>
  <c r="AI67" i="4" s="1"/>
  <c r="AJ67" i="4" s="1"/>
  <c r="L67" i="2"/>
  <c r="AI66" i="4" s="1"/>
  <c r="AJ66" i="4" s="1"/>
  <c r="L66" i="2"/>
  <c r="AI65" i="4" s="1"/>
  <c r="AJ65" i="4" s="1"/>
  <c r="L65" i="2"/>
  <c r="AI64" i="4" s="1"/>
  <c r="AJ64" i="4" s="1"/>
  <c r="L64" i="2"/>
  <c r="AI63" i="4" s="1"/>
  <c r="AJ63" i="4" s="1"/>
  <c r="L63" i="2"/>
  <c r="AI62" i="4" s="1"/>
  <c r="AJ62" i="4" s="1"/>
  <c r="L62" i="2"/>
  <c r="AI61" i="4" s="1"/>
  <c r="AJ61" i="4" s="1"/>
  <c r="L61" i="2"/>
  <c r="AI60" i="4" s="1"/>
  <c r="AJ60" i="4" s="1"/>
  <c r="L60" i="2"/>
  <c r="AI59" i="4" s="1"/>
  <c r="AJ59" i="4" s="1"/>
  <c r="L59" i="2"/>
  <c r="AI58" i="4" s="1"/>
  <c r="AJ58" i="4" s="1"/>
  <c r="L58" i="2"/>
  <c r="AI57" i="4" s="1"/>
  <c r="AJ57" i="4" s="1"/>
  <c r="L57" i="2"/>
  <c r="AI56" i="4" s="1"/>
  <c r="AJ56" i="4" s="1"/>
  <c r="L56" i="2"/>
  <c r="AI55" i="4" s="1"/>
  <c r="AJ55" i="4" s="1"/>
  <c r="L55" i="2"/>
  <c r="AI54" i="4" s="1"/>
  <c r="AJ54" i="4" s="1"/>
  <c r="L54" i="2"/>
  <c r="AI53" i="4" s="1"/>
  <c r="AJ53" i="4" s="1"/>
  <c r="L53" i="2"/>
  <c r="AI52" i="4" s="1"/>
  <c r="AJ52" i="4" s="1"/>
  <c r="L52" i="2"/>
  <c r="AI51" i="4" s="1"/>
  <c r="AJ51" i="4" s="1"/>
  <c r="L51" i="2"/>
  <c r="AI50" i="4" s="1"/>
  <c r="AJ50" i="4" s="1"/>
  <c r="L50" i="2"/>
  <c r="AI49" i="4" s="1"/>
  <c r="AJ49" i="4" s="1"/>
  <c r="L49" i="2"/>
  <c r="AI48" i="4" s="1"/>
  <c r="AJ48" i="4" s="1"/>
  <c r="L48" i="2"/>
  <c r="AI47" i="4" s="1"/>
  <c r="AJ47" i="4" s="1"/>
  <c r="L47" i="2"/>
  <c r="AI46" i="4" s="1"/>
  <c r="AJ46" i="4" s="1"/>
  <c r="L46" i="2"/>
  <c r="AI45" i="4" s="1"/>
  <c r="AJ45" i="4" s="1"/>
  <c r="L45" i="2"/>
  <c r="AI44" i="4" s="1"/>
  <c r="AJ44" i="4" s="1"/>
  <c r="L44" i="2"/>
  <c r="AI43" i="4" s="1"/>
  <c r="AJ43" i="4" s="1"/>
  <c r="L43" i="2"/>
  <c r="AI42" i="4" s="1"/>
  <c r="AJ42" i="4" s="1"/>
  <c r="L42" i="2"/>
  <c r="AI41" i="4" s="1"/>
  <c r="AJ41" i="4" s="1"/>
  <c r="L41" i="2"/>
  <c r="AI40" i="4" s="1"/>
  <c r="AJ40" i="4" s="1"/>
  <c r="L40" i="2"/>
  <c r="AI39" i="4" s="1"/>
  <c r="AJ39" i="4" s="1"/>
  <c r="L39" i="2"/>
  <c r="AI38" i="4" s="1"/>
  <c r="L38" i="2"/>
  <c r="AI37" i="4" s="1"/>
  <c r="L37" i="2"/>
  <c r="AI36" i="4" s="1"/>
  <c r="L36" i="2"/>
  <c r="AI35" i="4" s="1"/>
  <c r="AJ35" i="4" s="1"/>
  <c r="L35" i="2"/>
  <c r="AI34" i="4" s="1"/>
  <c r="L34" i="2"/>
  <c r="AI33" i="4" s="1"/>
  <c r="AJ33" i="4" s="1"/>
  <c r="L33" i="2"/>
  <c r="AI32" i="4" s="1"/>
  <c r="L32" i="2"/>
  <c r="AI31" i="4" s="1"/>
  <c r="L31" i="2"/>
  <c r="AI30" i="4" s="1"/>
  <c r="L30" i="2"/>
  <c r="AI29" i="4" s="1"/>
  <c r="AJ29" i="4" s="1"/>
  <c r="L29" i="2"/>
  <c r="AI28" i="4" s="1"/>
  <c r="AJ28" i="4" s="1"/>
  <c r="L28" i="2"/>
  <c r="AI27" i="4" s="1"/>
  <c r="AJ27" i="4" s="1"/>
  <c r="L27" i="2"/>
  <c r="AI26" i="4" s="1"/>
  <c r="L26" i="2"/>
  <c r="AI25" i="4" s="1"/>
  <c r="L25" i="2"/>
  <c r="AI24" i="4" s="1"/>
  <c r="L24" i="2"/>
  <c r="AI23" i="4" s="1"/>
  <c r="AJ23" i="4" s="1"/>
  <c r="L23" i="2"/>
  <c r="AI22" i="4" s="1"/>
  <c r="L22" i="2"/>
  <c r="AI21" i="4" s="1"/>
  <c r="AJ21" i="4" s="1"/>
  <c r="L21" i="2"/>
  <c r="AI20" i="4" s="1"/>
  <c r="L20" i="2"/>
  <c r="AI19" i="4" s="1"/>
  <c r="L19" i="2"/>
  <c r="AI18" i="4" s="1"/>
  <c r="L18" i="2"/>
  <c r="AI17" i="4" s="1"/>
  <c r="AJ17" i="4" s="1"/>
  <c r="L17" i="2"/>
  <c r="AI16" i="4" s="1"/>
  <c r="AJ16" i="4" s="1"/>
  <c r="L16" i="2"/>
  <c r="AI15" i="4" s="1"/>
  <c r="AJ15" i="4" s="1"/>
  <c r="L13" i="2"/>
  <c r="AI12" i="4" s="1"/>
  <c r="L12" i="2"/>
  <c r="AI11" i="4" s="1"/>
  <c r="L11" i="2"/>
  <c r="AI10" i="4" s="1"/>
  <c r="L9" i="2"/>
  <c r="B9" i="29"/>
  <c r="B10" i="29" s="1"/>
  <c r="B11" i="29" s="1"/>
  <c r="B12" i="29" s="1"/>
  <c r="B13" i="29" s="1"/>
  <c r="B14" i="29" s="1"/>
  <c r="B15" i="29" s="1"/>
  <c r="B16" i="29" s="1"/>
  <c r="B17" i="29" s="1"/>
  <c r="B18" i="29" s="1"/>
  <c r="B19" i="29" s="1"/>
  <c r="B20" i="29" s="1"/>
  <c r="B21" i="29" s="1"/>
  <c r="B22" i="29" s="1"/>
  <c r="B23" i="29" s="1"/>
  <c r="B24" i="29" s="1"/>
  <c r="B25" i="29" s="1"/>
  <c r="B26" i="29" s="1"/>
  <c r="B27" i="29" s="1"/>
  <c r="B28" i="29" s="1"/>
  <c r="AB22" i="3"/>
  <c r="AA22" i="3"/>
  <c r="Z22" i="3"/>
  <c r="Y22" i="3"/>
  <c r="X22" i="3"/>
  <c r="AI8" i="4" l="1"/>
  <c r="AJ86" i="4"/>
  <c r="AJ83" i="4"/>
  <c r="AJ95" i="4"/>
  <c r="AJ78" i="4"/>
  <c r="AJ90" i="4"/>
  <c r="AJ22" i="4"/>
  <c r="AJ87" i="4"/>
  <c r="AJ93" i="4"/>
  <c r="AJ80" i="4"/>
  <c r="AJ92" i="4"/>
  <c r="AJ82" i="4"/>
  <c r="AJ94" i="4"/>
  <c r="AJ91" i="4"/>
  <c r="AJ84" i="4"/>
  <c r="AJ79" i="4"/>
  <c r="AJ85" i="4"/>
  <c r="AJ30" i="4"/>
  <c r="AJ18" i="4"/>
  <c r="AJ25" i="4"/>
  <c r="AJ26" i="4"/>
  <c r="AJ38" i="4"/>
  <c r="AJ19" i="4"/>
  <c r="AJ34" i="4"/>
  <c r="AJ31" i="4"/>
  <c r="AJ32" i="4"/>
  <c r="AJ20" i="4"/>
  <c r="AJ24" i="4"/>
  <c r="AJ36" i="4"/>
  <c r="AJ37" i="4"/>
  <c r="AJ12" i="4"/>
  <c r="AJ10" i="4"/>
  <c r="AJ11" i="4"/>
  <c r="L10" i="2"/>
  <c r="AI9" i="4" s="1"/>
  <c r="D10" i="29"/>
  <c r="D9" i="29"/>
  <c r="L259" i="2" l="1"/>
  <c r="AI258" i="4" s="1"/>
  <c r="AJ258" i="4" s="1"/>
  <c r="G35" i="8"/>
  <c r="J35" i="8" s="1"/>
  <c r="AJ8" i="4"/>
  <c r="AJ9" i="4"/>
  <c r="E9" i="28"/>
  <c r="D22" i="3" s="1"/>
  <c r="D11" i="29"/>
  <c r="E10" i="28"/>
  <c r="E22" i="3" s="1"/>
  <c r="A263" i="2"/>
  <c r="E11" i="28" l="1"/>
  <c r="F22" i="3" s="1"/>
  <c r="D12" i="29"/>
  <c r="E12" i="28" l="1"/>
  <c r="G22" i="3" s="1"/>
  <c r="D13" i="29"/>
  <c r="D14" i="29" l="1"/>
  <c r="E13" i="28"/>
  <c r="H22" i="3" s="1"/>
  <c r="B38" i="8"/>
  <c r="B19" i="3"/>
  <c r="D5" i="4"/>
  <c r="A265" i="4"/>
  <c r="B20" i="3"/>
  <c r="B18" i="3"/>
  <c r="B15" i="3"/>
  <c r="A50" i="8"/>
  <c r="B10" i="8"/>
  <c r="G26" i="8"/>
  <c r="G32" i="8"/>
  <c r="C30" i="8"/>
  <c r="A41" i="5"/>
  <c r="A40" i="5"/>
  <c r="B5" i="12"/>
  <c r="B6" i="12" s="1"/>
  <c r="B7" i="12" s="1"/>
  <c r="B8" i="12" s="1"/>
  <c r="B9" i="12" s="1"/>
  <c r="B10" i="12" s="1"/>
  <c r="B11" i="12" s="1"/>
  <c r="B12" i="12" s="1"/>
  <c r="B13" i="12" s="1"/>
  <c r="B14" i="12" s="1"/>
  <c r="B15" i="12" s="1"/>
  <c r="B16" i="12" s="1"/>
  <c r="B17" i="12" s="1"/>
  <c r="B18" i="12" s="1"/>
  <c r="B19" i="12" s="1"/>
  <c r="B20" i="12" s="1"/>
  <c r="B21" i="12" s="1"/>
  <c r="B22" i="12" s="1"/>
  <c r="B23" i="12" s="1"/>
  <c r="B24" i="12" s="1"/>
  <c r="B25" i="12" s="1"/>
  <c r="B26" i="12" s="1"/>
  <c r="B27" i="12" s="1"/>
  <c r="B28" i="12" s="1"/>
  <c r="B29" i="12" s="1"/>
  <c r="B30" i="12" s="1"/>
  <c r="B31" i="12" s="1"/>
  <c r="B32" i="12" s="1"/>
  <c r="B33" i="12" s="1"/>
  <c r="B34" i="12" s="1"/>
  <c r="B35" i="12" s="1"/>
  <c r="B36" i="12" s="1"/>
  <c r="B37" i="12" s="1"/>
  <c r="B38" i="12" s="1"/>
  <c r="B39" i="12" s="1"/>
  <c r="B40" i="12" s="1"/>
  <c r="B41" i="12" s="1"/>
  <c r="B42" i="12" s="1"/>
  <c r="B43" i="12" s="1"/>
  <c r="B44" i="12" s="1"/>
  <c r="C5" i="12"/>
  <c r="C6" i="12" s="1"/>
  <c r="C7" i="12" s="1"/>
  <c r="C8" i="12" s="1"/>
  <c r="C9" i="12" s="1"/>
  <c r="C10" i="12" s="1"/>
  <c r="C11" i="12" s="1"/>
  <c r="C12" i="12" s="1"/>
  <c r="C13" i="12" s="1"/>
  <c r="C14" i="12" s="1"/>
  <c r="C15" i="12" s="1"/>
  <c r="C16" i="12" s="1"/>
  <c r="C17" i="12" s="1"/>
  <c r="C18" i="12" s="1"/>
  <c r="C19" i="12" s="1"/>
  <c r="C20" i="12" s="1"/>
  <c r="C21" i="12" s="1"/>
  <c r="C22" i="12" s="1"/>
  <c r="C23" i="12" s="1"/>
  <c r="C24" i="12" s="1"/>
  <c r="C25" i="12" s="1"/>
  <c r="C26" i="12" s="1"/>
  <c r="C27" i="12" s="1"/>
  <c r="C28" i="12" s="1"/>
  <c r="C29" i="12" s="1"/>
  <c r="C30" i="12" s="1"/>
  <c r="C31" i="12" s="1"/>
  <c r="C32" i="12" s="1"/>
  <c r="C33" i="12" s="1"/>
  <c r="C34" i="12" s="1"/>
  <c r="C35" i="12" s="1"/>
  <c r="C36" i="12" s="1"/>
  <c r="C37" i="12" s="1"/>
  <c r="C38" i="12" s="1"/>
  <c r="C39" i="12" s="1"/>
  <c r="C40" i="12" s="1"/>
  <c r="C41" i="12" s="1"/>
  <c r="C42" i="12" s="1"/>
  <c r="C43" i="12" s="1"/>
  <c r="C44" i="12" s="1"/>
  <c r="D5" i="12"/>
  <c r="D6" i="12" s="1"/>
  <c r="D7" i="12" s="1"/>
  <c r="D8" i="12" s="1"/>
  <c r="D9" i="12" s="1"/>
  <c r="D10" i="12" s="1"/>
  <c r="D11" i="12" s="1"/>
  <c r="D12" i="12" s="1"/>
  <c r="D13" i="12" s="1"/>
  <c r="D14" i="12" s="1"/>
  <c r="D15" i="12" s="1"/>
  <c r="D16" i="12" s="1"/>
  <c r="D17" i="12" s="1"/>
  <c r="D18" i="12" s="1"/>
  <c r="D19" i="12" s="1"/>
  <c r="D20" i="12" s="1"/>
  <c r="D21" i="12" s="1"/>
  <c r="D22" i="12" s="1"/>
  <c r="D23" i="12" s="1"/>
  <c r="D24" i="12" s="1"/>
  <c r="D25" i="12" s="1"/>
  <c r="D26" i="12" s="1"/>
  <c r="D27" i="12" s="1"/>
  <c r="D28" i="12" s="1"/>
  <c r="D29" i="12" s="1"/>
  <c r="D30" i="12" s="1"/>
  <c r="D31" i="12" s="1"/>
  <c r="D32" i="12" s="1"/>
  <c r="D33" i="12" s="1"/>
  <c r="D34" i="12" s="1"/>
  <c r="D35" i="12" s="1"/>
  <c r="D36" i="12" s="1"/>
  <c r="D37" i="12" s="1"/>
  <c r="D38" i="12" s="1"/>
  <c r="D39" i="12" s="1"/>
  <c r="D40" i="12" s="1"/>
  <c r="D41" i="12" s="1"/>
  <c r="D42" i="12" s="1"/>
  <c r="D43" i="12" s="1"/>
  <c r="D44" i="12" s="1"/>
  <c r="E5" i="12"/>
  <c r="E6" i="12" s="1"/>
  <c r="E7" i="12" s="1"/>
  <c r="E8" i="12" s="1"/>
  <c r="E9" i="12" s="1"/>
  <c r="E10" i="12" s="1"/>
  <c r="E11" i="12" s="1"/>
  <c r="E12" i="12" s="1"/>
  <c r="E13" i="12" s="1"/>
  <c r="E14" i="12" s="1"/>
  <c r="E15" i="12" s="1"/>
  <c r="E16" i="12" s="1"/>
  <c r="E17" i="12" s="1"/>
  <c r="E18" i="12" s="1"/>
  <c r="E19" i="12" s="1"/>
  <c r="E20" i="12" s="1"/>
  <c r="E21" i="12" s="1"/>
  <c r="E22" i="12" s="1"/>
  <c r="E23" i="12" s="1"/>
  <c r="E24" i="12" s="1"/>
  <c r="E25" i="12" s="1"/>
  <c r="E26" i="12" s="1"/>
  <c r="E27" i="12" s="1"/>
  <c r="E28" i="12" s="1"/>
  <c r="E29" i="12" s="1"/>
  <c r="E30" i="12" s="1"/>
  <c r="E31" i="12" s="1"/>
  <c r="E32" i="12" s="1"/>
  <c r="E33" i="12" s="1"/>
  <c r="E34" i="12" s="1"/>
  <c r="E35" i="12" s="1"/>
  <c r="E36" i="12" s="1"/>
  <c r="E37" i="12" s="1"/>
  <c r="E38" i="12" s="1"/>
  <c r="E39" i="12" s="1"/>
  <c r="E40" i="12" s="1"/>
  <c r="E41" i="12" s="1"/>
  <c r="E42" i="12" s="1"/>
  <c r="E43" i="12" s="1"/>
  <c r="E44" i="12" s="1"/>
  <c r="F5" i="12"/>
  <c r="F6" i="12" s="1"/>
  <c r="F7" i="12" s="1"/>
  <c r="F8" i="12" s="1"/>
  <c r="F9" i="12" s="1"/>
  <c r="F10" i="12" s="1"/>
  <c r="F11" i="12" s="1"/>
  <c r="F12" i="12" s="1"/>
  <c r="F13" i="12" s="1"/>
  <c r="F14" i="12" s="1"/>
  <c r="F15" i="12" s="1"/>
  <c r="F16" i="12" s="1"/>
  <c r="F17" i="12" s="1"/>
  <c r="F18" i="12" s="1"/>
  <c r="F19" i="12" s="1"/>
  <c r="F20" i="12" s="1"/>
  <c r="F21" i="12" s="1"/>
  <c r="F22" i="12" s="1"/>
  <c r="F23" i="12" s="1"/>
  <c r="F24" i="12" s="1"/>
  <c r="F25" i="12" s="1"/>
  <c r="F26" i="12" s="1"/>
  <c r="F27" i="12" s="1"/>
  <c r="F28" i="12" s="1"/>
  <c r="F29" i="12" s="1"/>
  <c r="F30" i="12" s="1"/>
  <c r="F31" i="12" s="1"/>
  <c r="F32" i="12" s="1"/>
  <c r="F33" i="12" s="1"/>
  <c r="F34" i="12" s="1"/>
  <c r="F35" i="12" s="1"/>
  <c r="F36" i="12" s="1"/>
  <c r="F37" i="12" s="1"/>
  <c r="F38" i="12" s="1"/>
  <c r="F39" i="12" s="1"/>
  <c r="F40" i="12" s="1"/>
  <c r="F41" i="12" s="1"/>
  <c r="F42" i="12" s="1"/>
  <c r="F43" i="12" s="1"/>
  <c r="F44" i="12" s="1"/>
  <c r="G5" i="12"/>
  <c r="G6" i="12" s="1"/>
  <c r="G7" i="12" s="1"/>
  <c r="G8" i="12" s="1"/>
  <c r="G9" i="12" s="1"/>
  <c r="G10" i="12" s="1"/>
  <c r="G11" i="12" s="1"/>
  <c r="G12" i="12" s="1"/>
  <c r="G13" i="12" s="1"/>
  <c r="G14" i="12" s="1"/>
  <c r="G15" i="12" s="1"/>
  <c r="G16" i="12" s="1"/>
  <c r="G17" i="12" s="1"/>
  <c r="G18" i="12" s="1"/>
  <c r="G19" i="12" s="1"/>
  <c r="G20" i="12" s="1"/>
  <c r="G21" i="12" s="1"/>
  <c r="G22" i="12" s="1"/>
  <c r="G23" i="12" s="1"/>
  <c r="G24" i="12" s="1"/>
  <c r="G25" i="12" s="1"/>
  <c r="G26" i="12" s="1"/>
  <c r="G27" i="12" s="1"/>
  <c r="G28" i="12" s="1"/>
  <c r="G29" i="12" s="1"/>
  <c r="G30" i="12" s="1"/>
  <c r="G31" i="12" s="1"/>
  <c r="G32" i="12" s="1"/>
  <c r="G33" i="12" s="1"/>
  <c r="G34" i="12" s="1"/>
  <c r="G35" i="12" s="1"/>
  <c r="G36" i="12" s="1"/>
  <c r="G37" i="12" s="1"/>
  <c r="G38" i="12" s="1"/>
  <c r="G39" i="12" s="1"/>
  <c r="G40" i="12" s="1"/>
  <c r="G41" i="12" s="1"/>
  <c r="G42" i="12" s="1"/>
  <c r="G43" i="12" s="1"/>
  <c r="G44" i="12" s="1"/>
  <c r="I5" i="12"/>
  <c r="I6" i="12" s="1"/>
  <c r="I7" i="12" s="1"/>
  <c r="I8" i="12" s="1"/>
  <c r="I9" i="12" s="1"/>
  <c r="I10" i="12" s="1"/>
  <c r="I11" i="12" s="1"/>
  <c r="I12" i="12" s="1"/>
  <c r="I13" i="12" s="1"/>
  <c r="I14" i="12" s="1"/>
  <c r="I15" i="12" s="1"/>
  <c r="I16" i="12" s="1"/>
  <c r="I17" i="12" s="1"/>
  <c r="I18" i="12" s="1"/>
  <c r="I19" i="12" s="1"/>
  <c r="I20" i="12" s="1"/>
  <c r="I21" i="12" s="1"/>
  <c r="I22" i="12" s="1"/>
  <c r="I23" i="12" s="1"/>
  <c r="I24" i="12" s="1"/>
  <c r="I25" i="12" s="1"/>
  <c r="I26" i="12" s="1"/>
  <c r="I27" i="12" s="1"/>
  <c r="I28" i="12" s="1"/>
  <c r="I29" i="12" s="1"/>
  <c r="I30" i="12" s="1"/>
  <c r="I31" i="12" s="1"/>
  <c r="I32" i="12" s="1"/>
  <c r="I33" i="12" s="1"/>
  <c r="I34" i="12" s="1"/>
  <c r="I35" i="12" s="1"/>
  <c r="I36" i="12" s="1"/>
  <c r="I37" i="12" s="1"/>
  <c r="I38" i="12" s="1"/>
  <c r="I39" i="12" s="1"/>
  <c r="I40" i="12" s="1"/>
  <c r="I41" i="12" s="1"/>
  <c r="I42" i="12" s="1"/>
  <c r="I43" i="12" s="1"/>
  <c r="I44" i="12" s="1"/>
  <c r="J5" i="12"/>
  <c r="J6" i="12" s="1"/>
  <c r="J7" i="12" s="1"/>
  <c r="J8" i="12" s="1"/>
  <c r="J9" i="12" s="1"/>
  <c r="J10" i="12" s="1"/>
  <c r="J11" i="12" s="1"/>
  <c r="J12" i="12" s="1"/>
  <c r="J13" i="12" s="1"/>
  <c r="J14" i="12" s="1"/>
  <c r="J15" i="12" s="1"/>
  <c r="J16" i="12" s="1"/>
  <c r="J17" i="12" s="1"/>
  <c r="J18" i="12" s="1"/>
  <c r="J19" i="12" s="1"/>
  <c r="J20" i="12" s="1"/>
  <c r="J21" i="12" s="1"/>
  <c r="J22" i="12" s="1"/>
  <c r="J23" i="12" s="1"/>
  <c r="J24" i="12" s="1"/>
  <c r="J25" i="12" s="1"/>
  <c r="J26" i="12" s="1"/>
  <c r="J27" i="12" s="1"/>
  <c r="J28" i="12" s="1"/>
  <c r="J29" i="12" s="1"/>
  <c r="J30" i="12" s="1"/>
  <c r="J31" i="12" s="1"/>
  <c r="J32" i="12" s="1"/>
  <c r="J33" i="12" s="1"/>
  <c r="J34" i="12" s="1"/>
  <c r="J35" i="12" s="1"/>
  <c r="J36" i="12" s="1"/>
  <c r="J37" i="12" s="1"/>
  <c r="J38" i="12" s="1"/>
  <c r="J39" i="12" s="1"/>
  <c r="J40" i="12" s="1"/>
  <c r="J41" i="12" s="1"/>
  <c r="J42" i="12" s="1"/>
  <c r="J43" i="12" s="1"/>
  <c r="J44" i="12" s="1"/>
  <c r="F18" i="19"/>
  <c r="F17" i="19"/>
  <c r="F8" i="19"/>
  <c r="G8" i="19" s="1"/>
  <c r="A272" i="2"/>
  <c r="A30" i="19" s="1"/>
  <c r="A271" i="2"/>
  <c r="A32" i="3" s="1"/>
  <c r="G5" i="19"/>
  <c r="D18" i="3"/>
  <c r="E18" i="3"/>
  <c r="E20" i="3" s="1"/>
  <c r="E21" i="3" s="1"/>
  <c r="F18" i="3"/>
  <c r="F20" i="3" s="1"/>
  <c r="F21" i="3" s="1"/>
  <c r="G18" i="3"/>
  <c r="G20" i="3" s="1"/>
  <c r="G21" i="3" s="1"/>
  <c r="H18" i="3"/>
  <c r="H20" i="3" s="1"/>
  <c r="H21" i="3" s="1"/>
  <c r="I18" i="3"/>
  <c r="I20" i="3" s="1"/>
  <c r="I21" i="3" s="1"/>
  <c r="J18" i="3"/>
  <c r="J20" i="3" s="1"/>
  <c r="J21" i="3" s="1"/>
  <c r="K18" i="3"/>
  <c r="K20" i="3" s="1"/>
  <c r="K21" i="3" s="1"/>
  <c r="L18" i="3"/>
  <c r="L20" i="3" s="1"/>
  <c r="L21" i="3" s="1"/>
  <c r="M18" i="3"/>
  <c r="M20" i="3" s="1"/>
  <c r="M21" i="3" s="1"/>
  <c r="N18" i="3"/>
  <c r="N20" i="3" s="1"/>
  <c r="N21" i="3" s="1"/>
  <c r="O18" i="3"/>
  <c r="O20" i="3" s="1"/>
  <c r="O21" i="3" s="1"/>
  <c r="P18" i="3"/>
  <c r="P20" i="3" s="1"/>
  <c r="P21" i="3" s="1"/>
  <c r="Q18" i="3"/>
  <c r="Q20" i="3" s="1"/>
  <c r="Q21" i="3" s="1"/>
  <c r="R18" i="3"/>
  <c r="R20" i="3" s="1"/>
  <c r="R21" i="3" s="1"/>
  <c r="S18" i="3"/>
  <c r="S20" i="3" s="1"/>
  <c r="T18" i="3"/>
  <c r="T20" i="3" s="1"/>
  <c r="T21" i="3" s="1"/>
  <c r="U18" i="3"/>
  <c r="U20" i="3" s="1"/>
  <c r="U21" i="3" s="1"/>
  <c r="V18" i="3"/>
  <c r="V20" i="3" s="1"/>
  <c r="V21" i="3" s="1"/>
  <c r="W18" i="3"/>
  <c r="W20" i="3" s="1"/>
  <c r="W21" i="3" s="1"/>
  <c r="X18" i="3"/>
  <c r="X20" i="3" s="1"/>
  <c r="X21" i="3" s="1"/>
  <c r="Y18" i="3"/>
  <c r="Y20" i="3" s="1"/>
  <c r="Y21" i="3" s="1"/>
  <c r="Z18" i="3"/>
  <c r="Z20" i="3" s="1"/>
  <c r="Z21" i="3" s="1"/>
  <c r="AA18" i="3"/>
  <c r="AA20" i="3" s="1"/>
  <c r="AA21" i="3" s="1"/>
  <c r="AB18" i="3"/>
  <c r="AB20" i="3" s="1"/>
  <c r="AB21" i="3" s="1"/>
  <c r="A62" i="23"/>
  <c r="A52" i="11"/>
  <c r="A64" i="21"/>
  <c r="AK8" i="4"/>
  <c r="AK9" i="4"/>
  <c r="AK11" i="4"/>
  <c r="AK12" i="4"/>
  <c r="AK13" i="4"/>
  <c r="AK15" i="4"/>
  <c r="AK16" i="4"/>
  <c r="AK17" i="4"/>
  <c r="AK18" i="4"/>
  <c r="AK19" i="4"/>
  <c r="AK20" i="4"/>
  <c r="AK21" i="4"/>
  <c r="AK22" i="4"/>
  <c r="AK23" i="4"/>
  <c r="AK24" i="4"/>
  <c r="AK25" i="4"/>
  <c r="AK26" i="4"/>
  <c r="AK27" i="4"/>
  <c r="AK28" i="4"/>
  <c r="AK29" i="4"/>
  <c r="AK30" i="4"/>
  <c r="AK31" i="4"/>
  <c r="AK32" i="4"/>
  <c r="AK33" i="4"/>
  <c r="AK34" i="4"/>
  <c r="AK35" i="4"/>
  <c r="AK36" i="4"/>
  <c r="AK37" i="4"/>
  <c r="AK38" i="4"/>
  <c r="AK39" i="4"/>
  <c r="AK40" i="4"/>
  <c r="AK41" i="4"/>
  <c r="AK42" i="4"/>
  <c r="AK43" i="4"/>
  <c r="AK44" i="4"/>
  <c r="AK45" i="4"/>
  <c r="AK46" i="4"/>
  <c r="AK47" i="4"/>
  <c r="AK48" i="4"/>
  <c r="AK49" i="4"/>
  <c r="AK50" i="4"/>
  <c r="AK51" i="4"/>
  <c r="AK52" i="4"/>
  <c r="AK53" i="4"/>
  <c r="AK54" i="4"/>
  <c r="AK55" i="4"/>
  <c r="AK56" i="4"/>
  <c r="AK57" i="4"/>
  <c r="AK58" i="4"/>
  <c r="AK59" i="4"/>
  <c r="AK60" i="4"/>
  <c r="AK61" i="4"/>
  <c r="AK62" i="4"/>
  <c r="AK63" i="4"/>
  <c r="AK64" i="4"/>
  <c r="AK65" i="4"/>
  <c r="AK66" i="4"/>
  <c r="AK67" i="4"/>
  <c r="AK68" i="4"/>
  <c r="AK69" i="4"/>
  <c r="AK70" i="4"/>
  <c r="AK71" i="4"/>
  <c r="AK72" i="4"/>
  <c r="AK73" i="4"/>
  <c r="AK74" i="4"/>
  <c r="AK75" i="4"/>
  <c r="AK76" i="4"/>
  <c r="AK77" i="4"/>
  <c r="AK78" i="4"/>
  <c r="AK79" i="4"/>
  <c r="AK80" i="4"/>
  <c r="AK81" i="4"/>
  <c r="AK82" i="4"/>
  <c r="AK83" i="4"/>
  <c r="AK84" i="4"/>
  <c r="AK85" i="4"/>
  <c r="AK86" i="4"/>
  <c r="AK87" i="4"/>
  <c r="AK88" i="4"/>
  <c r="AK89" i="4"/>
  <c r="AK90" i="4"/>
  <c r="AK91" i="4"/>
  <c r="AK92" i="4"/>
  <c r="AK93" i="4"/>
  <c r="AK94" i="4"/>
  <c r="AK95" i="4"/>
  <c r="AK96" i="4"/>
  <c r="AK97" i="4"/>
  <c r="AK98" i="4"/>
  <c r="AK99" i="4"/>
  <c r="AK100" i="4"/>
  <c r="AK101" i="4"/>
  <c r="AK102" i="4"/>
  <c r="AK103" i="4"/>
  <c r="AK104" i="4"/>
  <c r="AK105" i="4"/>
  <c r="AK106" i="4"/>
  <c r="AK107" i="4"/>
  <c r="AK108" i="4"/>
  <c r="AK109" i="4"/>
  <c r="AK110" i="4"/>
  <c r="AK111" i="4"/>
  <c r="AK112" i="4"/>
  <c r="AK113" i="4"/>
  <c r="AK114" i="4"/>
  <c r="AK115" i="4"/>
  <c r="AK116" i="4"/>
  <c r="AK117" i="4"/>
  <c r="AK118" i="4"/>
  <c r="AK119" i="4"/>
  <c r="AK120" i="4"/>
  <c r="AK121" i="4"/>
  <c r="AK122" i="4"/>
  <c r="AK123" i="4"/>
  <c r="AK124" i="4"/>
  <c r="AK125" i="4"/>
  <c r="AK126" i="4"/>
  <c r="AK127" i="4"/>
  <c r="AK128" i="4"/>
  <c r="AK129" i="4"/>
  <c r="AK130" i="4"/>
  <c r="AK131" i="4"/>
  <c r="AK132" i="4"/>
  <c r="AK133" i="4"/>
  <c r="AK134" i="4"/>
  <c r="AK135" i="4"/>
  <c r="AK136" i="4"/>
  <c r="AK137" i="4"/>
  <c r="AK138" i="4"/>
  <c r="AK139" i="4"/>
  <c r="AK140" i="4"/>
  <c r="AK141" i="4"/>
  <c r="AK142" i="4"/>
  <c r="AK143" i="4"/>
  <c r="AK144" i="4"/>
  <c r="AK145" i="4"/>
  <c r="AK146" i="4"/>
  <c r="AK147" i="4"/>
  <c r="AK148" i="4"/>
  <c r="AK149" i="4"/>
  <c r="AK150" i="4"/>
  <c r="AK151" i="4"/>
  <c r="AK152" i="4"/>
  <c r="AK153" i="4"/>
  <c r="AK154" i="4"/>
  <c r="AK155" i="4"/>
  <c r="AK156" i="4"/>
  <c r="AK157" i="4"/>
  <c r="AK158" i="4"/>
  <c r="AK159" i="4"/>
  <c r="AK160" i="4"/>
  <c r="AK161" i="4"/>
  <c r="AK162" i="4"/>
  <c r="AK163" i="4"/>
  <c r="AK164" i="4"/>
  <c r="AK165" i="4"/>
  <c r="AK166" i="4"/>
  <c r="AK167" i="4"/>
  <c r="AK168" i="4"/>
  <c r="AK169" i="4"/>
  <c r="AK170" i="4"/>
  <c r="AK171" i="4"/>
  <c r="AK172" i="4"/>
  <c r="AK173" i="4"/>
  <c r="AK174" i="4"/>
  <c r="AK175" i="4"/>
  <c r="AK176" i="4"/>
  <c r="AK177" i="4"/>
  <c r="AK178" i="4"/>
  <c r="AK179" i="4"/>
  <c r="AK180" i="4"/>
  <c r="AK181" i="4"/>
  <c r="AK182" i="4"/>
  <c r="AK183" i="4"/>
  <c r="AK184" i="4"/>
  <c r="AK185" i="4"/>
  <c r="AK186" i="4"/>
  <c r="AK187" i="4"/>
  <c r="AK188" i="4"/>
  <c r="AK189" i="4"/>
  <c r="AK190" i="4"/>
  <c r="AK191" i="4"/>
  <c r="AK192" i="4"/>
  <c r="AK193" i="4"/>
  <c r="AK194" i="4"/>
  <c r="AK195" i="4"/>
  <c r="AK196" i="4"/>
  <c r="AK197" i="4"/>
  <c r="AK198" i="4"/>
  <c r="AK199" i="4"/>
  <c r="AK200" i="4"/>
  <c r="AK201" i="4"/>
  <c r="AK202" i="4"/>
  <c r="AK203" i="4"/>
  <c r="AK204" i="4"/>
  <c r="AK205" i="4"/>
  <c r="AK206" i="4"/>
  <c r="AK207" i="4"/>
  <c r="AK208" i="4"/>
  <c r="AK209" i="4"/>
  <c r="AK210" i="4"/>
  <c r="AK211" i="4"/>
  <c r="AK212" i="4"/>
  <c r="AK213" i="4"/>
  <c r="AK214" i="4"/>
  <c r="AK215" i="4"/>
  <c r="AK216" i="4"/>
  <c r="AK217" i="4"/>
  <c r="AK218" i="4"/>
  <c r="AK219" i="4"/>
  <c r="AK220" i="4"/>
  <c r="AK221" i="4"/>
  <c r="AK222" i="4"/>
  <c r="AK223" i="4"/>
  <c r="AK224" i="4"/>
  <c r="AK225" i="4"/>
  <c r="AK226" i="4"/>
  <c r="AK227" i="4"/>
  <c r="AK228" i="4"/>
  <c r="AK229" i="4"/>
  <c r="AK230" i="4"/>
  <c r="AK231" i="4"/>
  <c r="AK232" i="4"/>
  <c r="AK233" i="4"/>
  <c r="AK234" i="4"/>
  <c r="AK235" i="4"/>
  <c r="AK236" i="4"/>
  <c r="AK237" i="4"/>
  <c r="AK238" i="4"/>
  <c r="AK239" i="4"/>
  <c r="AK240" i="4"/>
  <c r="AK241" i="4"/>
  <c r="AK242" i="4"/>
  <c r="AK243" i="4"/>
  <c r="AK244" i="4"/>
  <c r="AK245" i="4"/>
  <c r="AK246" i="4"/>
  <c r="AK247" i="4"/>
  <c r="AK248" i="4"/>
  <c r="AK249" i="4"/>
  <c r="AK250" i="4"/>
  <c r="AK251" i="4"/>
  <c r="AK252" i="4"/>
  <c r="AK253" i="4"/>
  <c r="AK254" i="4"/>
  <c r="AK255" i="4"/>
  <c r="AK256" i="4"/>
  <c r="AK257" i="4"/>
  <c r="A53" i="11"/>
  <c r="H18" i="19"/>
  <c r="H17" i="19"/>
  <c r="H16" i="19"/>
  <c r="A1" i="8"/>
  <c r="I5" i="4"/>
  <c r="H5" i="4"/>
  <c r="Y5" i="4"/>
  <c r="W5" i="4"/>
  <c r="X5" i="4"/>
  <c r="V5" i="4"/>
  <c r="H8" i="19"/>
  <c r="H19" i="19"/>
  <c r="D7" i="36" l="1"/>
  <c r="B18" i="36" s="1"/>
  <c r="B19" i="36" s="1"/>
  <c r="B20" i="36" s="1"/>
  <c r="B21" i="36" s="1"/>
  <c r="B22" i="36" s="1"/>
  <c r="B23" i="36" s="1"/>
  <c r="B24" i="36" s="1"/>
  <c r="B25" i="36" s="1"/>
  <c r="B26" i="36" s="1"/>
  <c r="B27" i="36" s="1"/>
  <c r="B28" i="36" s="1"/>
  <c r="B29" i="36" s="1"/>
  <c r="B30" i="36" s="1"/>
  <c r="B31" i="36" s="1"/>
  <c r="B32" i="36" s="1"/>
  <c r="B33" i="36" s="1"/>
  <c r="B34" i="36" s="1"/>
  <c r="B35" i="36" s="1"/>
  <c r="B36" i="36" s="1"/>
  <c r="B37" i="36" s="1"/>
  <c r="B38" i="36" s="1"/>
  <c r="B39" i="36" s="1"/>
  <c r="B40" i="36" s="1"/>
  <c r="B41" i="36" s="1"/>
  <c r="B42" i="36" s="1"/>
  <c r="B43" i="36" s="1"/>
  <c r="B44" i="36" s="1"/>
  <c r="B45" i="36" s="1"/>
  <c r="B46" i="36" s="1"/>
  <c r="B47" i="36" s="1"/>
  <c r="B48" i="36" s="1"/>
  <c r="B49" i="36" s="1"/>
  <c r="B50" i="36" s="1"/>
  <c r="B51" i="36" s="1"/>
  <c r="B52" i="36" s="1"/>
  <c r="B53" i="36" s="1"/>
  <c r="B54" i="36" s="1"/>
  <c r="B55" i="36" s="1"/>
  <c r="B56" i="36" s="1"/>
  <c r="B57" i="36" s="1"/>
  <c r="B58" i="36" s="1"/>
  <c r="B59" i="36" s="1"/>
  <c r="B60" i="36" s="1"/>
  <c r="B61" i="36" s="1"/>
  <c r="B62" i="36" s="1"/>
  <c r="B63" i="36" s="1"/>
  <c r="B64" i="36" s="1"/>
  <c r="B65" i="36" s="1"/>
  <c r="B66" i="36" s="1"/>
  <c r="B67" i="36" s="1"/>
  <c r="B68" i="36" s="1"/>
  <c r="B69" i="36" s="1"/>
  <c r="B70" i="36" s="1"/>
  <c r="B71" i="36" s="1"/>
  <c r="B72" i="36" s="1"/>
  <c r="B73" i="36" s="1"/>
  <c r="B74" i="36" s="1"/>
  <c r="B75" i="36" s="1"/>
  <c r="B76" i="36" s="1"/>
  <c r="B77" i="36" s="1"/>
  <c r="B78" i="36" s="1"/>
  <c r="B79" i="36" s="1"/>
  <c r="B80" i="36" s="1"/>
  <c r="B81" i="36" s="1"/>
  <c r="B82" i="36" s="1"/>
  <c r="B83" i="36" s="1"/>
  <c r="B84" i="36" s="1"/>
  <c r="B85" i="36" s="1"/>
  <c r="B86" i="36" s="1"/>
  <c r="B87" i="36" s="1"/>
  <c r="B88" i="36" s="1"/>
  <c r="B89" i="36" s="1"/>
  <c r="B90" i="36" s="1"/>
  <c r="B91" i="36" s="1"/>
  <c r="B92" i="36" s="1"/>
  <c r="B93" i="36" s="1"/>
  <c r="B94" i="36" s="1"/>
  <c r="B95" i="36" s="1"/>
  <c r="B96" i="36" s="1"/>
  <c r="B97" i="36" s="1"/>
  <c r="B98" i="36" s="1"/>
  <c r="B99" i="36" s="1"/>
  <c r="B100" i="36" s="1"/>
  <c r="B101" i="36" s="1"/>
  <c r="B102" i="36" s="1"/>
  <c r="B103" i="36" s="1"/>
  <c r="B104" i="36" s="1"/>
  <c r="B105" i="36" s="1"/>
  <c r="B106" i="36" s="1"/>
  <c r="B107" i="36" s="1"/>
  <c r="B108" i="36" s="1"/>
  <c r="B109" i="36" s="1"/>
  <c r="B110" i="36" s="1"/>
  <c r="D7" i="34"/>
  <c r="B18" i="34" s="1"/>
  <c r="B19" i="34" s="1"/>
  <c r="D7" i="33"/>
  <c r="B18" i="33" s="1"/>
  <c r="B19" i="33" s="1"/>
  <c r="D7" i="35"/>
  <c r="B18" i="35" s="1"/>
  <c r="B19" i="35" s="1"/>
  <c r="D5" i="36"/>
  <c r="D5" i="34"/>
  <c r="D5" i="35"/>
  <c r="D5" i="33"/>
  <c r="D4" i="34"/>
  <c r="D4" i="33"/>
  <c r="D4" i="36"/>
  <c r="D4" i="35"/>
  <c r="D20" i="3"/>
  <c r="AR20" i="3" s="1"/>
  <c r="AR18" i="3"/>
  <c r="A268" i="4"/>
  <c r="A269" i="30"/>
  <c r="A33" i="3"/>
  <c r="F11" i="19"/>
  <c r="F12" i="19"/>
  <c r="F10" i="19"/>
  <c r="F15" i="19"/>
  <c r="F9" i="19"/>
  <c r="F14" i="19"/>
  <c r="F13" i="19"/>
  <c r="S21" i="3"/>
  <c r="G30" i="8"/>
  <c r="A63" i="21"/>
  <c r="E14" i="28"/>
  <c r="I22" i="3" s="1"/>
  <c r="D15" i="29"/>
  <c r="A61" i="23"/>
  <c r="A29" i="19"/>
  <c r="M31" i="12"/>
  <c r="M30" i="12"/>
  <c r="D21" i="3" l="1"/>
  <c r="AR21" i="3" s="1"/>
  <c r="B20" i="35"/>
  <c r="E19" i="35"/>
  <c r="B20" i="33"/>
  <c r="E19" i="33"/>
  <c r="B20" i="34"/>
  <c r="B21" i="34" s="1"/>
  <c r="B22" i="34" s="1"/>
  <c r="E19" i="34"/>
  <c r="B111" i="36"/>
  <c r="N30" i="12"/>
  <c r="N31" i="12"/>
  <c r="A269" i="4"/>
  <c r="A270" i="30"/>
  <c r="F16" i="19"/>
  <c r="E16" i="19" s="1"/>
  <c r="D16" i="29"/>
  <c r="E15" i="28"/>
  <c r="J22" i="3" s="1"/>
  <c r="K43" i="35" a="1"/>
  <c r="M32" i="12"/>
  <c r="K42" i="35" a="1"/>
  <c r="L17" i="33" l="1" a="1"/>
  <c r="L17" i="33" s="1"/>
  <c r="L17" i="34" a="1"/>
  <c r="L17" i="34" s="1"/>
  <c r="L17" i="36" a="1"/>
  <c r="L17" i="36" s="1"/>
  <c r="L17" i="35" a="1"/>
  <c r="L17" i="35" s="1"/>
  <c r="B21" i="33"/>
  <c r="E20" i="33"/>
  <c r="B23" i="34"/>
  <c r="B24" i="34" s="1"/>
  <c r="B25" i="34" s="1"/>
  <c r="E22" i="34"/>
  <c r="B21" i="35"/>
  <c r="E20" i="35"/>
  <c r="K43" i="35"/>
  <c r="K42" i="35"/>
  <c r="K43" i="33"/>
  <c r="K42" i="33"/>
  <c r="B112" i="36"/>
  <c r="N32" i="12"/>
  <c r="G16" i="19"/>
  <c r="F19" i="19"/>
  <c r="G19" i="19" s="1"/>
  <c r="E16" i="28"/>
  <c r="K22" i="3" s="1"/>
  <c r="D17" i="29"/>
  <c r="K44" i="35" a="1"/>
  <c r="K43" i="36"/>
  <c r="K43" i="34" a="1"/>
  <c r="K42" i="36"/>
  <c r="M33" i="12"/>
  <c r="K42" i="34" a="1"/>
  <c r="B22" i="35" l="1"/>
  <c r="E21" i="35"/>
  <c r="B26" i="34"/>
  <c r="B27" i="34" s="1"/>
  <c r="B28" i="34" s="1"/>
  <c r="E25" i="34"/>
  <c r="B22" i="33"/>
  <c r="E21" i="33"/>
  <c r="K44" i="35"/>
  <c r="K43" i="34"/>
  <c r="K42" i="34"/>
  <c r="K44" i="33"/>
  <c r="B113" i="36"/>
  <c r="N33" i="12"/>
  <c r="D18" i="29"/>
  <c r="E17" i="28"/>
  <c r="L22" i="3" s="1"/>
  <c r="K44" i="34" a="1"/>
  <c r="K44" i="36"/>
  <c r="K45" i="36"/>
  <c r="M34" i="12"/>
  <c r="B23" i="33" l="1"/>
  <c r="E22" i="33"/>
  <c r="E28" i="34"/>
  <c r="B29" i="34"/>
  <c r="B30" i="34" s="1"/>
  <c r="B31" i="34" s="1"/>
  <c r="B23" i="35"/>
  <c r="B24" i="35" s="1"/>
  <c r="B25" i="35" s="1"/>
  <c r="E22" i="35"/>
  <c r="K44" i="34"/>
  <c r="K45" i="33"/>
  <c r="B114" i="36"/>
  <c r="N34" i="12"/>
  <c r="D19" i="29"/>
  <c r="E18" i="28"/>
  <c r="M22" i="3" s="1"/>
  <c r="K45" i="35" a="1"/>
  <c r="K45" i="34" a="1"/>
  <c r="M35" i="12"/>
  <c r="K46" i="35" a="1"/>
  <c r="E31" i="34" l="1"/>
  <c r="B32" i="34"/>
  <c r="B33" i="34" s="1"/>
  <c r="B34" i="34" s="1"/>
  <c r="B26" i="35"/>
  <c r="E25" i="35"/>
  <c r="B24" i="33"/>
  <c r="E23" i="33"/>
  <c r="K45" i="35"/>
  <c r="K46" i="35"/>
  <c r="K45" i="34"/>
  <c r="K46" i="33"/>
  <c r="B115" i="36"/>
  <c r="N35" i="12"/>
  <c r="E19" i="28"/>
  <c r="N22" i="3" s="1"/>
  <c r="D20" i="29"/>
  <c r="K46" i="34" a="1"/>
  <c r="K46" i="36"/>
  <c r="M36" i="12"/>
  <c r="K47" i="36"/>
  <c r="B25" i="33" l="1"/>
  <c r="E24" i="33"/>
  <c r="E26" i="35"/>
  <c r="B27" i="35"/>
  <c r="E34" i="34"/>
  <c r="B35" i="34"/>
  <c r="B36" i="34" s="1"/>
  <c r="B37" i="34" s="1"/>
  <c r="K46" i="34"/>
  <c r="K47" i="33"/>
  <c r="B116" i="36"/>
  <c r="N36" i="12"/>
  <c r="D21" i="29"/>
  <c r="E20" i="28"/>
  <c r="O22" i="3" s="1"/>
  <c r="K47" i="35" a="1"/>
  <c r="K47" i="34" a="1"/>
  <c r="M37" i="12"/>
  <c r="K48" i="36"/>
  <c r="E27" i="35" l="1"/>
  <c r="B28" i="35"/>
  <c r="B38" i="34"/>
  <c r="B39" i="34" s="1"/>
  <c r="B40" i="34" s="1"/>
  <c r="E37" i="34"/>
  <c r="E25" i="33"/>
  <c r="B26" i="33"/>
  <c r="K47" i="35"/>
  <c r="K47" i="34"/>
  <c r="K48" i="33"/>
  <c r="B117" i="36"/>
  <c r="N37" i="12"/>
  <c r="D22" i="29"/>
  <c r="E21" i="28"/>
  <c r="P22" i="3" s="1"/>
  <c r="K48" i="35" a="1"/>
  <c r="K49" i="35" a="1"/>
  <c r="M38" i="12"/>
  <c r="K48" i="34" a="1"/>
  <c r="B27" i="33" l="1"/>
  <c r="E26" i="33"/>
  <c r="E40" i="34"/>
  <c r="B41" i="34"/>
  <c r="B42" i="34" s="1"/>
  <c r="B43" i="34" s="1"/>
  <c r="B29" i="35"/>
  <c r="B30" i="35" s="1"/>
  <c r="B31" i="35" s="1"/>
  <c r="E28" i="35"/>
  <c r="K48" i="35"/>
  <c r="K49" i="35"/>
  <c r="K48" i="34"/>
  <c r="K49" i="33"/>
  <c r="B118" i="36"/>
  <c r="N38" i="12"/>
  <c r="E22" i="28"/>
  <c r="Q22" i="3" s="1"/>
  <c r="D23" i="29"/>
  <c r="M39" i="12"/>
  <c r="K49" i="34" a="1"/>
  <c r="K49" i="36"/>
  <c r="K50" i="36"/>
  <c r="B32" i="35" l="1"/>
  <c r="E31" i="35"/>
  <c r="B44" i="34"/>
  <c r="B45" i="34" s="1"/>
  <c r="B46" i="34" s="1"/>
  <c r="E43" i="34"/>
  <c r="B28" i="33"/>
  <c r="E27" i="33"/>
  <c r="K49" i="34"/>
  <c r="K50" i="33"/>
  <c r="B119" i="36"/>
  <c r="N39" i="12"/>
  <c r="D24" i="29"/>
  <c r="E23" i="28"/>
  <c r="R22" i="3" s="1"/>
  <c r="K50" i="34" a="1"/>
  <c r="M40" i="12"/>
  <c r="K50" i="35" a="1"/>
  <c r="K51" i="35" a="1"/>
  <c r="B47" i="34" l="1"/>
  <c r="B48" i="34" s="1"/>
  <c r="B49" i="34" s="1"/>
  <c r="E46" i="34"/>
  <c r="B29" i="33"/>
  <c r="B30" i="33" s="1"/>
  <c r="B31" i="33" s="1"/>
  <c r="E28" i="33"/>
  <c r="B33" i="35"/>
  <c r="E32" i="35"/>
  <c r="K50" i="35"/>
  <c r="K51" i="35"/>
  <c r="K50" i="34"/>
  <c r="K51" i="33"/>
  <c r="B120" i="36"/>
  <c r="N40" i="12"/>
  <c r="E24" i="28"/>
  <c r="S22" i="3" s="1"/>
  <c r="D25" i="29"/>
  <c r="K51" i="36"/>
  <c r="K51" i="34" a="1"/>
  <c r="M41" i="12"/>
  <c r="K52" i="36"/>
  <c r="E33" i="35" l="1"/>
  <c r="B34" i="35"/>
  <c r="B32" i="33"/>
  <c r="E31" i="33"/>
  <c r="B50" i="34"/>
  <c r="B51" i="34" s="1"/>
  <c r="B52" i="34" s="1"/>
  <c r="E49" i="34"/>
  <c r="K51" i="34"/>
  <c r="K52" i="33"/>
  <c r="B121" i="36"/>
  <c r="N41" i="12"/>
  <c r="E25" i="28"/>
  <c r="T22" i="3" s="1"/>
  <c r="D26" i="29"/>
  <c r="K52" i="34" a="1"/>
  <c r="K52" i="35" a="1"/>
  <c r="M42" i="12"/>
  <c r="K53" i="36"/>
  <c r="B53" i="34" l="1"/>
  <c r="B54" i="34" s="1"/>
  <c r="B55" i="34" s="1"/>
  <c r="E52" i="34"/>
  <c r="B33" i="33"/>
  <c r="E32" i="33"/>
  <c r="B35" i="35"/>
  <c r="B36" i="35" s="1"/>
  <c r="B37" i="35" s="1"/>
  <c r="E34" i="35"/>
  <c r="K52" i="35"/>
  <c r="K52" i="34"/>
  <c r="K53" i="33"/>
  <c r="B122" i="36"/>
  <c r="N42" i="12"/>
  <c r="D27" i="29"/>
  <c r="E26" i="28"/>
  <c r="U22" i="3" s="1"/>
  <c r="M43" i="12"/>
  <c r="K54" i="35" a="1"/>
  <c r="K53" i="35" a="1"/>
  <c r="K53" i="34" a="1"/>
  <c r="E37" i="35" l="1"/>
  <c r="B38" i="35"/>
  <c r="B34" i="33"/>
  <c r="E33" i="33"/>
  <c r="B56" i="34"/>
  <c r="B57" i="34" s="1"/>
  <c r="B58" i="34" s="1"/>
  <c r="E55" i="34"/>
  <c r="K53" i="35"/>
  <c r="K54" i="35"/>
  <c r="K53" i="34"/>
  <c r="K54" i="33"/>
  <c r="B123" i="36"/>
  <c r="N43" i="12"/>
  <c r="E34" i="29"/>
  <c r="C34" i="29"/>
  <c r="E27" i="28"/>
  <c r="V22" i="3" s="1"/>
  <c r="D28" i="29"/>
  <c r="M44" i="12"/>
  <c r="K54" i="36"/>
  <c r="K54" i="34" a="1"/>
  <c r="K55" i="36"/>
  <c r="B35" i="33" l="1"/>
  <c r="E34" i="33"/>
  <c r="B59" i="34"/>
  <c r="B60" i="34" s="1"/>
  <c r="B61" i="34" s="1"/>
  <c r="E58" i="34"/>
  <c r="E38" i="35"/>
  <c r="B39" i="35"/>
  <c r="K54" i="34"/>
  <c r="K55" i="33"/>
  <c r="B124" i="36"/>
  <c r="N44" i="12"/>
  <c r="E28" i="28"/>
  <c r="W22" i="3" s="1"/>
  <c r="AR22" i="3" s="1"/>
  <c r="D34" i="29"/>
  <c r="K55" i="35" a="1"/>
  <c r="K55" i="34" a="1"/>
  <c r="K56" i="36"/>
  <c r="E61" i="34" l="1"/>
  <c r="B62" i="34"/>
  <c r="B63" i="34" s="1"/>
  <c r="B64" i="34" s="1"/>
  <c r="E39" i="35"/>
  <c r="B40" i="35"/>
  <c r="B36" i="33"/>
  <c r="E35" i="33"/>
  <c r="K55" i="35"/>
  <c r="K55" i="34"/>
  <c r="K56" i="33"/>
  <c r="B125" i="36"/>
  <c r="E49" i="28"/>
  <c r="K56" i="35" a="1"/>
  <c r="K56" i="34" a="1"/>
  <c r="B37" i="33" l="1"/>
  <c r="E36" i="33"/>
  <c r="B41" i="35"/>
  <c r="B42" i="35" s="1"/>
  <c r="B43" i="35" s="1"/>
  <c r="E40" i="35"/>
  <c r="B65" i="34"/>
  <c r="B66" i="34" s="1"/>
  <c r="B67" i="34" s="1"/>
  <c r="E64" i="34"/>
  <c r="K56" i="35"/>
  <c r="K56" i="34"/>
  <c r="B126" i="36"/>
  <c r="B68" i="34" l="1"/>
  <c r="B69" i="34" s="1"/>
  <c r="B70" i="34" s="1"/>
  <c r="E67" i="34"/>
  <c r="E43" i="35"/>
  <c r="B44" i="35"/>
  <c r="B38" i="33"/>
  <c r="E37" i="33"/>
  <c r="B127" i="36"/>
  <c r="B39" i="33" l="1"/>
  <c r="E38" i="33"/>
  <c r="B45" i="35"/>
  <c r="E44" i="35"/>
  <c r="E70" i="34"/>
  <c r="B71" i="34"/>
  <c r="B72" i="34" s="1"/>
  <c r="B73" i="34" s="1"/>
  <c r="B128" i="36"/>
  <c r="B74" i="34" l="1"/>
  <c r="B75" i="34" s="1"/>
  <c r="B76" i="34" s="1"/>
  <c r="E73" i="34"/>
  <c r="B46" i="35"/>
  <c r="E45" i="35"/>
  <c r="B40" i="33"/>
  <c r="E39" i="33"/>
  <c r="B129" i="36"/>
  <c r="B41" i="33" l="1"/>
  <c r="B42" i="33" s="1"/>
  <c r="B43" i="33" s="1"/>
  <c r="E40" i="33"/>
  <c r="E46" i="35"/>
  <c r="B47" i="35"/>
  <c r="B48" i="35" s="1"/>
  <c r="B49" i="35" s="1"/>
  <c r="B77" i="34"/>
  <c r="B78" i="34" s="1"/>
  <c r="B79" i="34" s="1"/>
  <c r="E76" i="34"/>
  <c r="B130" i="36"/>
  <c r="B80" i="34" l="1"/>
  <c r="B81" i="34" s="1"/>
  <c r="B82" i="34" s="1"/>
  <c r="E79" i="34"/>
  <c r="B50" i="35"/>
  <c r="E49" i="35"/>
  <c r="B44" i="33"/>
  <c r="E43" i="33"/>
  <c r="B131" i="36"/>
  <c r="B45" i="33" l="1"/>
  <c r="E44" i="33"/>
  <c r="B51" i="35"/>
  <c r="E50" i="35"/>
  <c r="E82" i="34"/>
  <c r="B83" i="34"/>
  <c r="B84" i="34" s="1"/>
  <c r="B85" i="34" s="1"/>
  <c r="B132" i="36"/>
  <c r="B86" i="34" l="1"/>
  <c r="B87" i="34" s="1"/>
  <c r="B88" i="34" s="1"/>
  <c r="E85" i="34"/>
  <c r="B52" i="35"/>
  <c r="E51" i="35"/>
  <c r="B46" i="33"/>
  <c r="E45" i="33"/>
  <c r="B133" i="36"/>
  <c r="B47" i="33" l="1"/>
  <c r="E46" i="33"/>
  <c r="B53" i="35"/>
  <c r="B54" i="35" s="1"/>
  <c r="B55" i="35" s="1"/>
  <c r="E52" i="35"/>
  <c r="B89" i="34"/>
  <c r="B90" i="34" s="1"/>
  <c r="B91" i="34" s="1"/>
  <c r="E88" i="34"/>
  <c r="B134" i="36"/>
  <c r="E55" i="35" l="1"/>
  <c r="B56" i="35"/>
  <c r="B92" i="34"/>
  <c r="B93" i="34" s="1"/>
  <c r="B94" i="34" s="1"/>
  <c r="E91" i="34"/>
  <c r="B48" i="33"/>
  <c r="E47" i="33"/>
  <c r="B135" i="36"/>
  <c r="E94" i="34" l="1"/>
  <c r="B95" i="34"/>
  <c r="B96" i="34" s="1"/>
  <c r="B97" i="34" s="1"/>
  <c r="B49" i="33"/>
  <c r="E48" i="33"/>
  <c r="B57" i="35"/>
  <c r="E56" i="35"/>
  <c r="B136" i="36"/>
  <c r="B58" i="35" l="1"/>
  <c r="E57" i="35"/>
  <c r="B50" i="33"/>
  <c r="E49" i="33"/>
  <c r="B98" i="34"/>
  <c r="B99" i="34" s="1"/>
  <c r="B100" i="34" s="1"/>
  <c r="E97" i="34"/>
  <c r="B137" i="36"/>
  <c r="B51" i="33" l="1"/>
  <c r="E50" i="33"/>
  <c r="E100" i="34"/>
  <c r="B101" i="34"/>
  <c r="B102" i="34" s="1"/>
  <c r="B103" i="34" s="1"/>
  <c r="B59" i="35"/>
  <c r="B60" i="35" s="1"/>
  <c r="B61" i="35" s="1"/>
  <c r="E58" i="35"/>
  <c r="B138" i="36"/>
  <c r="E103" i="34" l="1"/>
  <c r="B104" i="34"/>
  <c r="B105" i="34" s="1"/>
  <c r="B106" i="34" s="1"/>
  <c r="B62" i="35"/>
  <c r="E61" i="35"/>
  <c r="B52" i="33"/>
  <c r="E51" i="33"/>
  <c r="B139" i="36"/>
  <c r="B53" i="33" l="1"/>
  <c r="B54" i="33" s="1"/>
  <c r="B55" i="33" s="1"/>
  <c r="E52" i="33"/>
  <c r="B63" i="35"/>
  <c r="E62" i="35"/>
  <c r="B107" i="34"/>
  <c r="B108" i="34" s="1"/>
  <c r="B109" i="34" s="1"/>
  <c r="E106" i="34"/>
  <c r="B140" i="36"/>
  <c r="E109" i="34" l="1"/>
  <c r="B110" i="34"/>
  <c r="B111" i="34" s="1"/>
  <c r="B112" i="34" s="1"/>
  <c r="B64" i="35"/>
  <c r="E63" i="35"/>
  <c r="B56" i="33"/>
  <c r="E55" i="33"/>
  <c r="B141" i="36"/>
  <c r="B57" i="33" l="1"/>
  <c r="E56" i="33"/>
  <c r="E64" i="35"/>
  <c r="B65" i="35"/>
  <c r="B66" i="35" s="1"/>
  <c r="B67" i="35" s="1"/>
  <c r="B113" i="34"/>
  <c r="B114" i="34" s="1"/>
  <c r="B115" i="34" s="1"/>
  <c r="E112" i="34"/>
  <c r="B142" i="36"/>
  <c r="E67" i="35" l="1"/>
  <c r="B68" i="35"/>
  <c r="E115" i="34"/>
  <c r="B116" i="34"/>
  <c r="B117" i="34" s="1"/>
  <c r="B118" i="34" s="1"/>
  <c r="B58" i="33"/>
  <c r="E57" i="33"/>
  <c r="B143" i="36"/>
  <c r="E118" i="34" l="1"/>
  <c r="B119" i="34"/>
  <c r="B120" i="34" s="1"/>
  <c r="B121" i="34" s="1"/>
  <c r="B59" i="33"/>
  <c r="E58" i="33"/>
  <c r="E68" i="35"/>
  <c r="B69" i="35"/>
  <c r="B144" i="36"/>
  <c r="B70" i="35" l="1"/>
  <c r="E69" i="35"/>
  <c r="B60" i="33"/>
  <c r="E59" i="33"/>
  <c r="B122" i="34"/>
  <c r="E121" i="34"/>
  <c r="B145" i="36"/>
  <c r="B61" i="33" l="1"/>
  <c r="E60" i="33"/>
  <c r="E70" i="35"/>
  <c r="B71" i="35"/>
  <c r="B72" i="35" s="1"/>
  <c r="B73" i="35" s="1"/>
  <c r="B146" i="36"/>
  <c r="B123" i="34"/>
  <c r="B74" i="35" l="1"/>
  <c r="E73" i="35"/>
  <c r="B62" i="33"/>
  <c r="E61" i="33"/>
  <c r="B124" i="34"/>
  <c r="B147" i="36"/>
  <c r="B63" i="33" l="1"/>
  <c r="E62" i="33"/>
  <c r="B75" i="35"/>
  <c r="E74" i="35"/>
  <c r="B148" i="36"/>
  <c r="B125" i="34"/>
  <c r="E124" i="34"/>
  <c r="B76" i="35" l="1"/>
  <c r="E75" i="35"/>
  <c r="B64" i="33"/>
  <c r="E63" i="33"/>
  <c r="B126" i="34"/>
  <c r="B149" i="36"/>
  <c r="B65" i="33" l="1"/>
  <c r="B66" i="33" s="1"/>
  <c r="B67" i="33" s="1"/>
  <c r="E64" i="33"/>
  <c r="B77" i="35"/>
  <c r="B78" i="35" s="1"/>
  <c r="B79" i="35" s="1"/>
  <c r="E76" i="35"/>
  <c r="B150" i="36"/>
  <c r="B127" i="34"/>
  <c r="B80" i="35" l="1"/>
  <c r="E79" i="35"/>
  <c r="B68" i="33"/>
  <c r="E67" i="33"/>
  <c r="B128" i="34"/>
  <c r="E127" i="34"/>
  <c r="B151" i="36"/>
  <c r="B69" i="33" l="1"/>
  <c r="E68" i="33"/>
  <c r="B81" i="35"/>
  <c r="E80" i="35"/>
  <c r="B152" i="36"/>
  <c r="B129" i="34"/>
  <c r="E81" i="35" l="1"/>
  <c r="B82" i="35"/>
  <c r="B70" i="33"/>
  <c r="E69" i="33"/>
  <c r="B130" i="34"/>
  <c r="B153" i="36"/>
  <c r="B71" i="33" l="1"/>
  <c r="E70" i="33"/>
  <c r="B83" i="35"/>
  <c r="B84" i="35" s="1"/>
  <c r="B85" i="35" s="1"/>
  <c r="E82" i="35"/>
  <c r="B154" i="36"/>
  <c r="B131" i="34"/>
  <c r="E130" i="34"/>
  <c r="E85" i="35" l="1"/>
  <c r="B86" i="35"/>
  <c r="B72" i="33"/>
  <c r="E71" i="33"/>
  <c r="B132" i="34"/>
  <c r="B155" i="36"/>
  <c r="B73" i="33" l="1"/>
  <c r="E72" i="33"/>
  <c r="B87" i="35"/>
  <c r="E86" i="35"/>
  <c r="B156" i="36"/>
  <c r="B133" i="34"/>
  <c r="E87" i="35" l="1"/>
  <c r="B88" i="35"/>
  <c r="B74" i="33"/>
  <c r="E73" i="33"/>
  <c r="B134" i="34"/>
  <c r="E133" i="34"/>
  <c r="B157" i="36"/>
  <c r="B75" i="33" l="1"/>
  <c r="E74" i="33"/>
  <c r="B89" i="35"/>
  <c r="B90" i="35" s="1"/>
  <c r="B91" i="35" s="1"/>
  <c r="E88" i="35"/>
  <c r="B158" i="36"/>
  <c r="B135" i="34"/>
  <c r="B92" i="35" l="1"/>
  <c r="E91" i="35"/>
  <c r="B76" i="33"/>
  <c r="E75" i="33"/>
  <c r="B136" i="34"/>
  <c r="B159" i="36"/>
  <c r="B77" i="33" l="1"/>
  <c r="B78" i="33" s="1"/>
  <c r="B79" i="33" s="1"/>
  <c r="E76" i="33"/>
  <c r="E92" i="35"/>
  <c r="B93" i="35"/>
  <c r="B160" i="36"/>
  <c r="B137" i="34"/>
  <c r="E136" i="34"/>
  <c r="B94" i="35" l="1"/>
  <c r="E93" i="35"/>
  <c r="B80" i="33"/>
  <c r="E79" i="33"/>
  <c r="B138" i="34"/>
  <c r="B161" i="36"/>
  <c r="B81" i="33" l="1"/>
  <c r="E80" i="33"/>
  <c r="E94" i="35"/>
  <c r="B95" i="35"/>
  <c r="B96" i="35" s="1"/>
  <c r="B97" i="35" s="1"/>
  <c r="B162" i="36"/>
  <c r="B139" i="34"/>
  <c r="E97" i="35" l="1"/>
  <c r="B98" i="35"/>
  <c r="B82" i="33"/>
  <c r="E81" i="33"/>
  <c r="B140" i="34"/>
  <c r="E139" i="34"/>
  <c r="B163" i="36"/>
  <c r="B83" i="33" l="1"/>
  <c r="E82" i="33"/>
  <c r="E98" i="35"/>
  <c r="B99" i="35"/>
  <c r="B164" i="36"/>
  <c r="B141" i="34"/>
  <c r="E99" i="35" l="1"/>
  <c r="B100" i="35"/>
  <c r="B84" i="33"/>
  <c r="E83" i="33"/>
  <c r="B142" i="34"/>
  <c r="B165" i="36"/>
  <c r="B85" i="33" l="1"/>
  <c r="E84" i="33"/>
  <c r="E100" i="35"/>
  <c r="B101" i="35"/>
  <c r="B102" i="35" s="1"/>
  <c r="B103" i="35" s="1"/>
  <c r="B166" i="36"/>
  <c r="B143" i="34"/>
  <c r="E142" i="34"/>
  <c r="B104" i="35" l="1"/>
  <c r="E103" i="35"/>
  <c r="B86" i="33"/>
  <c r="E85" i="33"/>
  <c r="B144" i="34"/>
  <c r="B167" i="36"/>
  <c r="B87" i="33" l="1"/>
  <c r="E86" i="33"/>
  <c r="E104" i="35"/>
  <c r="B105" i="35"/>
  <c r="B168" i="36"/>
  <c r="B145" i="34"/>
  <c r="B106" i="35" l="1"/>
  <c r="E105" i="35"/>
  <c r="B88" i="33"/>
  <c r="E87" i="33"/>
  <c r="B146" i="34"/>
  <c r="E145" i="34"/>
  <c r="B169" i="36"/>
  <c r="B89" i="33" l="1"/>
  <c r="B90" i="33" s="1"/>
  <c r="B91" i="33" s="1"/>
  <c r="E88" i="33"/>
  <c r="E106" i="35"/>
  <c r="B107" i="35"/>
  <c r="B108" i="35" s="1"/>
  <c r="B109" i="35" s="1"/>
  <c r="B170" i="36"/>
  <c r="B147" i="34"/>
  <c r="E109" i="35" l="1"/>
  <c r="B110" i="35"/>
  <c r="E91" i="33"/>
  <c r="B92" i="33"/>
  <c r="B148" i="34"/>
  <c r="B171" i="36"/>
  <c r="B93" i="33" l="1"/>
  <c r="E92" i="33"/>
  <c r="B111" i="35"/>
  <c r="E110" i="35"/>
  <c r="B172" i="36"/>
  <c r="B149" i="34"/>
  <c r="E148" i="34"/>
  <c r="B112" i="35" l="1"/>
  <c r="E111" i="35"/>
  <c r="B94" i="33"/>
  <c r="E93" i="33"/>
  <c r="B150" i="34"/>
  <c r="B173" i="36"/>
  <c r="B95" i="33" l="1"/>
  <c r="E94" i="33"/>
  <c r="B113" i="35"/>
  <c r="B114" i="35" s="1"/>
  <c r="B115" i="35" s="1"/>
  <c r="E112" i="35"/>
  <c r="B174" i="36"/>
  <c r="B151" i="34"/>
  <c r="E115" i="35" l="1"/>
  <c r="B116" i="35"/>
  <c r="E95" i="33"/>
  <c r="B96" i="33"/>
  <c r="B152" i="34"/>
  <c r="E151" i="34"/>
  <c r="B175" i="36"/>
  <c r="B97" i="33" l="1"/>
  <c r="E96" i="33"/>
  <c r="B117" i="35"/>
  <c r="E116" i="35"/>
  <c r="B176" i="36"/>
  <c r="B153" i="34"/>
  <c r="B118" i="35" l="1"/>
  <c r="E117" i="35"/>
  <c r="E97" i="33"/>
  <c r="B98" i="33"/>
  <c r="B154" i="34"/>
  <c r="B177" i="36"/>
  <c r="B99" i="33" l="1"/>
  <c r="E98" i="33"/>
  <c r="B119" i="35"/>
  <c r="B120" i="35" s="1"/>
  <c r="B121" i="35" s="1"/>
  <c r="E118" i="35"/>
  <c r="B178" i="36"/>
  <c r="B155" i="34"/>
  <c r="E154" i="34"/>
  <c r="B122" i="35" l="1"/>
  <c r="E121" i="35"/>
  <c r="E99" i="33"/>
  <c r="B100" i="33"/>
  <c r="B156" i="34"/>
  <c r="B179" i="36"/>
  <c r="B101" i="33" l="1"/>
  <c r="B102" i="33" s="1"/>
  <c r="B103" i="33" s="1"/>
  <c r="E100" i="33"/>
  <c r="E122" i="35"/>
  <c r="B123" i="35"/>
  <c r="B180" i="36"/>
  <c r="B157" i="34"/>
  <c r="B124" i="35" l="1"/>
  <c r="E123" i="35"/>
  <c r="B104" i="33"/>
  <c r="E103" i="33"/>
  <c r="B181" i="36"/>
  <c r="B158" i="34"/>
  <c r="E157" i="34"/>
  <c r="E104" i="33" l="1"/>
  <c r="B105" i="33"/>
  <c r="B125" i="35"/>
  <c r="B126" i="35" s="1"/>
  <c r="B127" i="35" s="1"/>
  <c r="E124" i="35"/>
  <c r="B159" i="34"/>
  <c r="B182" i="36"/>
  <c r="B128" i="35" l="1"/>
  <c r="E127" i="35"/>
  <c r="B106" i="33"/>
  <c r="E105" i="33"/>
  <c r="B160" i="34"/>
  <c r="B183" i="36"/>
  <c r="B107" i="33" l="1"/>
  <c r="E106" i="33"/>
  <c r="B129" i="35"/>
  <c r="E128" i="35"/>
  <c r="B161" i="34"/>
  <c r="E160" i="34"/>
  <c r="B184" i="36"/>
  <c r="E129" i="35" l="1"/>
  <c r="B130" i="35"/>
  <c r="E107" i="33"/>
  <c r="B108" i="33"/>
  <c r="B185" i="36"/>
  <c r="B162" i="34"/>
  <c r="E108" i="33" l="1"/>
  <c r="B109" i="33"/>
  <c r="B131" i="35"/>
  <c r="B132" i="35" s="1"/>
  <c r="B133" i="35" s="1"/>
  <c r="E130" i="35"/>
  <c r="B186" i="36"/>
  <c r="B163" i="34"/>
  <c r="B134" i="35" l="1"/>
  <c r="E133" i="35"/>
  <c r="B110" i="33"/>
  <c r="E109" i="33"/>
  <c r="B164" i="34"/>
  <c r="E163" i="34"/>
  <c r="B187" i="36"/>
  <c r="E110" i="33" l="1"/>
  <c r="B111" i="33"/>
  <c r="B135" i="35"/>
  <c r="E134" i="35"/>
  <c r="B188" i="36"/>
  <c r="B165" i="34"/>
  <c r="B136" i="35" l="1"/>
  <c r="E135" i="35"/>
  <c r="B112" i="33"/>
  <c r="E111" i="33"/>
  <c r="B189" i="36"/>
  <c r="B166" i="34"/>
  <c r="E112" i="33" l="1"/>
  <c r="B113" i="33"/>
  <c r="B114" i="33" s="1"/>
  <c r="B115" i="33" s="1"/>
  <c r="B137" i="35"/>
  <c r="B138" i="35" s="1"/>
  <c r="B139" i="35" s="1"/>
  <c r="E136" i="35"/>
  <c r="B190" i="36"/>
  <c r="B167" i="34"/>
  <c r="E166" i="34"/>
  <c r="B116" i="33" l="1"/>
  <c r="E115" i="33"/>
  <c r="B140" i="35"/>
  <c r="E139" i="35"/>
  <c r="B168" i="34"/>
  <c r="B191" i="36"/>
  <c r="B141" i="35" l="1"/>
  <c r="E140" i="35"/>
  <c r="B117" i="33"/>
  <c r="E116" i="33"/>
  <c r="B192" i="36"/>
  <c r="B169" i="34"/>
  <c r="E117" i="33" l="1"/>
  <c r="B118" i="33"/>
  <c r="B142" i="35"/>
  <c r="E141" i="35"/>
  <c r="B170" i="34"/>
  <c r="E169" i="34"/>
  <c r="B193" i="36"/>
  <c r="E142" i="35" l="1"/>
  <c r="B143" i="35"/>
  <c r="B144" i="35" s="1"/>
  <c r="B145" i="35" s="1"/>
  <c r="B119" i="33"/>
  <c r="E118" i="33"/>
  <c r="B194" i="36"/>
  <c r="B171" i="34"/>
  <c r="B120" i="33" l="1"/>
  <c r="E119" i="33"/>
  <c r="B146" i="35"/>
  <c r="E145" i="35"/>
  <c r="B172" i="34"/>
  <c r="B195" i="36"/>
  <c r="B147" i="35" l="1"/>
  <c r="E146" i="35"/>
  <c r="B121" i="33"/>
  <c r="E120" i="33"/>
  <c r="B196" i="36"/>
  <c r="B173" i="34"/>
  <c r="E172" i="34"/>
  <c r="B122" i="33" l="1"/>
  <c r="E121" i="33"/>
  <c r="E147" i="35"/>
  <c r="B148" i="35"/>
  <c r="B174" i="34"/>
  <c r="B197" i="36"/>
  <c r="E148" i="35" l="1"/>
  <c r="B149" i="35"/>
  <c r="B150" i="35" s="1"/>
  <c r="B151" i="35" s="1"/>
  <c r="B123" i="33"/>
  <c r="E122" i="33"/>
  <c r="B198" i="36"/>
  <c r="B175" i="34"/>
  <c r="B124" i="33" l="1"/>
  <c r="E123" i="33"/>
  <c r="B152" i="35"/>
  <c r="E151" i="35"/>
  <c r="B176" i="34"/>
  <c r="E175" i="34"/>
  <c r="B199" i="36"/>
  <c r="B153" i="35" l="1"/>
  <c r="E152" i="35"/>
  <c r="B125" i="33"/>
  <c r="B126" i="33" s="1"/>
  <c r="B127" i="33" s="1"/>
  <c r="E124" i="33"/>
  <c r="B177" i="34"/>
  <c r="B200" i="36"/>
  <c r="B128" i="33" l="1"/>
  <c r="E127" i="33"/>
  <c r="B154" i="35"/>
  <c r="E153" i="35"/>
  <c r="B201" i="36"/>
  <c r="B178" i="34"/>
  <c r="B155" i="35" l="1"/>
  <c r="B156" i="35" s="1"/>
  <c r="B157" i="35" s="1"/>
  <c r="E154" i="35"/>
  <c r="B129" i="33"/>
  <c r="E128" i="33"/>
  <c r="B179" i="34"/>
  <c r="E178" i="34"/>
  <c r="B202" i="36"/>
  <c r="B130" i="33" l="1"/>
  <c r="E129" i="33"/>
  <c r="B158" i="35"/>
  <c r="E157" i="35"/>
  <c r="B180" i="34"/>
  <c r="B203" i="36"/>
  <c r="E158" i="35" l="1"/>
  <c r="B159" i="35"/>
  <c r="B131" i="33"/>
  <c r="E130" i="33"/>
  <c r="B204" i="36"/>
  <c r="B181" i="34"/>
  <c r="B132" i="33" l="1"/>
  <c r="E131" i="33"/>
  <c r="B160" i="35"/>
  <c r="E159" i="35"/>
  <c r="B182" i="34"/>
  <c r="E181" i="34"/>
  <c r="B205" i="36"/>
  <c r="B161" i="35" l="1"/>
  <c r="B162" i="35" s="1"/>
  <c r="B163" i="35" s="1"/>
  <c r="E160" i="35"/>
  <c r="E132" i="33"/>
  <c r="B133" i="33"/>
  <c r="B206" i="36"/>
  <c r="B183" i="34"/>
  <c r="B134" i="33" l="1"/>
  <c r="E133" i="33"/>
  <c r="B164" i="35"/>
  <c r="E163" i="35"/>
  <c r="B184" i="34"/>
  <c r="B207" i="36"/>
  <c r="B165" i="35" l="1"/>
  <c r="E164" i="35"/>
  <c r="B135" i="33"/>
  <c r="E134" i="33"/>
  <c r="B185" i="34"/>
  <c r="E184" i="34"/>
  <c r="B208" i="36"/>
  <c r="B136" i="33" l="1"/>
  <c r="E135" i="33"/>
  <c r="E165" i="35"/>
  <c r="B166" i="35"/>
  <c r="B209" i="36"/>
  <c r="B186" i="34"/>
  <c r="E166" i="35" l="1"/>
  <c r="B167" i="35"/>
  <c r="B168" i="35" s="1"/>
  <c r="B169" i="35" s="1"/>
  <c r="B137" i="33"/>
  <c r="B138" i="33" s="1"/>
  <c r="B139" i="33" s="1"/>
  <c r="E136" i="33"/>
  <c r="B187" i="34"/>
  <c r="B210" i="36"/>
  <c r="B140" i="33" l="1"/>
  <c r="E139" i="33"/>
  <c r="B170" i="35"/>
  <c r="E169" i="35"/>
  <c r="B211" i="36"/>
  <c r="B188" i="34"/>
  <c r="E187" i="34"/>
  <c r="B171" i="35" l="1"/>
  <c r="E170" i="35"/>
  <c r="B141" i="33"/>
  <c r="E140" i="33"/>
  <c r="B189" i="34"/>
  <c r="B212" i="36"/>
  <c r="B142" i="33" l="1"/>
  <c r="E141" i="33"/>
  <c r="B172" i="35"/>
  <c r="E171" i="35"/>
  <c r="B190" i="34"/>
  <c r="B213" i="36"/>
  <c r="E172" i="35" l="1"/>
  <c r="B173" i="35"/>
  <c r="B174" i="35" s="1"/>
  <c r="B175" i="35" s="1"/>
  <c r="E142" i="33"/>
  <c r="B143" i="33"/>
  <c r="B191" i="34"/>
  <c r="E190" i="34"/>
  <c r="B214" i="36"/>
  <c r="B144" i="33" l="1"/>
  <c r="E143" i="33"/>
  <c r="B176" i="35"/>
  <c r="E175" i="35"/>
  <c r="B192" i="34"/>
  <c r="B215" i="36"/>
  <c r="E176" i="35" l="1"/>
  <c r="B177" i="35"/>
  <c r="B145" i="33"/>
  <c r="E144" i="33"/>
  <c r="B193" i="34"/>
  <c r="B216" i="36"/>
  <c r="B146" i="33" l="1"/>
  <c r="E145" i="33"/>
  <c r="E177" i="35"/>
  <c r="B178" i="35"/>
  <c r="B217" i="36"/>
  <c r="B194" i="34"/>
  <c r="E193" i="34"/>
  <c r="E178" i="35" l="1"/>
  <c r="B179" i="35"/>
  <c r="B180" i="35" s="1"/>
  <c r="B181" i="35" s="1"/>
  <c r="B147" i="33"/>
  <c r="E146" i="33"/>
  <c r="B218" i="36"/>
  <c r="B195" i="34"/>
  <c r="B148" i="33" l="1"/>
  <c r="E147" i="33"/>
  <c r="B182" i="35"/>
  <c r="E181" i="35"/>
  <c r="B219" i="36"/>
  <c r="B196" i="34"/>
  <c r="B183" i="35" l="1"/>
  <c r="E182" i="35"/>
  <c r="E148" i="33"/>
  <c r="B149" i="33"/>
  <c r="B150" i="33" s="1"/>
  <c r="B151" i="33" s="1"/>
  <c r="B197" i="34"/>
  <c r="E196" i="34"/>
  <c r="B220" i="36"/>
  <c r="B152" i="33" l="1"/>
  <c r="E151" i="33"/>
  <c r="B184" i="35"/>
  <c r="E183" i="35"/>
  <c r="B221" i="36"/>
  <c r="B198" i="34"/>
  <c r="E184" i="35" l="1"/>
  <c r="B185" i="35"/>
  <c r="B186" i="35" s="1"/>
  <c r="B187" i="35" s="1"/>
  <c r="E152" i="33"/>
  <c r="B153" i="33"/>
  <c r="B199" i="34"/>
  <c r="B222" i="36"/>
  <c r="B154" i="33" l="1"/>
  <c r="E153" i="33"/>
  <c r="E187" i="35"/>
  <c r="B188" i="35"/>
  <c r="B200" i="34"/>
  <c r="E199" i="34"/>
  <c r="B223" i="36"/>
  <c r="B189" i="35" l="1"/>
  <c r="E188" i="35"/>
  <c r="E154" i="33"/>
  <c r="B155" i="33"/>
  <c r="B224" i="36"/>
  <c r="B201" i="34"/>
  <c r="B156" i="33" l="1"/>
  <c r="E155" i="33"/>
  <c r="B190" i="35"/>
  <c r="E189" i="35"/>
  <c r="B202" i="34"/>
  <c r="B225" i="36"/>
  <c r="B191" i="35" l="1"/>
  <c r="B192" i="35" s="1"/>
  <c r="B193" i="35" s="1"/>
  <c r="E190" i="35"/>
  <c r="B157" i="33"/>
  <c r="E156" i="33"/>
  <c r="B226" i="36"/>
  <c r="B203" i="34"/>
  <c r="E202" i="34"/>
  <c r="B158" i="33" l="1"/>
  <c r="E157" i="33"/>
  <c r="B194" i="35"/>
  <c r="E193" i="35"/>
  <c r="B204" i="34"/>
  <c r="B227" i="36"/>
  <c r="E194" i="35" l="1"/>
  <c r="B195" i="35"/>
  <c r="B159" i="33"/>
  <c r="E158" i="33"/>
  <c r="B228" i="36"/>
  <c r="B205" i="34"/>
  <c r="E159" i="33" l="1"/>
  <c r="B160" i="33"/>
  <c r="B196" i="35"/>
  <c r="E195" i="35"/>
  <c r="B206" i="34"/>
  <c r="E205" i="34"/>
  <c r="B229" i="36"/>
  <c r="E196" i="35" l="1"/>
  <c r="B197" i="35"/>
  <c r="B198" i="35" s="1"/>
  <c r="B199" i="35" s="1"/>
  <c r="E160" i="33"/>
  <c r="B161" i="33"/>
  <c r="B162" i="33" s="1"/>
  <c r="B163" i="33" s="1"/>
  <c r="B230" i="36"/>
  <c r="B207" i="34"/>
  <c r="B164" i="33" l="1"/>
  <c r="E163" i="33"/>
  <c r="B200" i="35"/>
  <c r="E199" i="35"/>
  <c r="B208" i="34"/>
  <c r="B231" i="36"/>
  <c r="E200" i="35" l="1"/>
  <c r="B201" i="35"/>
  <c r="B165" i="33"/>
  <c r="E164" i="33"/>
  <c r="B232" i="36"/>
  <c r="B209" i="34"/>
  <c r="E208" i="34"/>
  <c r="B166" i="33" l="1"/>
  <c r="E165" i="33"/>
  <c r="B202" i="35"/>
  <c r="E201" i="35"/>
  <c r="B210" i="34"/>
  <c r="B233" i="36"/>
  <c r="E202" i="35" l="1"/>
  <c r="B203" i="35"/>
  <c r="B204" i="35" s="1"/>
  <c r="B205" i="35" s="1"/>
  <c r="B167" i="33"/>
  <c r="E166" i="33"/>
  <c r="B234" i="36"/>
  <c r="B211" i="34"/>
  <c r="B168" i="33" l="1"/>
  <c r="E167" i="33"/>
  <c r="E205" i="35"/>
  <c r="B206" i="35"/>
  <c r="B235" i="36"/>
  <c r="B212" i="34"/>
  <c r="E211" i="34"/>
  <c r="E206" i="35" l="1"/>
  <c r="B207" i="35"/>
  <c r="E168" i="33"/>
  <c r="B169" i="33"/>
  <c r="B213" i="34"/>
  <c r="B236" i="36"/>
  <c r="B170" i="33" l="1"/>
  <c r="E169" i="33"/>
  <c r="E207" i="35"/>
  <c r="B208" i="35"/>
  <c r="B237" i="36"/>
  <c r="B214" i="34"/>
  <c r="B209" i="35" l="1"/>
  <c r="B210" i="35" s="1"/>
  <c r="B211" i="35" s="1"/>
  <c r="E211" i="35" s="1"/>
  <c r="E208" i="35"/>
  <c r="B171" i="33"/>
  <c r="E170" i="33"/>
  <c r="B238" i="36"/>
  <c r="B215" i="34"/>
  <c r="E214" i="34"/>
  <c r="B212" i="35" l="1"/>
  <c r="B172" i="33"/>
  <c r="E171" i="33"/>
  <c r="B239" i="36"/>
  <c r="B216" i="34"/>
  <c r="B213" i="35"/>
  <c r="E212" i="35"/>
  <c r="B173" i="33" l="1"/>
  <c r="B174" i="33" s="1"/>
  <c r="B175" i="33" s="1"/>
  <c r="E172" i="33"/>
  <c r="B214" i="35"/>
  <c r="E213" i="35"/>
  <c r="B240" i="36"/>
  <c r="B217" i="34"/>
  <c r="B176" i="33" l="1"/>
  <c r="E175" i="33"/>
  <c r="B241" i="36"/>
  <c r="B218" i="34"/>
  <c r="E217" i="34"/>
  <c r="B215" i="35"/>
  <c r="E214" i="35"/>
  <c r="B177" i="33" l="1"/>
  <c r="E176" i="33"/>
  <c r="B219" i="34"/>
  <c r="B216" i="35"/>
  <c r="B242" i="36"/>
  <c r="B178" i="33" l="1"/>
  <c r="E177" i="33"/>
  <c r="B217" i="35"/>
  <c r="B243" i="36"/>
  <c r="B220" i="34"/>
  <c r="B179" i="33" l="1"/>
  <c r="E178" i="33"/>
  <c r="B221" i="34"/>
  <c r="E220" i="34"/>
  <c r="B218" i="35"/>
  <c r="E217" i="35"/>
  <c r="B244" i="36"/>
  <c r="B180" i="33" l="1"/>
  <c r="E179" i="33"/>
  <c r="B245" i="36"/>
  <c r="B219" i="35"/>
  <c r="E218" i="35"/>
  <c r="B222" i="34"/>
  <c r="E180" i="33" l="1"/>
  <c r="B181" i="33"/>
  <c r="B223" i="34"/>
  <c r="B246" i="36"/>
  <c r="B220" i="35"/>
  <c r="E219" i="35"/>
  <c r="E181" i="33" l="1"/>
  <c r="B182" i="33"/>
  <c r="B221" i="35"/>
  <c r="E220" i="35"/>
  <c r="B224" i="34"/>
  <c r="E223" i="34"/>
  <c r="B247" i="36"/>
  <c r="B183" i="33" l="1"/>
  <c r="E182" i="33"/>
  <c r="B248" i="36"/>
  <c r="B222" i="35"/>
  <c r="B225" i="34"/>
  <c r="B184" i="33" l="1"/>
  <c r="E183" i="33"/>
  <c r="B223" i="35"/>
  <c r="B226" i="34"/>
  <c r="B249" i="36"/>
  <c r="E184" i="33" l="1"/>
  <c r="B185" i="33"/>
  <c r="B186" i="33" s="1"/>
  <c r="B187" i="33" s="1"/>
  <c r="B227" i="34"/>
  <c r="E226" i="34"/>
  <c r="B224" i="35"/>
  <c r="E223" i="35"/>
  <c r="B250" i="36"/>
  <c r="B188" i="33" l="1"/>
  <c r="E187" i="33"/>
  <c r="B225" i="35"/>
  <c r="E224" i="35"/>
  <c r="B251" i="36"/>
  <c r="B228" i="34"/>
  <c r="B189" i="33" l="1"/>
  <c r="E188" i="33"/>
  <c r="B229" i="34"/>
  <c r="B226" i="35"/>
  <c r="E225" i="35"/>
  <c r="B252" i="36"/>
  <c r="B190" i="33" l="1"/>
  <c r="E189" i="33"/>
  <c r="B253" i="36"/>
  <c r="B230" i="34"/>
  <c r="E229" i="34"/>
  <c r="B227" i="35"/>
  <c r="E226" i="35"/>
  <c r="E190" i="33" l="1"/>
  <c r="B191" i="33"/>
  <c r="B228" i="35"/>
  <c r="B231" i="34"/>
  <c r="B254" i="36"/>
  <c r="B192" i="33" l="1"/>
  <c r="E191" i="33"/>
  <c r="B232" i="34"/>
  <c r="B255" i="36"/>
  <c r="B229" i="35"/>
  <c r="B193" i="33" l="1"/>
  <c r="E192" i="33"/>
  <c r="B230" i="35"/>
  <c r="E229" i="35"/>
  <c r="B233" i="34"/>
  <c r="E232" i="34"/>
  <c r="B256" i="36"/>
  <c r="E193" i="33" l="1"/>
  <c r="B194" i="33"/>
  <c r="B234" i="34"/>
  <c r="B257" i="36"/>
  <c r="B231" i="35"/>
  <c r="E230" i="35"/>
  <c r="B195" i="33" l="1"/>
  <c r="E194" i="33"/>
  <c r="B232" i="35"/>
  <c r="E231" i="35"/>
  <c r="B258" i="36"/>
  <c r="B235" i="34"/>
  <c r="B196" i="33" l="1"/>
  <c r="E195" i="33"/>
  <c r="B236" i="34"/>
  <c r="E235" i="34"/>
  <c r="B259" i="36"/>
  <c r="B233" i="35"/>
  <c r="E232" i="35"/>
  <c r="E196" i="33" l="1"/>
  <c r="B197" i="33"/>
  <c r="B198" i="33" s="1"/>
  <c r="B199" i="33" s="1"/>
  <c r="B260" i="36"/>
  <c r="B234" i="35"/>
  <c r="B237" i="34"/>
  <c r="B200" i="33" l="1"/>
  <c r="E199" i="33"/>
  <c r="B238" i="34"/>
  <c r="B235" i="35"/>
  <c r="B261" i="36"/>
  <c r="B201" i="33" l="1"/>
  <c r="E200" i="33"/>
  <c r="B236" i="35"/>
  <c r="E235" i="35"/>
  <c r="B262" i="36"/>
  <c r="B239" i="34"/>
  <c r="E238" i="34"/>
  <c r="E201" i="33" l="1"/>
  <c r="B202" i="33"/>
  <c r="B240" i="34"/>
  <c r="B263" i="36"/>
  <c r="B237" i="35"/>
  <c r="E236" i="35"/>
  <c r="E202" i="33" l="1"/>
  <c r="B203" i="33"/>
  <c r="B238" i="35"/>
  <c r="E237" i="35"/>
  <c r="B264" i="36"/>
  <c r="B241" i="34"/>
  <c r="B204" i="33" l="1"/>
  <c r="E203" i="33"/>
  <c r="B242" i="34"/>
  <c r="E241" i="34"/>
  <c r="B265" i="36"/>
  <c r="B239" i="35"/>
  <c r="E238" i="35"/>
  <c r="B205" i="33" l="1"/>
  <c r="E204" i="33"/>
  <c r="B240" i="35"/>
  <c r="B266" i="36"/>
  <c r="B243" i="34"/>
  <c r="B206" i="33" l="1"/>
  <c r="E205" i="33"/>
  <c r="B244" i="34"/>
  <c r="B267" i="36"/>
  <c r="B241" i="35"/>
  <c r="B207" i="33" l="1"/>
  <c r="E206" i="33"/>
  <c r="B242" i="35"/>
  <c r="E241" i="35"/>
  <c r="B268" i="36"/>
  <c r="B245" i="34"/>
  <c r="E244" i="34"/>
  <c r="E207" i="33" l="1"/>
  <c r="B208" i="33"/>
  <c r="B246" i="34"/>
  <c r="B269" i="36"/>
  <c r="B243" i="35"/>
  <c r="E242" i="35"/>
  <c r="E208" i="33" l="1"/>
  <c r="B209" i="33"/>
  <c r="B210" i="33" s="1"/>
  <c r="B211" i="33" s="1"/>
  <c r="B244" i="35"/>
  <c r="E243" i="35"/>
  <c r="B270" i="36"/>
  <c r="B247" i="34"/>
  <c r="E211" i="33" l="1"/>
  <c r="B212" i="33"/>
  <c r="B248" i="34"/>
  <c r="E247" i="34"/>
  <c r="B245" i="35"/>
  <c r="E244" i="35"/>
  <c r="B271" i="36"/>
  <c r="B213" i="33" l="1"/>
  <c r="E212" i="33"/>
  <c r="B272" i="36"/>
  <c r="B249" i="34"/>
  <c r="B246" i="35"/>
  <c r="B214" i="33" l="1"/>
  <c r="E213" i="33"/>
  <c r="B247" i="35"/>
  <c r="B273" i="36"/>
  <c r="B250" i="34"/>
  <c r="B215" i="33" l="1"/>
  <c r="E214" i="33"/>
  <c r="B251" i="34"/>
  <c r="E250" i="34"/>
  <c r="B274" i="36"/>
  <c r="B248" i="35"/>
  <c r="E247" i="35"/>
  <c r="B216" i="33" l="1"/>
  <c r="E215" i="33"/>
  <c r="B249" i="35"/>
  <c r="E248" i="35"/>
  <c r="B275" i="36"/>
  <c r="B252" i="34"/>
  <c r="B217" i="33" l="1"/>
  <c r="E216" i="33"/>
  <c r="B253" i="34"/>
  <c r="B276" i="36"/>
  <c r="B250" i="35"/>
  <c r="E249" i="35"/>
  <c r="E217" i="33" l="1"/>
  <c r="B218" i="33"/>
  <c r="B251" i="35"/>
  <c r="E250" i="35"/>
  <c r="B277" i="36"/>
  <c r="B254" i="34"/>
  <c r="E253" i="34"/>
  <c r="B219" i="33" l="1"/>
  <c r="E218" i="33"/>
  <c r="B255" i="34"/>
  <c r="B278" i="36"/>
  <c r="B252" i="35"/>
  <c r="B220" i="33" l="1"/>
  <c r="E219" i="33"/>
  <c r="B253" i="35"/>
  <c r="B279" i="36"/>
  <c r="B256" i="34"/>
  <c r="B221" i="33" l="1"/>
  <c r="B222" i="33" s="1"/>
  <c r="B223" i="33" s="1"/>
  <c r="E220" i="33"/>
  <c r="B280" i="36"/>
  <c r="B254" i="35"/>
  <c r="E253" i="35"/>
  <c r="B257" i="34"/>
  <c r="E256" i="34"/>
  <c r="B224" i="33" l="1"/>
  <c r="E223" i="33"/>
  <c r="B255" i="35"/>
  <c r="E254" i="35"/>
  <c r="B258" i="34"/>
  <c r="B281" i="36"/>
  <c r="B225" i="33" l="1"/>
  <c r="E224" i="33"/>
  <c r="B259" i="34"/>
  <c r="B282" i="36"/>
  <c r="B256" i="35"/>
  <c r="E255" i="35"/>
  <c r="B226" i="33" l="1"/>
  <c r="E225" i="33"/>
  <c r="B283" i="36"/>
  <c r="B257" i="35"/>
  <c r="E256" i="35"/>
  <c r="B260" i="34"/>
  <c r="E259" i="34"/>
  <c r="E226" i="33" l="1"/>
  <c r="B227" i="33"/>
  <c r="B258" i="35"/>
  <c r="B261" i="34"/>
  <c r="B284" i="36"/>
  <c r="B228" i="33" l="1"/>
  <c r="E227" i="33"/>
  <c r="B259" i="35"/>
  <c r="B285" i="36"/>
  <c r="B262" i="34"/>
  <c r="B229" i="33" l="1"/>
  <c r="E228" i="33"/>
  <c r="B286" i="36"/>
  <c r="B260" i="35"/>
  <c r="E259" i="35"/>
  <c r="B263" i="34"/>
  <c r="E262" i="34"/>
  <c r="B230" i="33" l="1"/>
  <c r="E229" i="33"/>
  <c r="B264" i="34"/>
  <c r="B261" i="35"/>
  <c r="E260" i="35"/>
  <c r="B287" i="36"/>
  <c r="B231" i="33" l="1"/>
  <c r="E230" i="33"/>
  <c r="B288" i="36"/>
  <c r="B265" i="34"/>
  <c r="B262" i="35"/>
  <c r="E261" i="35"/>
  <c r="E231" i="33" l="1"/>
  <c r="B232" i="33"/>
  <c r="B263" i="35"/>
  <c r="E262" i="35"/>
  <c r="B266" i="34"/>
  <c r="E265" i="34"/>
  <c r="B289" i="36"/>
  <c r="E232" i="33" l="1"/>
  <c r="B233" i="33"/>
  <c r="B234" i="33" s="1"/>
  <c r="B235" i="33" s="1"/>
  <c r="B290" i="36"/>
  <c r="B267" i="34"/>
  <c r="B264" i="35"/>
  <c r="B236" i="33" l="1"/>
  <c r="E235" i="33"/>
  <c r="B265" i="35"/>
  <c r="B291" i="36"/>
  <c r="B268" i="34"/>
  <c r="B237" i="33" l="1"/>
  <c r="E236" i="33"/>
  <c r="B269" i="34"/>
  <c r="E268" i="34"/>
  <c r="B292" i="36"/>
  <c r="B266" i="35"/>
  <c r="E265" i="35"/>
  <c r="B238" i="33" l="1"/>
  <c r="E237" i="33"/>
  <c r="B267" i="35"/>
  <c r="E266" i="35"/>
  <c r="B270" i="34"/>
  <c r="B293" i="36"/>
  <c r="E238" i="33" l="1"/>
  <c r="B239" i="33"/>
  <c r="B294" i="36"/>
  <c r="B271" i="34"/>
  <c r="B268" i="35"/>
  <c r="E267" i="35"/>
  <c r="B240" i="33" l="1"/>
  <c r="E239" i="33"/>
  <c r="B269" i="35"/>
  <c r="E268" i="35"/>
  <c r="B272" i="34"/>
  <c r="E271" i="34"/>
  <c r="B295" i="36"/>
  <c r="B241" i="33" l="1"/>
  <c r="E240" i="33"/>
  <c r="B273" i="34"/>
  <c r="B296" i="36"/>
  <c r="B270" i="35"/>
  <c r="B242" i="33" l="1"/>
  <c r="E241" i="33"/>
  <c r="B271" i="35"/>
  <c r="B274" i="34"/>
  <c r="B297" i="36"/>
  <c r="B243" i="33" l="1"/>
  <c r="E242" i="33"/>
  <c r="B298" i="36"/>
  <c r="B275" i="34"/>
  <c r="E274" i="34"/>
  <c r="B272" i="35"/>
  <c r="E271" i="35"/>
  <c r="B244" i="33" l="1"/>
  <c r="E243" i="33"/>
  <c r="B276" i="34"/>
  <c r="B273" i="35"/>
  <c r="E272" i="35"/>
  <c r="B299" i="36"/>
  <c r="E244" i="33" l="1"/>
  <c r="B245" i="33"/>
  <c r="B246" i="33" s="1"/>
  <c r="B247" i="33" s="1"/>
  <c r="B300" i="36"/>
  <c r="B274" i="35"/>
  <c r="E273" i="35"/>
  <c r="B277" i="34"/>
  <c r="B248" i="33" l="1"/>
  <c r="E247" i="33"/>
  <c r="B278" i="34"/>
  <c r="E277" i="34"/>
  <c r="B301" i="36"/>
  <c r="B275" i="35"/>
  <c r="E274" i="35"/>
  <c r="E248" i="33" l="1"/>
  <c r="B249" i="33"/>
  <c r="B276" i="35"/>
  <c r="B302" i="36"/>
  <c r="B279" i="34"/>
  <c r="B250" i="33" l="1"/>
  <c r="E249" i="33"/>
  <c r="B280" i="34"/>
  <c r="B303" i="36"/>
  <c r="B277" i="35"/>
  <c r="B251" i="33" l="1"/>
  <c r="E250" i="33"/>
  <c r="B304" i="36"/>
  <c r="B278" i="35"/>
  <c r="E277" i="35"/>
  <c r="B281" i="34"/>
  <c r="E280" i="34"/>
  <c r="E251" i="33" l="1"/>
  <c r="B252" i="33"/>
  <c r="B282" i="34"/>
  <c r="B279" i="35"/>
  <c r="E278" i="35"/>
  <c r="B305" i="36"/>
  <c r="B253" i="33" l="1"/>
  <c r="E252" i="33"/>
  <c r="B306" i="36"/>
  <c r="B280" i="35"/>
  <c r="E279" i="35"/>
  <c r="B283" i="34"/>
  <c r="B254" i="33" l="1"/>
  <c r="E253" i="33"/>
  <c r="B284" i="34"/>
  <c r="E283" i="34"/>
  <c r="B281" i="35"/>
  <c r="E280" i="35"/>
  <c r="B307" i="36"/>
  <c r="E254" i="33" l="1"/>
  <c r="B255" i="33"/>
  <c r="B308" i="36"/>
  <c r="B282" i="35"/>
  <c r="B285" i="34"/>
  <c r="E255" i="33" l="1"/>
  <c r="B256" i="33"/>
  <c r="B283" i="35"/>
  <c r="B286" i="34"/>
  <c r="B309" i="36"/>
  <c r="E256" i="33" l="1"/>
  <c r="B257" i="33"/>
  <c r="B258" i="33" s="1"/>
  <c r="B259" i="33" s="1"/>
  <c r="B310" i="36"/>
  <c r="B287" i="34"/>
  <c r="E286" i="34"/>
  <c r="B284" i="35"/>
  <c r="E283" i="35"/>
  <c r="B260" i="33" l="1"/>
  <c r="E259" i="33"/>
  <c r="B285" i="35"/>
  <c r="E284" i="35"/>
  <c r="B288" i="34"/>
  <c r="B311" i="36"/>
  <c r="E260" i="33" l="1"/>
  <c r="B261" i="33"/>
  <c r="B312" i="36"/>
  <c r="B289" i="34"/>
  <c r="B286" i="35"/>
  <c r="E285" i="35"/>
  <c r="B262" i="33" l="1"/>
  <c r="E261" i="33"/>
  <c r="B287" i="35"/>
  <c r="E286" i="35"/>
  <c r="B290" i="34"/>
  <c r="E289" i="34"/>
  <c r="B313" i="36"/>
  <c r="E262" i="33" l="1"/>
  <c r="B263" i="33"/>
  <c r="B314" i="36"/>
  <c r="B291" i="34"/>
  <c r="B288" i="35"/>
  <c r="B264" i="33" l="1"/>
  <c r="E263" i="33"/>
  <c r="B289" i="35"/>
  <c r="B315" i="36"/>
  <c r="B292" i="34"/>
  <c r="B265" i="33" l="1"/>
  <c r="E264" i="33"/>
  <c r="B293" i="34"/>
  <c r="E292" i="34"/>
  <c r="B316" i="36"/>
  <c r="B290" i="35"/>
  <c r="E289" i="35"/>
  <c r="E265" i="33" l="1"/>
  <c r="B266" i="33"/>
  <c r="B291" i="35"/>
  <c r="E290" i="35"/>
  <c r="B294" i="34"/>
  <c r="B317" i="36"/>
  <c r="B267" i="33" l="1"/>
  <c r="E266" i="33"/>
  <c r="B295" i="34"/>
  <c r="B318" i="36"/>
  <c r="B292" i="35"/>
  <c r="E291" i="35"/>
  <c r="E267" i="33" l="1"/>
  <c r="B268" i="33"/>
  <c r="B293" i="35"/>
  <c r="E292" i="35"/>
  <c r="B319" i="36"/>
  <c r="B296" i="34"/>
  <c r="E295" i="34"/>
  <c r="E268" i="33" l="1"/>
  <c r="B269" i="33"/>
  <c r="B270" i="33" s="1"/>
  <c r="B271" i="33" s="1"/>
  <c r="B294" i="35"/>
  <c r="B297" i="34"/>
  <c r="B320" i="36"/>
  <c r="E271" i="33" l="1"/>
  <c r="B272" i="33"/>
  <c r="B295" i="35"/>
  <c r="B321" i="36"/>
  <c r="B298" i="34"/>
  <c r="B273" i="33" l="1"/>
  <c r="E272" i="33"/>
  <c r="B299" i="34"/>
  <c r="E298" i="34"/>
  <c r="B296" i="35"/>
  <c r="E295" i="35"/>
  <c r="B322" i="36"/>
  <c r="B274" i="33" l="1"/>
  <c r="E273" i="33"/>
  <c r="B323" i="36"/>
  <c r="B297" i="35"/>
  <c r="E296" i="35"/>
  <c r="B300" i="34"/>
  <c r="E274" i="33" l="1"/>
  <c r="B275" i="33"/>
  <c r="B324" i="36"/>
  <c r="B301" i="34"/>
  <c r="B298" i="35"/>
  <c r="E297" i="35"/>
  <c r="B276" i="33" l="1"/>
  <c r="E275" i="33"/>
  <c r="B299" i="35"/>
  <c r="E298" i="35"/>
  <c r="B325" i="36"/>
  <c r="B302" i="34"/>
  <c r="E301" i="34"/>
  <c r="E276" i="33" l="1"/>
  <c r="B277" i="33"/>
  <c r="B303" i="34"/>
  <c r="B326" i="36"/>
  <c r="B300" i="35"/>
  <c r="B278" i="33" l="1"/>
  <c r="E277" i="33"/>
  <c r="B301" i="35"/>
  <c r="B327" i="36"/>
  <c r="B304" i="34"/>
  <c r="B279" i="33" l="1"/>
  <c r="E278" i="33"/>
  <c r="B305" i="34"/>
  <c r="E304" i="34"/>
  <c r="B328" i="36"/>
  <c r="B302" i="35"/>
  <c r="E301" i="35"/>
  <c r="B280" i="33" l="1"/>
  <c r="E279" i="33"/>
  <c r="B303" i="35"/>
  <c r="E302" i="35"/>
  <c r="B329" i="36"/>
  <c r="B306" i="34"/>
  <c r="E280" i="33" l="1"/>
  <c r="B281" i="33"/>
  <c r="B282" i="33" s="1"/>
  <c r="B283" i="33" s="1"/>
  <c r="B330" i="36"/>
  <c r="B307" i="34"/>
  <c r="B304" i="35"/>
  <c r="E303" i="35"/>
  <c r="B284" i="33" l="1"/>
  <c r="E283" i="33"/>
  <c r="B305" i="35"/>
  <c r="E304" i="35"/>
  <c r="B308" i="34"/>
  <c r="E307" i="34"/>
  <c r="B331" i="36"/>
  <c r="E284" i="33" l="1"/>
  <c r="B285" i="33"/>
  <c r="B309" i="34"/>
  <c r="B332" i="36"/>
  <c r="B306" i="35"/>
  <c r="E285" i="33" l="1"/>
  <c r="B286" i="33"/>
  <c r="B333" i="36"/>
  <c r="B307" i="35"/>
  <c r="B310" i="34"/>
  <c r="B287" i="33" l="1"/>
  <c r="E286" i="33"/>
  <c r="B308" i="35"/>
  <c r="E307" i="35"/>
  <c r="B311" i="34"/>
  <c r="E310" i="34"/>
  <c r="B334" i="36"/>
  <c r="E287" i="33" l="1"/>
  <c r="B288" i="33"/>
  <c r="B335" i="36"/>
  <c r="B312" i="34"/>
  <c r="B309" i="35"/>
  <c r="E308" i="35"/>
  <c r="B289" i="33" l="1"/>
  <c r="E288" i="33"/>
  <c r="B310" i="35"/>
  <c r="E309" i="35"/>
  <c r="B313" i="34"/>
  <c r="B336" i="36"/>
  <c r="B290" i="33" l="1"/>
  <c r="E289" i="33"/>
  <c r="B337" i="36"/>
  <c r="B314" i="34"/>
  <c r="E313" i="34"/>
  <c r="B311" i="35"/>
  <c r="E310" i="35"/>
  <c r="E290" i="33" l="1"/>
  <c r="B291" i="33"/>
  <c r="B312" i="35"/>
  <c r="B315" i="34"/>
  <c r="B338" i="36"/>
  <c r="E291" i="33" l="1"/>
  <c r="B292" i="33"/>
  <c r="B339" i="36"/>
  <c r="B313" i="35"/>
  <c r="B316" i="34"/>
  <c r="E292" i="33" l="1"/>
  <c r="B293" i="33"/>
  <c r="B294" i="33" s="1"/>
  <c r="B295" i="33" s="1"/>
  <c r="B317" i="34"/>
  <c r="E316" i="34"/>
  <c r="B314" i="35"/>
  <c r="E313" i="35"/>
  <c r="B340" i="36"/>
  <c r="E295" i="33" l="1"/>
  <c r="B296" i="33"/>
  <c r="B341" i="36"/>
  <c r="B315" i="35"/>
  <c r="E314" i="35"/>
  <c r="B318" i="34"/>
  <c r="E296" i="33" l="1"/>
  <c r="B297" i="33"/>
  <c r="B319" i="34"/>
  <c r="B316" i="35"/>
  <c r="E315" i="35"/>
  <c r="B342" i="36"/>
  <c r="E297" i="33" l="1"/>
  <c r="B298" i="33"/>
  <c r="B317" i="35"/>
  <c r="E316" i="35"/>
  <c r="B343" i="36"/>
  <c r="B320" i="34"/>
  <c r="E319" i="34"/>
  <c r="E298" i="33" l="1"/>
  <c r="B299" i="33"/>
  <c r="B344" i="36"/>
  <c r="B318" i="35"/>
  <c r="B321" i="34"/>
  <c r="E299" i="33" l="1"/>
  <c r="B300" i="33"/>
  <c r="B319" i="35"/>
  <c r="E319" i="35" s="1"/>
  <c r="B322" i="34"/>
  <c r="B345" i="36"/>
  <c r="B301" i="33" l="1"/>
  <c r="E300" i="33"/>
  <c r="B323" i="34"/>
  <c r="E322" i="34"/>
  <c r="B346" i="36"/>
  <c r="B320" i="35"/>
  <c r="E320" i="35" s="1"/>
  <c r="B302" i="33" l="1"/>
  <c r="E301" i="33"/>
  <c r="B347" i="36"/>
  <c r="B321" i="35"/>
  <c r="E321" i="35" s="1"/>
  <c r="B324" i="34"/>
  <c r="B303" i="33" l="1"/>
  <c r="E302" i="33"/>
  <c r="B325" i="34"/>
  <c r="B348" i="36"/>
  <c r="B322" i="35"/>
  <c r="E322" i="35" s="1"/>
  <c r="E303" i="33" l="1"/>
  <c r="B304" i="33"/>
  <c r="B326" i="34"/>
  <c r="E325" i="34"/>
  <c r="B323" i="35"/>
  <c r="B349" i="36"/>
  <c r="E304" i="33" l="1"/>
  <c r="B305" i="33"/>
  <c r="B306" i="33" s="1"/>
  <c r="B307" i="33" s="1"/>
  <c r="B350" i="36"/>
  <c r="B327" i="34"/>
  <c r="B324" i="35"/>
  <c r="B308" i="33" l="1"/>
  <c r="E307" i="33"/>
  <c r="B325" i="35"/>
  <c r="E325" i="35" s="1"/>
  <c r="B328" i="34"/>
  <c r="B351" i="36"/>
  <c r="B309" i="33" l="1"/>
  <c r="E308" i="33"/>
  <c r="B352" i="36"/>
  <c r="B326" i="35"/>
  <c r="E326" i="35" s="1"/>
  <c r="B329" i="34"/>
  <c r="E328" i="34"/>
  <c r="B310" i="33" l="1"/>
  <c r="E309" i="33"/>
  <c r="B353" i="36"/>
  <c r="B330" i="34"/>
  <c r="B327" i="35"/>
  <c r="E327" i="35" s="1"/>
  <c r="B311" i="33" l="1"/>
  <c r="E310" i="33"/>
  <c r="B331" i="34"/>
  <c r="B354" i="36"/>
  <c r="B328" i="35"/>
  <c r="E328" i="35" s="1"/>
  <c r="B312" i="33" l="1"/>
  <c r="E311" i="33"/>
  <c r="B355" i="36"/>
  <c r="B329" i="35"/>
  <c r="B332" i="34"/>
  <c r="E331" i="34"/>
  <c r="E312" i="33" l="1"/>
  <c r="B313" i="33"/>
  <c r="B333" i="34"/>
  <c r="B356" i="36"/>
  <c r="B330" i="35"/>
  <c r="B314" i="33" l="1"/>
  <c r="E313" i="33"/>
  <c r="B331" i="35"/>
  <c r="E331" i="35" s="1"/>
  <c r="B357" i="36"/>
  <c r="B334" i="34"/>
  <c r="B315" i="33" l="1"/>
  <c r="E314" i="33"/>
  <c r="B335" i="34"/>
  <c r="E334" i="34"/>
  <c r="B332" i="35"/>
  <c r="E332" i="35" s="1"/>
  <c r="B358" i="36"/>
  <c r="B316" i="33" l="1"/>
  <c r="E315" i="33"/>
  <c r="B333" i="35"/>
  <c r="E333" i="35" s="1"/>
  <c r="B359" i="36"/>
  <c r="B336" i="34"/>
  <c r="E316" i="33" l="1"/>
  <c r="B317" i="33"/>
  <c r="B318" i="33" s="1"/>
  <c r="B319" i="33" s="1"/>
  <c r="B360" i="36"/>
  <c r="B337" i="34"/>
  <c r="B334" i="35"/>
  <c r="E334" i="35" s="1"/>
  <c r="B320" i="33" l="1"/>
  <c r="E319" i="33"/>
  <c r="B335" i="35"/>
  <c r="B338" i="34"/>
  <c r="E337" i="34"/>
  <c r="B361" i="36"/>
  <c r="B321" i="33" l="1"/>
  <c r="E320" i="33"/>
  <c r="B362" i="36"/>
  <c r="B339" i="34"/>
  <c r="B336" i="35"/>
  <c r="E321" i="33" l="1"/>
  <c r="B322" i="33"/>
  <c r="B337" i="35"/>
  <c r="E337" i="35" s="1"/>
  <c r="B340" i="34"/>
  <c r="B363" i="36"/>
  <c r="B323" i="33" l="1"/>
  <c r="E322" i="33"/>
  <c r="B341" i="34"/>
  <c r="E340" i="34"/>
  <c r="B364" i="36"/>
  <c r="B338" i="35"/>
  <c r="E338" i="35" s="1"/>
  <c r="E323" i="33" l="1"/>
  <c r="B324" i="33"/>
  <c r="B339" i="35"/>
  <c r="E339" i="35" s="1"/>
  <c r="B365" i="36"/>
  <c r="B342" i="34"/>
  <c r="B325" i="33" l="1"/>
  <c r="E324" i="33"/>
  <c r="B343" i="34"/>
  <c r="B366" i="36"/>
  <c r="B340" i="35"/>
  <c r="E340" i="35" s="1"/>
  <c r="B326" i="33" l="1"/>
  <c r="E325" i="33"/>
  <c r="B367" i="36"/>
  <c r="B344" i="34"/>
  <c r="E343" i="34"/>
  <c r="B341" i="35"/>
  <c r="B327" i="33" l="1"/>
  <c r="E326" i="33"/>
  <c r="B345" i="34"/>
  <c r="B342" i="35"/>
  <c r="B368" i="36"/>
  <c r="B328" i="33" l="1"/>
  <c r="E327" i="33"/>
  <c r="B369" i="36"/>
  <c r="B346" i="34"/>
  <c r="B343" i="35"/>
  <c r="E343" i="35" s="1"/>
  <c r="B329" i="33" l="1"/>
  <c r="B330" i="33" s="1"/>
  <c r="B331" i="33" s="1"/>
  <c r="E328" i="33"/>
  <c r="B347" i="34"/>
  <c r="E346" i="34"/>
  <c r="B344" i="35"/>
  <c r="E344" i="35" s="1"/>
  <c r="B370" i="36"/>
  <c r="E331" i="33" l="1"/>
  <c r="B332" i="33"/>
  <c r="B345" i="35"/>
  <c r="E345" i="35" s="1"/>
  <c r="B371" i="36"/>
  <c r="B348" i="34"/>
  <c r="E332" i="33" l="1"/>
  <c r="B333" i="33"/>
  <c r="B349" i="34"/>
  <c r="B372" i="36"/>
  <c r="B346" i="35"/>
  <c r="E346" i="35" s="1"/>
  <c r="B334" i="33" l="1"/>
  <c r="E333" i="33"/>
  <c r="B373" i="36"/>
  <c r="B347" i="35"/>
  <c r="B350" i="34"/>
  <c r="E349" i="34"/>
  <c r="B335" i="33" l="1"/>
  <c r="E334" i="33"/>
  <c r="B348" i="35"/>
  <c r="B351" i="34"/>
  <c r="B374" i="36"/>
  <c r="B336" i="33" l="1"/>
  <c r="E335" i="33"/>
  <c r="B375" i="36"/>
  <c r="B352" i="34"/>
  <c r="B349" i="35"/>
  <c r="E349" i="35" s="1"/>
  <c r="B337" i="33" l="1"/>
  <c r="E336" i="33"/>
  <c r="B350" i="35"/>
  <c r="E350" i="35" s="1"/>
  <c r="B353" i="34"/>
  <c r="E352" i="34"/>
  <c r="B376" i="36"/>
  <c r="E337" i="33" l="1"/>
  <c r="B338" i="33"/>
  <c r="B377" i="36"/>
  <c r="B351" i="35"/>
  <c r="E351" i="35" s="1"/>
  <c r="B354" i="34"/>
  <c r="B339" i="33" l="1"/>
  <c r="E338" i="33"/>
  <c r="B355" i="34"/>
  <c r="B352" i="35"/>
  <c r="E352" i="35" s="1"/>
  <c r="B378" i="36"/>
  <c r="B340" i="33" l="1"/>
  <c r="E339" i="33"/>
  <c r="B379" i="36"/>
  <c r="B353" i="35"/>
  <c r="B356" i="34"/>
  <c r="E355" i="34"/>
  <c r="E340" i="33" l="1"/>
  <c r="B341" i="33"/>
  <c r="B342" i="33" s="1"/>
  <c r="B343" i="33" s="1"/>
  <c r="B354" i="35"/>
  <c r="B357" i="34"/>
  <c r="B380" i="36"/>
  <c r="B344" i="33" l="1"/>
  <c r="E343" i="33"/>
  <c r="B381" i="36"/>
  <c r="B355" i="35"/>
  <c r="E355" i="35" s="1"/>
  <c r="B358" i="34"/>
  <c r="E344" i="33" l="1"/>
  <c r="B345" i="33"/>
  <c r="B359" i="34"/>
  <c r="E358" i="34"/>
  <c r="B356" i="35"/>
  <c r="E356" i="35" s="1"/>
  <c r="B382" i="36"/>
  <c r="B346" i="33" l="1"/>
  <c r="E345" i="33"/>
  <c r="B383" i="36"/>
  <c r="B357" i="35"/>
  <c r="E357" i="35" s="1"/>
  <c r="B360" i="34"/>
  <c r="B347" i="33" l="1"/>
  <c r="E346" i="33"/>
  <c r="B358" i="35"/>
  <c r="E358" i="35" s="1"/>
  <c r="B361" i="34"/>
  <c r="B384" i="36"/>
  <c r="E347" i="33" l="1"/>
  <c r="B348" i="33"/>
  <c r="B385" i="36"/>
  <c r="B362" i="34"/>
  <c r="E361" i="34"/>
  <c r="B359" i="35"/>
  <c r="B349" i="33" l="1"/>
  <c r="E348" i="33"/>
  <c r="B363" i="34"/>
  <c r="B360" i="35"/>
  <c r="B386" i="36"/>
  <c r="B350" i="33" l="1"/>
  <c r="E349" i="33"/>
  <c r="B387" i="36"/>
  <c r="B364" i="34"/>
  <c r="B361" i="35"/>
  <c r="E361" i="35" s="1"/>
  <c r="B351" i="33" l="1"/>
  <c r="E350" i="33"/>
  <c r="B362" i="35"/>
  <c r="E362" i="35" s="1"/>
  <c r="B365" i="34"/>
  <c r="E364" i="34"/>
  <c r="B388" i="36"/>
  <c r="B352" i="33" l="1"/>
  <c r="E351" i="33"/>
  <c r="B366" i="34"/>
  <c r="B389" i="36"/>
  <c r="B363" i="35"/>
  <c r="E363" i="35" s="1"/>
  <c r="E352" i="33" l="1"/>
  <c r="B353" i="33"/>
  <c r="B354" i="33" s="1"/>
  <c r="B355" i="33" s="1"/>
  <c r="B364" i="35"/>
  <c r="E364" i="35" s="1"/>
  <c r="B367" i="34"/>
  <c r="B390" i="36"/>
  <c r="B356" i="33" l="1"/>
  <c r="E355" i="33"/>
  <c r="B391" i="36"/>
  <c r="B368" i="34"/>
  <c r="E367" i="34"/>
  <c r="B365" i="35"/>
  <c r="E356" i="33" l="1"/>
  <c r="B357" i="33"/>
  <c r="B366" i="35"/>
  <c r="B369" i="34"/>
  <c r="B392" i="36"/>
  <c r="B358" i="33" l="1"/>
  <c r="E357" i="33"/>
  <c r="B367" i="35"/>
  <c r="E367" i="35" s="1"/>
  <c r="B393" i="36"/>
  <c r="B370" i="34"/>
  <c r="B359" i="33" l="1"/>
  <c r="E358" i="33"/>
  <c r="B371" i="34"/>
  <c r="E370" i="34"/>
  <c r="B368" i="35"/>
  <c r="E368" i="35" s="1"/>
  <c r="B394" i="36"/>
  <c r="E359" i="33" l="1"/>
  <c r="B360" i="33"/>
  <c r="B369" i="35"/>
  <c r="E369" i="35" s="1"/>
  <c r="B395" i="36"/>
  <c r="B372" i="34"/>
  <c r="B361" i="33" l="1"/>
  <c r="E360" i="33"/>
  <c r="B396" i="36"/>
  <c r="B373" i="34"/>
  <c r="B370" i="35"/>
  <c r="E370" i="35" s="1"/>
  <c r="E361" i="33" l="1"/>
  <c r="B362" i="33"/>
  <c r="B371" i="35"/>
  <c r="B397" i="36"/>
  <c r="B374" i="34"/>
  <c r="E373" i="34"/>
  <c r="E362" i="33" l="1"/>
  <c r="B363" i="33"/>
  <c r="B398" i="36"/>
  <c r="B375" i="34"/>
  <c r="B372" i="35"/>
  <c r="B364" i="33" l="1"/>
  <c r="E363" i="33"/>
  <c r="B376" i="34"/>
  <c r="B373" i="35"/>
  <c r="E373" i="35" s="1"/>
  <c r="B399" i="36"/>
  <c r="E364" i="33" l="1"/>
  <c r="B365" i="33"/>
  <c r="B366" i="33" s="1"/>
  <c r="B367" i="33" s="1"/>
  <c r="B400" i="36"/>
  <c r="B377" i="34"/>
  <c r="E376" i="34"/>
  <c r="B374" i="35"/>
  <c r="E374" i="35" s="1"/>
  <c r="B368" i="33" l="1"/>
  <c r="E367" i="33"/>
  <c r="B378" i="34"/>
  <c r="B375" i="35"/>
  <c r="E375" i="35" s="1"/>
  <c r="B401" i="36"/>
  <c r="E368" i="33" l="1"/>
  <c r="B369" i="33"/>
  <c r="B376" i="35"/>
  <c r="E376" i="35" s="1"/>
  <c r="B402" i="36"/>
  <c r="B379" i="34"/>
  <c r="B370" i="33" l="1"/>
  <c r="E369" i="33"/>
  <c r="B380" i="34"/>
  <c r="E379" i="34"/>
  <c r="B403" i="36"/>
  <c r="B377" i="35"/>
  <c r="B371" i="33" l="1"/>
  <c r="E370" i="33"/>
  <c r="B381" i="34"/>
  <c r="B378" i="35"/>
  <c r="B404" i="36"/>
  <c r="B372" i="33" l="1"/>
  <c r="E371" i="33"/>
  <c r="B405" i="36"/>
  <c r="B379" i="35"/>
  <c r="E379" i="35" s="1"/>
  <c r="B382" i="34"/>
  <c r="B373" i="33" l="1"/>
  <c r="E372" i="33"/>
  <c r="B383" i="34"/>
  <c r="E382" i="34"/>
  <c r="B406" i="36"/>
  <c r="B380" i="35"/>
  <c r="E380" i="35" s="1"/>
  <c r="B374" i="33" l="1"/>
  <c r="E373" i="33"/>
  <c r="B407" i="36"/>
  <c r="B381" i="35"/>
  <c r="E381" i="35" s="1"/>
  <c r="B384" i="34"/>
  <c r="B375" i="33" l="1"/>
  <c r="E374" i="33"/>
  <c r="B385" i="34"/>
  <c r="B408" i="36"/>
  <c r="B382" i="35"/>
  <c r="E382" i="35" s="1"/>
  <c r="B376" i="33" l="1"/>
  <c r="E375" i="33"/>
  <c r="B383" i="35"/>
  <c r="B409" i="36"/>
  <c r="B386" i="34"/>
  <c r="E385" i="34"/>
  <c r="E376" i="33" l="1"/>
  <c r="B377" i="33"/>
  <c r="B378" i="33" s="1"/>
  <c r="B379" i="33" s="1"/>
  <c r="B387" i="34"/>
  <c r="B410" i="36"/>
  <c r="B384" i="35"/>
  <c r="E379" i="33" l="1"/>
  <c r="B380" i="33"/>
  <c r="B385" i="35"/>
  <c r="E385" i="35" s="1"/>
  <c r="B411" i="36"/>
  <c r="B388" i="34"/>
  <c r="B381" i="33" l="1"/>
  <c r="E380" i="33"/>
  <c r="B412" i="36"/>
  <c r="B389" i="34"/>
  <c r="E388" i="34"/>
  <c r="B386" i="35"/>
  <c r="E386" i="35" s="1"/>
  <c r="B382" i="33" l="1"/>
  <c r="E381" i="33"/>
  <c r="B387" i="35"/>
  <c r="E387" i="35" s="1"/>
  <c r="B390" i="34"/>
  <c r="B413" i="36"/>
  <c r="B383" i="33" l="1"/>
  <c r="E382" i="33"/>
  <c r="B391" i="34"/>
  <c r="B414" i="36"/>
  <c r="B388" i="35"/>
  <c r="E388" i="35" s="1"/>
  <c r="B384" i="33" l="1"/>
  <c r="E383" i="33"/>
  <c r="B415" i="36"/>
  <c r="B389" i="35"/>
  <c r="B392" i="34"/>
  <c r="E391" i="34"/>
  <c r="B385" i="33" l="1"/>
  <c r="E384" i="33"/>
  <c r="B390" i="35"/>
  <c r="B393" i="34"/>
  <c r="B416" i="36"/>
  <c r="B386" i="33" l="1"/>
  <c r="E385" i="33"/>
  <c r="B394" i="34"/>
  <c r="B417" i="36"/>
  <c r="B391" i="35"/>
  <c r="E391" i="35" s="1"/>
  <c r="B387" i="33" l="1"/>
  <c r="E386" i="33"/>
  <c r="B418" i="36"/>
  <c r="B392" i="35"/>
  <c r="E392" i="35" s="1"/>
  <c r="B395" i="34"/>
  <c r="E394" i="34"/>
  <c r="E387" i="33" l="1"/>
  <c r="B388" i="33"/>
  <c r="B396" i="34"/>
  <c r="B393" i="35"/>
  <c r="E393" i="35" s="1"/>
  <c r="B419" i="36"/>
  <c r="E388" i="33" l="1"/>
  <c r="B389" i="33"/>
  <c r="B390" i="33" s="1"/>
  <c r="B391" i="33" s="1"/>
  <c r="B420" i="36"/>
  <c r="B394" i="35"/>
  <c r="E394" i="35" s="1"/>
  <c r="B397" i="34"/>
  <c r="B392" i="33" l="1"/>
  <c r="E391" i="33"/>
  <c r="B398" i="34"/>
  <c r="E397" i="34"/>
  <c r="B395" i="35"/>
  <c r="B421" i="36"/>
  <c r="B393" i="33" l="1"/>
  <c r="E392" i="33"/>
  <c r="B422" i="36"/>
  <c r="B396" i="35"/>
  <c r="B399" i="34"/>
  <c r="B394" i="33" l="1"/>
  <c r="E393" i="33"/>
  <c r="B400" i="34"/>
  <c r="B397" i="35"/>
  <c r="E397" i="35" s="1"/>
  <c r="B423" i="36"/>
  <c r="B395" i="33" l="1"/>
  <c r="E394" i="33"/>
  <c r="B424" i="36"/>
  <c r="B398" i="35"/>
  <c r="E398" i="35" s="1"/>
  <c r="B401" i="34"/>
  <c r="E400" i="34"/>
  <c r="E395" i="33" l="1"/>
  <c r="B396" i="33"/>
  <c r="B402" i="34"/>
  <c r="B399" i="35"/>
  <c r="E399" i="35" s="1"/>
  <c r="B425" i="36"/>
  <c r="B397" i="33" l="1"/>
  <c r="E396" i="33"/>
  <c r="B426" i="36"/>
  <c r="B400" i="35"/>
  <c r="E400" i="35" s="1"/>
  <c r="B403" i="34"/>
  <c r="E397" i="33" l="1"/>
  <c r="B398" i="33"/>
  <c r="B401" i="35"/>
  <c r="B404" i="34"/>
  <c r="E403" i="34"/>
  <c r="B427" i="36"/>
  <c r="B399" i="33" l="1"/>
  <c r="E398" i="33"/>
  <c r="B405" i="34"/>
  <c r="B428" i="36"/>
  <c r="B402" i="35"/>
  <c r="E399" i="33" l="1"/>
  <c r="B400" i="33"/>
  <c r="B429" i="36"/>
  <c r="B403" i="35"/>
  <c r="E403" i="35" s="1"/>
  <c r="B406" i="34"/>
  <c r="E400" i="33" l="1"/>
  <c r="B401" i="33"/>
  <c r="B402" i="33" s="1"/>
  <c r="B403" i="33" s="1"/>
  <c r="B407" i="34"/>
  <c r="E406" i="34"/>
  <c r="B404" i="35"/>
  <c r="E404" i="35" s="1"/>
  <c r="B430" i="36"/>
  <c r="B404" i="33" l="1"/>
  <c r="E403" i="33"/>
  <c r="B431" i="36"/>
  <c r="B405" i="35"/>
  <c r="E405" i="35" s="1"/>
  <c r="B408" i="34"/>
  <c r="B405" i="33" l="1"/>
  <c r="E404" i="33"/>
  <c r="B409" i="34"/>
  <c r="B406" i="35"/>
  <c r="E406" i="35" s="1"/>
  <c r="B432" i="36"/>
  <c r="E405" i="33" l="1"/>
  <c r="B406" i="33"/>
  <c r="B407" i="35"/>
  <c r="B433" i="36"/>
  <c r="B410" i="34"/>
  <c r="E409" i="34"/>
  <c r="B407" i="33" l="1"/>
  <c r="E406" i="33"/>
  <c r="B434" i="36"/>
  <c r="B411" i="34"/>
  <c r="B408" i="35"/>
  <c r="E407" i="33" l="1"/>
  <c r="B408" i="33"/>
  <c r="B412" i="34"/>
  <c r="B409" i="35"/>
  <c r="E409" i="35" s="1"/>
  <c r="B435" i="36"/>
  <c r="B409" i="33" l="1"/>
  <c r="E408" i="33"/>
  <c r="B410" i="35"/>
  <c r="E410" i="35" s="1"/>
  <c r="B436" i="36"/>
  <c r="B413" i="34"/>
  <c r="E412" i="34"/>
  <c r="B410" i="33" l="1"/>
  <c r="E409" i="33"/>
  <c r="B414" i="34"/>
  <c r="B437" i="36"/>
  <c r="B411" i="35"/>
  <c r="E411" i="35" s="1"/>
  <c r="B411" i="33" l="1"/>
  <c r="E410" i="33"/>
  <c r="B412" i="35"/>
  <c r="E412" i="35" s="1"/>
  <c r="B438" i="36"/>
  <c r="B415" i="34"/>
  <c r="E411" i="33" l="1"/>
  <c r="B412" i="33"/>
  <c r="B416" i="34"/>
  <c r="E415" i="34"/>
  <c r="B439" i="36"/>
  <c r="B413" i="35"/>
  <c r="E412" i="33" l="1"/>
  <c r="B413" i="33"/>
  <c r="B414" i="33" s="1"/>
  <c r="B415" i="33" s="1"/>
  <c r="B440" i="36"/>
  <c r="B414" i="35"/>
  <c r="B417" i="34"/>
  <c r="E415" i="33" l="1"/>
  <c r="B416" i="33"/>
  <c r="B415" i="35"/>
  <c r="E415" i="35" s="1"/>
  <c r="B418" i="34"/>
  <c r="B441" i="36"/>
  <c r="B417" i="33" l="1"/>
  <c r="E416" i="33"/>
  <c r="B419" i="34"/>
  <c r="E418" i="34"/>
  <c r="B442" i="36"/>
  <c r="B416" i="35"/>
  <c r="E416" i="35" s="1"/>
  <c r="B418" i="33" l="1"/>
  <c r="E417" i="33"/>
  <c r="B417" i="35"/>
  <c r="E417" i="35" s="1"/>
  <c r="B443" i="36"/>
  <c r="B420" i="34"/>
  <c r="B419" i="33" l="1"/>
  <c r="E418" i="33"/>
  <c r="B421" i="34"/>
  <c r="B444" i="36"/>
  <c r="B418" i="35"/>
  <c r="E418" i="35" s="1"/>
  <c r="E419" i="33" l="1"/>
  <c r="B420" i="33"/>
  <c r="B419" i="35"/>
  <c r="B445" i="36"/>
  <c r="B422" i="34"/>
  <c r="E421" i="34"/>
  <c r="B421" i="33" l="1"/>
  <c r="E420" i="33"/>
  <c r="B423" i="34"/>
  <c r="B446" i="36"/>
  <c r="B420" i="35"/>
  <c r="B422" i="33" l="1"/>
  <c r="E421" i="33"/>
  <c r="B421" i="35"/>
  <c r="E421" i="35" s="1"/>
  <c r="B447" i="36"/>
  <c r="B424" i="34"/>
  <c r="B423" i="33" l="1"/>
  <c r="E422" i="33"/>
  <c r="B425" i="34"/>
  <c r="E424" i="34"/>
  <c r="B448" i="36"/>
  <c r="B422" i="35"/>
  <c r="E422" i="35" s="1"/>
  <c r="B424" i="33" l="1"/>
  <c r="E423" i="33"/>
  <c r="B423" i="35"/>
  <c r="E423" i="35" s="1"/>
  <c r="B449" i="36"/>
  <c r="B426" i="34"/>
  <c r="E424" i="33" l="1"/>
  <c r="B425" i="33"/>
  <c r="B426" i="33" s="1"/>
  <c r="B427" i="33" s="1"/>
  <c r="B427" i="34"/>
  <c r="B450" i="36"/>
  <c r="B424" i="35"/>
  <c r="E424" i="35" s="1"/>
  <c r="B428" i="33" l="1"/>
  <c r="E427" i="33"/>
  <c r="B451" i="36"/>
  <c r="B425" i="35"/>
  <c r="B428" i="34"/>
  <c r="E427" i="34"/>
  <c r="B429" i="33" l="1"/>
  <c r="E428" i="33"/>
  <c r="B429" i="34"/>
  <c r="B426" i="35"/>
  <c r="B452" i="36"/>
  <c r="B430" i="33" l="1"/>
  <c r="E429" i="33"/>
  <c r="B453" i="36"/>
  <c r="B427" i="35"/>
  <c r="E427" i="35" s="1"/>
  <c r="B430" i="34"/>
  <c r="B431" i="33" l="1"/>
  <c r="E430" i="33"/>
  <c r="B428" i="35"/>
  <c r="E428" i="35" s="1"/>
  <c r="B431" i="34"/>
  <c r="E430" i="34"/>
  <c r="B454" i="36"/>
  <c r="B432" i="33" l="1"/>
  <c r="E431" i="33"/>
  <c r="B455" i="36"/>
  <c r="B432" i="34"/>
  <c r="B429" i="35"/>
  <c r="E429" i="35" s="1"/>
  <c r="B433" i="33" l="1"/>
  <c r="E432" i="33"/>
  <c r="B430" i="35"/>
  <c r="E430" i="35" s="1"/>
  <c r="B433" i="34"/>
  <c r="B456" i="36"/>
  <c r="B434" i="33" l="1"/>
  <c r="E433" i="33"/>
  <c r="B434" i="34"/>
  <c r="E433" i="34"/>
  <c r="B457" i="36"/>
  <c r="B431" i="35"/>
  <c r="E434" i="33" l="1"/>
  <c r="B435" i="33"/>
  <c r="B458" i="36"/>
  <c r="B432" i="35"/>
  <c r="B435" i="34"/>
  <c r="B436" i="33" l="1"/>
  <c r="E435" i="33"/>
  <c r="B436" i="34"/>
  <c r="B433" i="35"/>
  <c r="E433" i="35" s="1"/>
  <c r="B459" i="36"/>
  <c r="E436" i="33" l="1"/>
  <c r="B437" i="33"/>
  <c r="B438" i="33" s="1"/>
  <c r="B439" i="33" s="1"/>
  <c r="E439" i="33" s="1"/>
  <c r="B460" i="36"/>
  <c r="B434" i="35"/>
  <c r="E434" i="35" s="1"/>
  <c r="B437" i="34"/>
  <c r="E436" i="34"/>
  <c r="B440" i="33" l="1"/>
  <c r="E440" i="33" s="1"/>
  <c r="B438" i="34"/>
  <c r="B435" i="35"/>
  <c r="E435" i="35" s="1"/>
  <c r="B461" i="36"/>
  <c r="B441" i="33" l="1"/>
  <c r="E441" i="33" s="1"/>
  <c r="B462" i="36"/>
  <c r="B436" i="35"/>
  <c r="E436" i="35" s="1"/>
  <c r="B439" i="34"/>
  <c r="E439" i="34" s="1"/>
  <c r="B442" i="33" l="1"/>
  <c r="B443" i="33" s="1"/>
  <c r="B437" i="35"/>
  <c r="B440" i="34"/>
  <c r="B463" i="36"/>
  <c r="E442" i="33" l="1"/>
  <c r="B444" i="33"/>
  <c r="E443" i="33"/>
  <c r="B464" i="36"/>
  <c r="B441" i="34"/>
  <c r="B438" i="35"/>
  <c r="E444" i="33" l="1"/>
  <c r="B445" i="33"/>
  <c r="B442" i="34"/>
  <c r="E442" i="34" s="1"/>
  <c r="B439" i="35"/>
  <c r="E439" i="35" s="1"/>
  <c r="B465" i="36"/>
  <c r="E445" i="33" l="1"/>
  <c r="B446" i="33"/>
  <c r="B440" i="35"/>
  <c r="E440" i="35" s="1"/>
  <c r="B466" i="36"/>
  <c r="B443" i="34"/>
  <c r="B447" i="33" l="1"/>
  <c r="E446" i="33"/>
  <c r="B467" i="36"/>
  <c r="B444" i="34"/>
  <c r="B441" i="35"/>
  <c r="E441" i="35" s="1"/>
  <c r="E447" i="33" l="1"/>
  <c r="B448" i="33"/>
  <c r="B445" i="34"/>
  <c r="E445" i="34" s="1"/>
  <c r="B442" i="35"/>
  <c r="E442" i="35" s="1"/>
  <c r="B468" i="36"/>
  <c r="E448" i="33" l="1"/>
  <c r="B449" i="33"/>
  <c r="B443" i="35"/>
  <c r="B469" i="36"/>
  <c r="B446" i="34"/>
  <c r="B450" i="33" l="1"/>
  <c r="B470" i="36"/>
  <c r="B447" i="34"/>
  <c r="B444" i="35"/>
  <c r="B451" i="33" l="1"/>
  <c r="B448" i="34"/>
  <c r="E448" i="34" s="1"/>
  <c r="B445" i="35"/>
  <c r="E445" i="35" s="1"/>
  <c r="B471" i="36"/>
  <c r="B452" i="33" l="1"/>
  <c r="E451" i="33"/>
  <c r="B472" i="36"/>
  <c r="B449" i="34"/>
  <c r="B446" i="35"/>
  <c r="E446" i="35" s="1"/>
  <c r="B453" i="33" l="1"/>
  <c r="E452" i="33"/>
  <c r="B447" i="35"/>
  <c r="E447" i="35" s="1"/>
  <c r="B450" i="34"/>
  <c r="B473" i="36"/>
  <c r="B454" i="33" l="1"/>
  <c r="E453" i="33"/>
  <c r="B448" i="35"/>
  <c r="E448" i="35" s="1"/>
  <c r="B474" i="36"/>
  <c r="B451" i="34"/>
  <c r="E451" i="34" s="1"/>
  <c r="B455" i="33" l="1"/>
  <c r="E454" i="33"/>
  <c r="B452" i="34"/>
  <c r="B475" i="36"/>
  <c r="B449" i="35"/>
  <c r="B456" i="33" l="1"/>
  <c r="E455" i="33"/>
  <c r="B476" i="36"/>
  <c r="B450" i="35"/>
  <c r="B453" i="34"/>
  <c r="E456" i="33" l="1"/>
  <c r="B457" i="33"/>
  <c r="B451" i="35"/>
  <c r="E451" i="35" s="1"/>
  <c r="B454" i="34"/>
  <c r="E454" i="34" s="1"/>
  <c r="B477" i="36"/>
  <c r="E457" i="33" l="1"/>
  <c r="B458" i="33"/>
  <c r="B478" i="36"/>
  <c r="B452" i="35"/>
  <c r="E452" i="35" s="1"/>
  <c r="B455" i="34"/>
  <c r="B459" i="33" l="1"/>
  <c r="E458" i="33"/>
  <c r="B453" i="35"/>
  <c r="E453" i="35" s="1"/>
  <c r="B456" i="34"/>
  <c r="B479" i="36"/>
  <c r="B460" i="33" l="1"/>
  <c r="E459" i="33"/>
  <c r="B454" i="35"/>
  <c r="E454" i="35" s="1"/>
  <c r="B480" i="36"/>
  <c r="B457" i="34"/>
  <c r="E457" i="34" s="1"/>
  <c r="E460" i="33" l="1"/>
  <c r="B461" i="33"/>
  <c r="B458" i="34"/>
  <c r="B481" i="36"/>
  <c r="B455" i="35"/>
  <c r="B462" i="33" l="1"/>
  <c r="B456" i="35"/>
  <c r="B482" i="36"/>
  <c r="B459" i="34"/>
  <c r="B463" i="33" l="1"/>
  <c r="B460" i="34"/>
  <c r="E460" i="34" s="1"/>
  <c r="B483" i="36"/>
  <c r="B457" i="35"/>
  <c r="E457" i="35" s="1"/>
  <c r="B464" i="33" l="1"/>
  <c r="E463" i="33"/>
  <c r="B458" i="35"/>
  <c r="E458" i="35" s="1"/>
  <c r="B484" i="36"/>
  <c r="B461" i="34"/>
  <c r="B465" i="33" l="1"/>
  <c r="E464" i="33"/>
  <c r="B485" i="36"/>
  <c r="B462" i="34"/>
  <c r="B459" i="35"/>
  <c r="E459" i="35" s="1"/>
  <c r="E465" i="33" l="1"/>
  <c r="B466" i="33"/>
  <c r="B463" i="34"/>
  <c r="E463" i="34" s="1"/>
  <c r="B460" i="35"/>
  <c r="E460" i="35" s="1"/>
  <c r="B486" i="36"/>
  <c r="E466" i="33" l="1"/>
  <c r="B467" i="33"/>
  <c r="B487" i="36"/>
  <c r="B461" i="35"/>
  <c r="B464" i="34"/>
  <c r="B468" i="33" l="1"/>
  <c r="E467" i="33"/>
  <c r="B465" i="34"/>
  <c r="B462" i="35"/>
  <c r="B488" i="36"/>
  <c r="B469" i="33" l="1"/>
  <c r="E468" i="33"/>
  <c r="B489" i="36"/>
  <c r="B463" i="35"/>
  <c r="E463" i="35" s="1"/>
  <c r="B466" i="34"/>
  <c r="E466" i="34" s="1"/>
  <c r="M27" i="12"/>
  <c r="M13" i="12"/>
  <c r="M29" i="12"/>
  <c r="M14" i="12"/>
  <c r="M26" i="12"/>
  <c r="M11" i="12"/>
  <c r="M22" i="12"/>
  <c r="M17" i="12"/>
  <c r="M23" i="12"/>
  <c r="M18" i="12"/>
  <c r="M5" i="12"/>
  <c r="M12" i="12"/>
  <c r="M20" i="12"/>
  <c r="M21" i="12"/>
  <c r="M9" i="12"/>
  <c r="M10" i="12"/>
  <c r="M7" i="12"/>
  <c r="M15" i="12"/>
  <c r="M16" i="12"/>
  <c r="M24" i="12"/>
  <c r="M8" i="12"/>
  <c r="M19" i="12"/>
  <c r="M6" i="12"/>
  <c r="M25" i="12"/>
  <c r="M28" i="12"/>
  <c r="B470" i="33" l="1"/>
  <c r="E469" i="33"/>
  <c r="B464" i="35"/>
  <c r="E464" i="35" s="1"/>
  <c r="B467" i="34"/>
  <c r="B490" i="36"/>
  <c r="N5" i="12"/>
  <c r="N6" i="12"/>
  <c r="N7" i="12"/>
  <c r="N8" i="12"/>
  <c r="N9" i="12"/>
  <c r="N10" i="12"/>
  <c r="N11" i="12"/>
  <c r="N12" i="12"/>
  <c r="N13" i="12"/>
  <c r="N14" i="12"/>
  <c r="N15" i="12"/>
  <c r="N16" i="12"/>
  <c r="N17" i="12"/>
  <c r="N18" i="12"/>
  <c r="N19" i="12"/>
  <c r="N20" i="12"/>
  <c r="N21" i="12"/>
  <c r="N22" i="12"/>
  <c r="N23" i="12"/>
  <c r="N24" i="12"/>
  <c r="N25" i="12"/>
  <c r="N26" i="12"/>
  <c r="N27" i="12"/>
  <c r="N28" i="12"/>
  <c r="N29" i="12"/>
  <c r="K21" i="36"/>
  <c r="K30" i="36"/>
  <c r="K24" i="35" a="1"/>
  <c r="K34" i="36"/>
  <c r="K26" i="36"/>
  <c r="K27" i="35" a="1"/>
  <c r="K37" i="36"/>
  <c r="K40" i="35" a="1"/>
  <c r="K23" i="36"/>
  <c r="K31" i="35" a="1"/>
  <c r="K29" i="36"/>
  <c r="K25" i="36"/>
  <c r="K40" i="36"/>
  <c r="K22" i="35" a="1"/>
  <c r="K41" i="36"/>
  <c r="K41" i="35" a="1"/>
  <c r="K39" i="36"/>
  <c r="K32" i="36"/>
  <c r="K20" i="36"/>
  <c r="K28" i="36"/>
  <c r="K36" i="35" a="1"/>
  <c r="K33" i="35" a="1"/>
  <c r="K18" i="36"/>
  <c r="K19" i="35" a="1"/>
  <c r="K38" i="36"/>
  <c r="K35" i="35" a="1"/>
  <c r="K30" i="35" a="1"/>
  <c r="K17" i="35" a="1"/>
  <c r="K26" i="35" a="1"/>
  <c r="K36" i="35" l="1"/>
  <c r="K33" i="35"/>
  <c r="K22" i="35"/>
  <c r="K41" i="35"/>
  <c r="K27" i="35"/>
  <c r="K19" i="35"/>
  <c r="K30" i="35"/>
  <c r="K40" i="35"/>
  <c r="K26" i="35"/>
  <c r="K35" i="35"/>
  <c r="K31" i="35"/>
  <c r="K24" i="35"/>
  <c r="K17" i="35"/>
  <c r="K33" i="33"/>
  <c r="K20" i="33"/>
  <c r="K36" i="33"/>
  <c r="K28" i="33"/>
  <c r="K22" i="33"/>
  <c r="K27" i="33"/>
  <c r="K35" i="33"/>
  <c r="K19" i="33"/>
  <c r="K31" i="33"/>
  <c r="K26" i="33"/>
  <c r="K23" i="33"/>
  <c r="K34" i="33"/>
  <c r="K18" i="33"/>
  <c r="K30" i="33"/>
  <c r="K41" i="33"/>
  <c r="K39" i="33"/>
  <c r="K25" i="33"/>
  <c r="K37" i="33"/>
  <c r="K21" i="33"/>
  <c r="K32" i="33"/>
  <c r="K29" i="33"/>
  <c r="K40" i="33"/>
  <c r="K38" i="33"/>
  <c r="K24" i="33"/>
  <c r="K17" i="33"/>
  <c r="B471" i="33"/>
  <c r="E470" i="33"/>
  <c r="B491" i="36"/>
  <c r="B468" i="34"/>
  <c r="B465" i="35"/>
  <c r="E465" i="35" s="1"/>
  <c r="K28" i="35" a="1"/>
  <c r="K30" i="34" a="1"/>
  <c r="K17" i="36"/>
  <c r="K33" i="36"/>
  <c r="K18" i="34" a="1"/>
  <c r="K35" i="36"/>
  <c r="K20" i="34" a="1"/>
  <c r="K24" i="34" a="1"/>
  <c r="K37" i="34" a="1"/>
  <c r="K19" i="34" a="1"/>
  <c r="K26" i="34" a="1"/>
  <c r="K31" i="36"/>
  <c r="K18" i="35" a="1"/>
  <c r="K32" i="35" a="1"/>
  <c r="K38" i="35" a="1"/>
  <c r="K22" i="36"/>
  <c r="K25" i="34" a="1"/>
  <c r="K37" i="35" a="1"/>
  <c r="K39" i="35" a="1"/>
  <c r="K28" i="34" a="1"/>
  <c r="K31" i="34" a="1"/>
  <c r="K29" i="34" a="1"/>
  <c r="K24" i="36"/>
  <c r="K23" i="34" a="1"/>
  <c r="K40" i="34" a="1"/>
  <c r="K20" i="35" a="1"/>
  <c r="K32" i="34" a="1"/>
  <c r="K38" i="34" a="1"/>
  <c r="K21" i="35" a="1"/>
  <c r="K35" i="34" a="1"/>
  <c r="K17" i="34" a="1"/>
  <c r="K34" i="34" a="1"/>
  <c r="K33" i="34" a="1"/>
  <c r="K23" i="35" a="1"/>
  <c r="K41" i="34" a="1"/>
  <c r="K27" i="36"/>
  <c r="K36" i="34" a="1"/>
  <c r="K29" i="35" a="1"/>
  <c r="K34" i="35" a="1"/>
  <c r="K39" i="34" a="1"/>
  <c r="K27" i="34" a="1"/>
  <c r="K25" i="35" a="1"/>
  <c r="K22" i="34" a="1"/>
  <c r="K21" i="34" a="1"/>
  <c r="K36" i="36"/>
  <c r="K19" i="36"/>
  <c r="K28" i="35" l="1"/>
  <c r="K38" i="35"/>
  <c r="K39" i="35"/>
  <c r="K25" i="35"/>
  <c r="K20" i="35"/>
  <c r="K32" i="35"/>
  <c r="K29" i="35"/>
  <c r="K18" i="35"/>
  <c r="K21" i="35"/>
  <c r="K37" i="35"/>
  <c r="K34" i="35"/>
  <c r="K23" i="35"/>
  <c r="K30" i="34"/>
  <c r="K34" i="34"/>
  <c r="K32" i="34"/>
  <c r="K36" i="34"/>
  <c r="K29" i="34"/>
  <c r="K21" i="34"/>
  <c r="K22" i="34"/>
  <c r="K37" i="34"/>
  <c r="K18" i="34"/>
  <c r="K23" i="34"/>
  <c r="K38" i="34"/>
  <c r="K35" i="34"/>
  <c r="K28" i="34"/>
  <c r="K24" i="34"/>
  <c r="K39" i="34"/>
  <c r="K27" i="34"/>
  <c r="K26" i="34"/>
  <c r="K31" i="34"/>
  <c r="K41" i="34"/>
  <c r="K33" i="34"/>
  <c r="K25" i="34"/>
  <c r="K20" i="34"/>
  <c r="K40" i="34"/>
  <c r="K19" i="34"/>
  <c r="K17" i="34"/>
  <c r="E471" i="33"/>
  <c r="B472" i="33"/>
  <c r="B466" i="35"/>
  <c r="E466" i="35" s="1"/>
  <c r="B469" i="34"/>
  <c r="E469" i="34" s="1"/>
  <c r="B492" i="36"/>
  <c r="E472" i="33" l="1"/>
  <c r="B473" i="33"/>
  <c r="B470" i="34"/>
  <c r="B493" i="36"/>
  <c r="B467" i="35"/>
  <c r="B474" i="33" l="1"/>
  <c r="B468" i="35"/>
  <c r="B494" i="36"/>
  <c r="B471" i="34"/>
  <c r="B475" i="33" l="1"/>
  <c r="B472" i="34"/>
  <c r="E472" i="34" s="1"/>
  <c r="B495" i="36"/>
  <c r="B469" i="35"/>
  <c r="E469" i="35" s="1"/>
  <c r="E475" i="33" l="1"/>
  <c r="B476" i="33"/>
  <c r="B470" i="35"/>
  <c r="E470" i="35" s="1"/>
  <c r="B473" i="34"/>
  <c r="B496" i="36"/>
  <c r="E476" i="33" l="1"/>
  <c r="B477" i="33"/>
  <c r="B474" i="34"/>
  <c r="B497" i="36"/>
  <c r="B471" i="35"/>
  <c r="E471" i="35" s="1"/>
  <c r="B478" i="33" l="1"/>
  <c r="E477" i="33"/>
  <c r="B475" i="34"/>
  <c r="E475" i="34" s="1"/>
  <c r="B472" i="35"/>
  <c r="E472" i="35" s="1"/>
  <c r="E478" i="33" l="1"/>
  <c r="B479" i="33"/>
  <c r="B473" i="35"/>
  <c r="B476" i="34"/>
  <c r="B480" i="33" l="1"/>
  <c r="E479" i="33"/>
  <c r="B474" i="35"/>
  <c r="B477" i="34"/>
  <c r="B481" i="33" l="1"/>
  <c r="E480" i="33"/>
  <c r="B475" i="35"/>
  <c r="E475" i="35" s="1"/>
  <c r="B478" i="34"/>
  <c r="E478" i="34" s="1"/>
  <c r="B482" i="33" l="1"/>
  <c r="E481" i="33"/>
  <c r="B479" i="34"/>
  <c r="B476" i="35"/>
  <c r="E476" i="35" s="1"/>
  <c r="B483" i="33" l="1"/>
  <c r="E482" i="33"/>
  <c r="B477" i="35"/>
  <c r="E477" i="35" s="1"/>
  <c r="B480" i="34"/>
  <c r="B484" i="33" l="1"/>
  <c r="E483" i="33"/>
  <c r="B481" i="34"/>
  <c r="E481" i="34" s="1"/>
  <c r="B478" i="35"/>
  <c r="E478" i="35" s="1"/>
  <c r="E484" i="33" l="1"/>
  <c r="B485" i="33"/>
  <c r="B479" i="35"/>
  <c r="B482" i="34"/>
  <c r="B486" i="33" l="1"/>
  <c r="B483" i="34"/>
  <c r="B480" i="35"/>
  <c r="B487" i="33" l="1"/>
  <c r="B481" i="35"/>
  <c r="E481" i="35" s="1"/>
  <c r="B484" i="34"/>
  <c r="E484" i="34" s="1"/>
  <c r="B488" i="33" l="1"/>
  <c r="E487" i="33"/>
  <c r="B482" i="35"/>
  <c r="E482" i="35" s="1"/>
  <c r="B485" i="34"/>
  <c r="B489" i="33" l="1"/>
  <c r="E488" i="33"/>
  <c r="B486" i="34"/>
  <c r="B483" i="35"/>
  <c r="E483" i="35" s="1"/>
  <c r="B490" i="33" l="1"/>
  <c r="E489" i="33"/>
  <c r="B487" i="34"/>
  <c r="E487" i="34" s="1"/>
  <c r="B484" i="35"/>
  <c r="E484" i="35" s="1"/>
  <c r="E490" i="33" l="1"/>
  <c r="B491" i="33"/>
  <c r="B485" i="35"/>
  <c r="B488" i="34"/>
  <c r="E491" i="33" l="1"/>
  <c r="B492" i="33"/>
  <c r="B489" i="34"/>
  <c r="B486" i="35"/>
  <c r="B493" i="33" l="1"/>
  <c r="E492" i="33"/>
  <c r="B490" i="34"/>
  <c r="E490" i="34" s="1"/>
  <c r="B487" i="35"/>
  <c r="E487" i="35" s="1"/>
  <c r="B494" i="33" l="1"/>
  <c r="E493" i="33"/>
  <c r="B488" i="35"/>
  <c r="E488" i="35" s="1"/>
  <c r="B491" i="34"/>
  <c r="B495" i="33" l="1"/>
  <c r="E494" i="33"/>
  <c r="B492" i="34"/>
  <c r="B489" i="35"/>
  <c r="E489" i="35" s="1"/>
  <c r="B496" i="33" l="1"/>
  <c r="E495" i="33"/>
  <c r="B493" i="34"/>
  <c r="E493" i="34" s="1"/>
  <c r="B490" i="35"/>
  <c r="E490" i="35" s="1"/>
  <c r="E496" i="33" l="1"/>
  <c r="B497" i="33"/>
  <c r="B491" i="35"/>
  <c r="B494" i="34"/>
  <c r="B495" i="34" l="1"/>
  <c r="B492" i="35"/>
  <c r="B493" i="35" l="1"/>
  <c r="E493" i="35" s="1"/>
  <c r="B496" i="34"/>
  <c r="E496" i="34" s="1"/>
  <c r="B497" i="34" l="1"/>
  <c r="B494" i="35"/>
  <c r="E494" i="35" s="1"/>
  <c r="B495" i="35" l="1"/>
  <c r="E495" i="35" s="1"/>
  <c r="B496" i="35" l="1"/>
  <c r="E496" i="35" s="1"/>
  <c r="B497" i="35" l="1"/>
  <c r="B34" i="23" l="1"/>
  <c r="B36" i="23"/>
  <c r="B27" i="23"/>
  <c r="B19" i="23"/>
  <c r="B45" i="23"/>
  <c r="B9" i="23"/>
  <c r="B21" i="23"/>
  <c r="B24" i="23"/>
  <c r="B48" i="23"/>
  <c r="B23" i="23"/>
  <c r="B17" i="23"/>
  <c r="B20" i="23"/>
  <c r="B18" i="23"/>
  <c r="B29" i="23"/>
  <c r="B38" i="23"/>
  <c r="B35" i="23"/>
  <c r="B31" i="23"/>
  <c r="B11" i="23"/>
  <c r="B39" i="23"/>
  <c r="B13" i="23"/>
  <c r="B16" i="23"/>
  <c r="B12" i="23"/>
  <c r="B44" i="23"/>
  <c r="B33" i="23"/>
  <c r="B30" i="23"/>
  <c r="B32" i="23"/>
  <c r="B47" i="23"/>
  <c r="B40" i="23"/>
  <c r="B26" i="23"/>
  <c r="B10" i="23"/>
  <c r="B25" i="23"/>
  <c r="B28" i="23"/>
  <c r="B15" i="23"/>
  <c r="B41" i="23"/>
  <c r="B14" i="23"/>
  <c r="B42" i="23"/>
  <c r="B37" i="23"/>
  <c r="B43" i="23"/>
  <c r="B46" i="23"/>
  <c r="B22" i="23"/>
  <c r="B49" i="23" l="1"/>
  <c r="H17" i="36" l="1"/>
  <c r="H17" i="35"/>
  <c r="H17" i="34"/>
  <c r="H17" i="33"/>
  <c r="C18" i="33" l="1"/>
  <c r="C18" i="34"/>
  <c r="C18" i="35"/>
  <c r="C18" i="36"/>
  <c r="D17" i="33" l="1"/>
  <c r="E18" i="33" l="1"/>
  <c r="D17" i="34"/>
  <c r="D17" i="35"/>
  <c r="D17" i="36"/>
  <c r="I17" i="33"/>
  <c r="G18" i="33" l="1"/>
  <c r="F18" i="33" s="1"/>
  <c r="I17" i="35"/>
  <c r="E18" i="35"/>
  <c r="I17" i="36"/>
  <c r="E18" i="36"/>
  <c r="I17" i="34"/>
  <c r="E18" i="34"/>
  <c r="G18" i="36" l="1"/>
  <c r="F18" i="36" s="1"/>
  <c r="G18" i="34"/>
  <c r="F18" i="34" s="1"/>
  <c r="G18" i="35"/>
  <c r="F18" i="35" s="1"/>
  <c r="H18" i="33"/>
  <c r="H18" i="35" l="1"/>
  <c r="H18" i="34"/>
  <c r="H18" i="36"/>
  <c r="I18" i="33"/>
  <c r="C19" i="33"/>
  <c r="G19" i="33" s="1"/>
  <c r="F19" i="33" s="1"/>
  <c r="C19" i="36" l="1"/>
  <c r="I18" i="36"/>
  <c r="E19" i="36"/>
  <c r="H19" i="33"/>
  <c r="I18" i="34"/>
  <c r="C19" i="34"/>
  <c r="G19" i="34" s="1"/>
  <c r="F19" i="34" s="1"/>
  <c r="I18" i="35"/>
  <c r="C19" i="35"/>
  <c r="G19" i="35" s="1"/>
  <c r="F19" i="35" s="1"/>
  <c r="H19" i="35" s="1"/>
  <c r="I19" i="35" l="1"/>
  <c r="C20" i="35"/>
  <c r="G20" i="35" s="1"/>
  <c r="F20" i="35" s="1"/>
  <c r="H20" i="35" s="1"/>
  <c r="C20" i="33"/>
  <c r="G20" i="33" s="1"/>
  <c r="F20" i="33" s="1"/>
  <c r="H20" i="33" s="1"/>
  <c r="I19" i="33"/>
  <c r="H19" i="34"/>
  <c r="E20" i="34" s="1"/>
  <c r="G19" i="36"/>
  <c r="F19" i="36" s="1"/>
  <c r="H19" i="36" l="1"/>
  <c r="C21" i="35"/>
  <c r="G21" i="35" s="1"/>
  <c r="F21" i="35" s="1"/>
  <c r="H21" i="35" s="1"/>
  <c r="I20" i="35"/>
  <c r="I20" i="33"/>
  <c r="C21" i="33"/>
  <c r="G21" i="33" s="1"/>
  <c r="F21" i="33" s="1"/>
  <c r="H21" i="33" s="1"/>
  <c r="C20" i="34"/>
  <c r="G20" i="34" s="1"/>
  <c r="F20" i="34" s="1"/>
  <c r="H20" i="34" s="1"/>
  <c r="I19" i="34"/>
  <c r="I20" i="34" l="1"/>
  <c r="C21" i="34"/>
  <c r="E21" i="34"/>
  <c r="C22" i="33"/>
  <c r="G22" i="33" s="1"/>
  <c r="F22" i="33" s="1"/>
  <c r="H22" i="33" s="1"/>
  <c r="I21" i="33"/>
  <c r="I21" i="35"/>
  <c r="C22" i="35"/>
  <c r="G22" i="35" s="1"/>
  <c r="F22" i="35" s="1"/>
  <c r="H22" i="35" s="1"/>
  <c r="E23" i="35" s="1"/>
  <c r="C20" i="36"/>
  <c r="I19" i="36"/>
  <c r="E20" i="36"/>
  <c r="I22" i="35" l="1"/>
  <c r="C23" i="35"/>
  <c r="G23" i="35" s="1"/>
  <c r="F23" i="35" s="1"/>
  <c r="H23" i="35" s="1"/>
  <c r="G20" i="36"/>
  <c r="F20" i="36" s="1"/>
  <c r="G21" i="34"/>
  <c r="F21" i="34" s="1"/>
  <c r="I22" i="33"/>
  <c r="C23" i="33"/>
  <c r="G23" i="33" s="1"/>
  <c r="F23" i="33" s="1"/>
  <c r="H23" i="33" s="1"/>
  <c r="H21" i="34" l="1"/>
  <c r="H20" i="36"/>
  <c r="C24" i="33"/>
  <c r="G24" i="33" s="1"/>
  <c r="F24" i="33" s="1"/>
  <c r="I23" i="33"/>
  <c r="C24" i="35"/>
  <c r="I23" i="35"/>
  <c r="E24" i="35"/>
  <c r="I20" i="36" l="1"/>
  <c r="C21" i="36"/>
  <c r="E21" i="36"/>
  <c r="G24" i="35"/>
  <c r="F24" i="35" s="1"/>
  <c r="H24" i="33"/>
  <c r="I21" i="34"/>
  <c r="C22" i="34"/>
  <c r="G22" i="34" s="1"/>
  <c r="F22" i="34" s="1"/>
  <c r="H22" i="34" s="1"/>
  <c r="E23" i="34" s="1"/>
  <c r="H24" i="35" l="1"/>
  <c r="I22" i="34"/>
  <c r="C23" i="34"/>
  <c r="G23" i="34" s="1"/>
  <c r="F23" i="34" s="1"/>
  <c r="I24" i="33"/>
  <c r="C25" i="33"/>
  <c r="G25" i="33" s="1"/>
  <c r="F25" i="33" s="1"/>
  <c r="H25" i="33" s="1"/>
  <c r="G21" i="36"/>
  <c r="F21" i="36" s="1"/>
  <c r="H21" i="36" l="1"/>
  <c r="C26" i="33"/>
  <c r="G26" i="33" s="1"/>
  <c r="F26" i="33" s="1"/>
  <c r="H26" i="33" s="1"/>
  <c r="I25" i="33"/>
  <c r="H23" i="34"/>
  <c r="C25" i="35"/>
  <c r="G25" i="35" s="1"/>
  <c r="F25" i="35" s="1"/>
  <c r="H25" i="35" s="1"/>
  <c r="I24" i="35"/>
  <c r="C26" i="35" l="1"/>
  <c r="G26" i="35" s="1"/>
  <c r="F26" i="35" s="1"/>
  <c r="H26" i="35" s="1"/>
  <c r="I25" i="35"/>
  <c r="I26" i="33"/>
  <c r="C27" i="33"/>
  <c r="G27" i="33" s="1"/>
  <c r="F27" i="33" s="1"/>
  <c r="H27" i="33" s="1"/>
  <c r="I23" i="34"/>
  <c r="C24" i="34"/>
  <c r="E24" i="34"/>
  <c r="I21" i="36"/>
  <c r="C22" i="36"/>
  <c r="E22" i="36"/>
  <c r="C28" i="33" l="1"/>
  <c r="G28" i="33" s="1"/>
  <c r="F28" i="33" s="1"/>
  <c r="H28" i="33" s="1"/>
  <c r="E29" i="33" s="1"/>
  <c r="I27" i="33"/>
  <c r="G22" i="36"/>
  <c r="F22" i="36" s="1"/>
  <c r="C27" i="35"/>
  <c r="G27" i="35" s="1"/>
  <c r="F27" i="35" s="1"/>
  <c r="H27" i="35" s="1"/>
  <c r="I26" i="35"/>
  <c r="G24" i="34"/>
  <c r="F24" i="34" s="1"/>
  <c r="H24" i="34" l="1"/>
  <c r="H22" i="36"/>
  <c r="I27" i="35"/>
  <c r="C28" i="35"/>
  <c r="G28" i="35" s="1"/>
  <c r="F28" i="35" s="1"/>
  <c r="H28" i="35" s="1"/>
  <c r="E29" i="35" s="1"/>
  <c r="I28" i="33"/>
  <c r="C29" i="33"/>
  <c r="G29" i="33" s="1"/>
  <c r="F29" i="33" s="1"/>
  <c r="N17" i="33"/>
  <c r="C29" i="35" l="1"/>
  <c r="G29" i="35" s="1"/>
  <c r="F29" i="35" s="1"/>
  <c r="H29" i="35" s="1"/>
  <c r="I28" i="35"/>
  <c r="H29" i="33"/>
  <c r="C23" i="36"/>
  <c r="I22" i="36"/>
  <c r="E23" i="36"/>
  <c r="C25" i="34"/>
  <c r="G25" i="34" s="1"/>
  <c r="F25" i="34" s="1"/>
  <c r="H25" i="34" s="1"/>
  <c r="E26" i="34" s="1"/>
  <c r="I24" i="34"/>
  <c r="O17" i="33"/>
  <c r="N17" i="35"/>
  <c r="P17" i="35" l="1"/>
  <c r="M17" i="33"/>
  <c r="I25" i="34"/>
  <c r="C26" i="34"/>
  <c r="G26" i="34" s="1"/>
  <c r="F26" i="34" s="1"/>
  <c r="H26" i="34" s="1"/>
  <c r="C30" i="33"/>
  <c r="C30" i="35"/>
  <c r="G23" i="36"/>
  <c r="F23" i="36" s="1"/>
  <c r="O17" i="35"/>
  <c r="E30" i="33" l="1"/>
  <c r="G30" i="33" s="1"/>
  <c r="M17" i="35"/>
  <c r="H23" i="36"/>
  <c r="I26" i="34"/>
  <c r="C27" i="34"/>
  <c r="E27" i="34"/>
  <c r="E30" i="35"/>
  <c r="P17" i="33"/>
  <c r="G27" i="34" l="1"/>
  <c r="F27" i="34" s="1"/>
  <c r="H27" i="34" s="1"/>
  <c r="G30" i="35"/>
  <c r="F30" i="35" s="1"/>
  <c r="F30" i="33"/>
  <c r="H30" i="33" s="1"/>
  <c r="I23" i="36"/>
  <c r="C24" i="36"/>
  <c r="E24" i="36"/>
  <c r="C31" i="33" l="1"/>
  <c r="G31" i="33" s="1"/>
  <c r="F31" i="33" s="1"/>
  <c r="H31" i="33" s="1"/>
  <c r="I30" i="33"/>
  <c r="H30" i="35"/>
  <c r="G24" i="36"/>
  <c r="F24" i="36" s="1"/>
  <c r="I27" i="34"/>
  <c r="C28" i="34"/>
  <c r="G28" i="34" s="1"/>
  <c r="F28" i="34" s="1"/>
  <c r="H24" i="36" l="1"/>
  <c r="C32" i="33"/>
  <c r="G32" i="33" s="1"/>
  <c r="F32" i="33" s="1"/>
  <c r="H32" i="33" s="1"/>
  <c r="I31" i="33"/>
  <c r="C31" i="35"/>
  <c r="G31" i="35" s="1"/>
  <c r="F31" i="35" s="1"/>
  <c r="H31" i="35" s="1"/>
  <c r="I30" i="35"/>
  <c r="H28" i="34"/>
  <c r="E29" i="34" s="1"/>
  <c r="C29" i="34" l="1"/>
  <c r="G29" i="34" s="1"/>
  <c r="F29" i="34" s="1"/>
  <c r="H29" i="34" s="1"/>
  <c r="I28" i="34"/>
  <c r="I32" i="33"/>
  <c r="C33" i="33"/>
  <c r="G33" i="33" s="1"/>
  <c r="F33" i="33" s="1"/>
  <c r="H33" i="33" s="1"/>
  <c r="C32" i="35"/>
  <c r="G32" i="35" s="1"/>
  <c r="F32" i="35" s="1"/>
  <c r="H32" i="35" s="1"/>
  <c r="I31" i="35"/>
  <c r="I24" i="36"/>
  <c r="C25" i="36"/>
  <c r="E25" i="36"/>
  <c r="N17" i="34"/>
  <c r="P17" i="34" l="1"/>
  <c r="C34" i="33"/>
  <c r="G34" i="33" s="1"/>
  <c r="F34" i="33" s="1"/>
  <c r="H34" i="33" s="1"/>
  <c r="I33" i="33"/>
  <c r="G25" i="36"/>
  <c r="F25" i="36" s="1"/>
  <c r="C30" i="34"/>
  <c r="C33" i="35"/>
  <c r="G33" i="35" s="1"/>
  <c r="F33" i="35" s="1"/>
  <c r="H33" i="35" s="1"/>
  <c r="I32" i="35"/>
  <c r="O17" i="34"/>
  <c r="M17" i="34" l="1"/>
  <c r="C34" i="35"/>
  <c r="G34" i="35" s="1"/>
  <c r="F34" i="35" s="1"/>
  <c r="H34" i="35" s="1"/>
  <c r="I33" i="35"/>
  <c r="H25" i="36"/>
  <c r="E30" i="34"/>
  <c r="G30" i="34" s="1"/>
  <c r="I34" i="33"/>
  <c r="C35" i="33"/>
  <c r="G35" i="33" s="1"/>
  <c r="F35" i="33" s="1"/>
  <c r="H35" i="33" s="1"/>
  <c r="C36" i="33" l="1"/>
  <c r="G36" i="33" s="1"/>
  <c r="F36" i="33" s="1"/>
  <c r="H36" i="33" s="1"/>
  <c r="I35" i="33"/>
  <c r="I25" i="36"/>
  <c r="C26" i="36"/>
  <c r="E26" i="36"/>
  <c r="C35" i="35"/>
  <c r="I34" i="35"/>
  <c r="F30" i="34"/>
  <c r="E36" i="35" l="1"/>
  <c r="G26" i="36"/>
  <c r="F26" i="36" s="1"/>
  <c r="C37" i="33"/>
  <c r="G37" i="33" s="1"/>
  <c r="F37" i="33" s="1"/>
  <c r="I36" i="33"/>
  <c r="H30" i="34"/>
  <c r="H26" i="36" l="1"/>
  <c r="C31" i="34"/>
  <c r="G31" i="34" s="1"/>
  <c r="F31" i="34" s="1"/>
  <c r="I30" i="34"/>
  <c r="H37" i="33"/>
  <c r="C38" i="33" l="1"/>
  <c r="G38" i="33" s="1"/>
  <c r="F38" i="33" s="1"/>
  <c r="I37" i="33"/>
  <c r="H31" i="34"/>
  <c r="C27" i="36"/>
  <c r="I26" i="36"/>
  <c r="E27" i="36"/>
  <c r="I31" i="34" l="1"/>
  <c r="C32" i="34"/>
  <c r="G27" i="36"/>
  <c r="F27" i="36" s="1"/>
  <c r="H38" i="33"/>
  <c r="E33" i="34" l="1"/>
  <c r="H27" i="36"/>
  <c r="I38" i="33"/>
  <c r="C39" i="33"/>
  <c r="G39" i="33" s="1"/>
  <c r="F39" i="33" s="1"/>
  <c r="H39" i="33" s="1"/>
  <c r="C40" i="33" l="1"/>
  <c r="G40" i="33" s="1"/>
  <c r="F40" i="33" s="1"/>
  <c r="H40" i="33" s="1"/>
  <c r="I39" i="33"/>
  <c r="I27" i="36"/>
  <c r="C28" i="36"/>
  <c r="E28" i="36"/>
  <c r="C41" i="33" l="1"/>
  <c r="I40" i="33"/>
  <c r="G28" i="36"/>
  <c r="F28" i="36" s="1"/>
  <c r="H28" i="36" s="1"/>
  <c r="E29" i="36" s="1"/>
  <c r="I28" i="36" l="1"/>
  <c r="C29" i="36"/>
  <c r="G29" i="36" s="1"/>
  <c r="F29" i="36" s="1"/>
  <c r="H29" i="36" s="1"/>
  <c r="N17" i="36"/>
  <c r="E42" i="33" l="1"/>
  <c r="P17" i="36"/>
  <c r="C30" i="36"/>
  <c r="O17" i="36"/>
  <c r="D5" i="3" a="1"/>
  <c r="D5" i="3" l="1"/>
  <c r="M17" i="36"/>
  <c r="E36" i="34"/>
  <c r="E30" i="36"/>
  <c r="G30" i="36" s="1"/>
  <c r="D8" i="3"/>
  <c r="D9" i="3" l="1"/>
  <c r="D23" i="3" s="1"/>
  <c r="F30" i="36"/>
  <c r="E42" i="35"/>
  <c r="O5" i="12" l="1"/>
  <c r="H30" i="36"/>
  <c r="C31" i="36" l="1"/>
  <c r="I30" i="36"/>
  <c r="E39" i="34" l="1"/>
  <c r="E48" i="35" l="1"/>
  <c r="E42" i="34"/>
  <c r="E45" i="34" l="1"/>
  <c r="E54" i="33" l="1"/>
  <c r="E54" i="35" l="1"/>
  <c r="E48" i="34" l="1"/>
  <c r="E51" i="34" l="1"/>
  <c r="E60" i="35" l="1"/>
  <c r="E5" i="3" l="1" a="1"/>
  <c r="E5" i="3" l="1"/>
  <c r="E54" i="34"/>
  <c r="E8" i="3"/>
  <c r="E9" i="3" l="1"/>
  <c r="E23" i="3" s="1"/>
  <c r="E42" i="36"/>
  <c r="O6" i="12" l="1"/>
  <c r="E66" i="33" l="1"/>
  <c r="E66" i="35" l="1"/>
  <c r="E57" i="34" l="1"/>
  <c r="E60" i="34" l="1"/>
  <c r="E72" i="35" l="1"/>
  <c r="E63" i="34" l="1"/>
  <c r="E66" i="34" l="1"/>
  <c r="E78" i="33" l="1"/>
  <c r="E78" i="35" l="1"/>
  <c r="E69" i="34" l="1"/>
  <c r="E84" i="35" l="1"/>
  <c r="F5" i="3" a="1"/>
  <c r="F5" i="3" l="1"/>
  <c r="E72" i="34"/>
  <c r="E54" i="36"/>
  <c r="F8" i="3"/>
  <c r="F9" i="3" l="1"/>
  <c r="F23" i="3" s="1"/>
  <c r="O7" i="12" l="1"/>
  <c r="E75" i="34" l="1"/>
  <c r="E90" i="35" l="1"/>
  <c r="E90" i="33" l="1"/>
  <c r="E78" i="34"/>
  <c r="E81" i="34" l="1"/>
  <c r="E96" i="35" l="1"/>
  <c r="E84" i="34" l="1"/>
  <c r="E87" i="34" l="1"/>
  <c r="E102" i="33" l="1"/>
  <c r="E102" i="35"/>
  <c r="G5" i="3" l="1" a="1"/>
  <c r="G5" i="3" l="1"/>
  <c r="E90" i="34"/>
  <c r="G8" i="3"/>
  <c r="G9" i="3" l="1"/>
  <c r="G23" i="3" s="1"/>
  <c r="E66" i="36"/>
  <c r="O8" i="12" l="1"/>
  <c r="E93" i="34" l="1"/>
  <c r="E108" i="35" l="1"/>
  <c r="E96" i="34" l="1"/>
  <c r="E114" i="33" l="1"/>
  <c r="E99" i="34"/>
  <c r="E114" i="35"/>
  <c r="E102" i="34" l="1"/>
  <c r="E120" i="35" l="1"/>
  <c r="E105" i="34" l="1"/>
  <c r="H5" i="3" l="1" a="1"/>
  <c r="H5" i="3" l="1"/>
  <c r="E78" i="36"/>
  <c r="H8" i="3"/>
  <c r="H9" i="3" l="1"/>
  <c r="H23" i="3" s="1"/>
  <c r="E126" i="33"/>
  <c r="E108" i="34"/>
  <c r="O9" i="12" l="1"/>
  <c r="E126" i="35" l="1"/>
  <c r="E111" i="34" l="1"/>
  <c r="E132" i="35" l="1"/>
  <c r="E114" i="34"/>
  <c r="E117" i="34" l="1"/>
  <c r="E138" i="33" l="1"/>
  <c r="E138" i="35" l="1"/>
  <c r="E120" i="34" l="1"/>
  <c r="E123" i="34" l="1"/>
  <c r="E144" i="35" l="1"/>
  <c r="E126" i="34" l="1"/>
  <c r="I5" i="3" a="1"/>
  <c r="I5" i="3" l="1"/>
  <c r="E90" i="36"/>
  <c r="I8" i="3"/>
  <c r="I9" i="3" l="1"/>
  <c r="I23" i="3" s="1"/>
  <c r="E150" i="33"/>
  <c r="O10" i="12" l="1"/>
  <c r="E129" i="34" l="1"/>
  <c r="E150" i="35" l="1"/>
  <c r="E132" i="34" l="1"/>
  <c r="E135" i="34" l="1"/>
  <c r="E162" i="33" l="1"/>
  <c r="E156" i="35"/>
  <c r="E138" i="34" l="1"/>
  <c r="E162" i="35" l="1"/>
  <c r="E141" i="34" l="1"/>
  <c r="J5" i="3" l="1" a="1"/>
  <c r="J5" i="3" l="1"/>
  <c r="E174" i="33"/>
  <c r="J8" i="3"/>
  <c r="J9" i="3" l="1"/>
  <c r="J23" i="3" s="1"/>
  <c r="E168" i="35"/>
  <c r="E144" i="34"/>
  <c r="E102" i="36"/>
  <c r="O11" i="12" l="1"/>
  <c r="E147" i="34" l="1"/>
  <c r="E174" i="35" l="1"/>
  <c r="E150" i="34" l="1"/>
  <c r="E186" i="33" l="1"/>
  <c r="E153" i="34"/>
  <c r="E180" i="35" l="1"/>
  <c r="E156" i="34" l="1"/>
  <c r="E159" i="34" l="1"/>
  <c r="E186" i="35" l="1"/>
  <c r="E162" i="34" l="1"/>
  <c r="K5" i="3" a="1"/>
  <c r="K5" i="3" l="1"/>
  <c r="E114" i="36"/>
  <c r="K8" i="3"/>
  <c r="K9" i="3" l="1"/>
  <c r="K23" i="3" s="1"/>
  <c r="O12" i="12" l="1"/>
  <c r="E198" i="33"/>
  <c r="E192" i="35" l="1"/>
  <c r="E165" i="34" l="1"/>
  <c r="E168" i="34" l="1"/>
  <c r="E198" i="35" l="1"/>
  <c r="E171" i="34" l="1"/>
  <c r="E210" i="33" l="1"/>
  <c r="E204" i="35" l="1"/>
  <c r="E174" i="34" l="1"/>
  <c r="E177" i="34" l="1"/>
  <c r="E210" i="35" l="1"/>
  <c r="L5" i="3" a="1"/>
  <c r="L5" i="3" l="1"/>
  <c r="L8" i="3"/>
  <c r="L9" i="3" l="1"/>
  <c r="L23" i="3" s="1"/>
  <c r="E126" i="36"/>
  <c r="O13" i="12" l="1"/>
  <c r="E180" i="34"/>
  <c r="E222" i="33" l="1"/>
  <c r="E183" i="34" l="1"/>
  <c r="E216" i="35" l="1"/>
  <c r="E186" i="34" l="1"/>
  <c r="E189" i="34" l="1"/>
  <c r="E222" i="35"/>
  <c r="E234" i="33" l="1"/>
  <c r="E192" i="34" l="1"/>
  <c r="E228" i="35" l="1"/>
  <c r="E195" i="34" l="1"/>
  <c r="M5" i="3" l="1" a="1"/>
  <c r="M5" i="3" l="1"/>
  <c r="E138" i="36"/>
  <c r="M8" i="3"/>
  <c r="M9" i="3" l="1"/>
  <c r="M23" i="3" s="1"/>
  <c r="O14" i="12" l="1"/>
  <c r="E234" i="35" l="1"/>
  <c r="E198" i="34" l="1"/>
  <c r="E246" i="33" l="1"/>
  <c r="E201" i="34" l="1"/>
  <c r="E240" i="35" l="1"/>
  <c r="E204" i="34" l="1"/>
  <c r="E207" i="34" l="1"/>
  <c r="E246" i="35" l="1"/>
  <c r="E258" i="33" l="1"/>
  <c r="E210" i="34"/>
  <c r="E213" i="34" l="1"/>
  <c r="E252" i="35"/>
  <c r="N5" i="3" a="1"/>
  <c r="N5" i="3" l="1"/>
  <c r="N8" i="3"/>
  <c r="N9" i="3" l="1"/>
  <c r="N23" i="3" s="1"/>
  <c r="E150" i="36"/>
  <c r="O15" i="12" l="1"/>
  <c r="E216" i="34" l="1"/>
  <c r="E258" i="35" l="1"/>
  <c r="E270" i="33" l="1"/>
  <c r="E219" i="34"/>
  <c r="E222" i="34" l="1"/>
  <c r="E264" i="35" l="1"/>
  <c r="E225" i="34" l="1"/>
  <c r="E282" i="33" l="1"/>
  <c r="E270" i="35"/>
  <c r="E228" i="34" l="1"/>
  <c r="E231" i="34" l="1"/>
  <c r="O5" i="3" l="1" a="1"/>
  <c r="O5" i="3" l="1"/>
  <c r="O8" i="3"/>
  <c r="O9" i="3" l="1"/>
  <c r="O23" i="3" s="1"/>
  <c r="E276" i="35"/>
  <c r="E162" i="36"/>
  <c r="O16" i="12" l="1"/>
  <c r="E234" i="34" l="1"/>
  <c r="E294" i="33" l="1"/>
  <c r="E237" i="34"/>
  <c r="E282" i="35" l="1"/>
  <c r="E240" i="34" l="1"/>
  <c r="E243" i="34" l="1"/>
  <c r="E288" i="35" l="1"/>
  <c r="E306" i="33" l="1"/>
  <c r="E246" i="34" l="1"/>
  <c r="E249" i="34" l="1"/>
  <c r="P5" i="3" a="1"/>
  <c r="P5" i="3" l="1"/>
  <c r="E294" i="35"/>
  <c r="E174" i="36"/>
  <c r="P8" i="3"/>
  <c r="P9" i="3" l="1"/>
  <c r="P23" i="3" s="1"/>
  <c r="O17" i="12" l="1"/>
  <c r="E252" i="34" l="1"/>
  <c r="E255" i="34" l="1"/>
  <c r="E318" i="33" l="1"/>
  <c r="E300" i="35"/>
  <c r="E258" i="34" l="1"/>
  <c r="E306" i="35" l="1"/>
  <c r="E261" i="34" l="1"/>
  <c r="E264" i="34" l="1"/>
  <c r="E312" i="35" l="1"/>
  <c r="Q5" i="3" a="1"/>
  <c r="Q5" i="3" l="1"/>
  <c r="E186" i="36"/>
  <c r="Q8" i="3"/>
  <c r="Q9" i="3" l="1"/>
  <c r="Q23" i="3" s="1"/>
  <c r="E267" i="34"/>
  <c r="O18" i="12" l="1"/>
  <c r="E270" i="34" l="1"/>
  <c r="E318" i="35" l="1"/>
  <c r="E273" i="34" l="1"/>
  <c r="E342" i="33" l="1"/>
  <c r="E276" i="34" l="1"/>
  <c r="E279" i="34" l="1"/>
  <c r="E330" i="35" l="1"/>
  <c r="E282" i="34" l="1"/>
  <c r="E354" i="33" l="1"/>
  <c r="R5" i="3" a="1"/>
  <c r="R5" i="3" l="1"/>
  <c r="E198" i="36"/>
  <c r="R8" i="3"/>
  <c r="R9" i="3" l="1"/>
  <c r="R23" i="3" s="1"/>
  <c r="O19" i="12" l="1"/>
  <c r="E285" i="34"/>
  <c r="E288" i="34" l="1"/>
  <c r="E291" i="34" l="1"/>
  <c r="E342" i="35" l="1"/>
  <c r="E366" i="33" l="1"/>
  <c r="E294" i="34"/>
  <c r="E297" i="34" l="1"/>
  <c r="S5" i="3" l="1" a="1"/>
  <c r="S5" i="3" l="1"/>
  <c r="E300" i="34"/>
  <c r="S8" i="3"/>
  <c r="S9" i="3" l="1"/>
  <c r="S23" i="3" s="1"/>
  <c r="E210" i="36"/>
  <c r="O20" i="12" l="1"/>
  <c r="E354" i="35" l="1"/>
  <c r="E378" i="33" l="1"/>
  <c r="E303" i="34"/>
  <c r="E306" i="34" l="1"/>
  <c r="E309" i="34" l="1"/>
  <c r="E312" i="34" l="1"/>
  <c r="E390" i="33" l="1"/>
  <c r="E366" i="35" l="1"/>
  <c r="E315" i="34" l="1"/>
  <c r="T5" i="3" l="1" a="1"/>
  <c r="T5" i="3" l="1"/>
  <c r="E222" i="36"/>
  <c r="T8" i="3"/>
  <c r="T9" i="3" l="1"/>
  <c r="T23" i="3" s="1"/>
  <c r="E318" i="34"/>
  <c r="O21" i="12" l="1"/>
  <c r="E321" i="34" l="1"/>
  <c r="E402" i="33" l="1"/>
  <c r="E324" i="34" l="1"/>
  <c r="E378" i="35" l="1"/>
  <c r="E327" i="34" l="1"/>
  <c r="E330" i="34" l="1"/>
  <c r="E333" i="34" l="1"/>
  <c r="E414" i="33" l="1"/>
  <c r="E390" i="35" l="1"/>
  <c r="E336" i="34"/>
  <c r="U5" i="3" a="1"/>
  <c r="U5" i="3" l="1"/>
  <c r="E234" i="36"/>
  <c r="U8" i="3"/>
  <c r="U9" i="3" l="1"/>
  <c r="U23" i="3" s="1"/>
  <c r="O22" i="12" l="1"/>
  <c r="E339" i="34" l="1"/>
  <c r="E342" i="34" l="1"/>
  <c r="E426" i="33" l="1"/>
  <c r="E345" i="34" l="1"/>
  <c r="E402" i="35" l="1"/>
  <c r="E348" i="34" l="1"/>
  <c r="E351" i="34" l="1"/>
  <c r="E438" i="33" l="1"/>
  <c r="E354" i="34"/>
  <c r="V5" i="3" l="1" a="1"/>
  <c r="V5" i="3" l="1"/>
  <c r="V8" i="3"/>
  <c r="V9" i="3" l="1"/>
  <c r="V23" i="3" s="1"/>
  <c r="E246" i="36"/>
  <c r="O23" i="12" l="1"/>
  <c r="E414" i="35" l="1"/>
  <c r="E357" i="34"/>
  <c r="E360" i="34" l="1"/>
  <c r="E363" i="34" l="1"/>
  <c r="E450" i="33" l="1"/>
  <c r="E426" i="35" l="1"/>
  <c r="E366" i="34"/>
  <c r="E369" i="34" l="1"/>
  <c r="E372" i="34" l="1"/>
  <c r="E462" i="33" l="1"/>
  <c r="W5" i="3" a="1"/>
  <c r="W5" i="3" l="1"/>
  <c r="W8" i="3"/>
  <c r="W9" i="3" l="1"/>
  <c r="W23" i="3" s="1"/>
  <c r="E258" i="36"/>
  <c r="O24" i="12" l="1"/>
  <c r="E375" i="34"/>
  <c r="E438" i="35" l="1"/>
  <c r="E381" i="34" l="1"/>
  <c r="E474" i="33" l="1"/>
  <c r="E384" i="34" l="1"/>
  <c r="E387" i="34" l="1"/>
  <c r="E450" i="35" l="1"/>
  <c r="X5" i="3" l="1" a="1"/>
  <c r="X5" i="3" l="1"/>
  <c r="E270" i="36"/>
  <c r="X8" i="3"/>
  <c r="X9" i="3" l="1"/>
  <c r="X23" i="3" s="1"/>
  <c r="E393" i="34"/>
  <c r="O25" i="12" l="1"/>
  <c r="E396" i="34" l="1"/>
  <c r="E462" i="35" l="1"/>
  <c r="E399" i="34" l="1"/>
  <c r="E402" i="34" l="1"/>
  <c r="E405" i="34" l="1"/>
  <c r="E474" i="35" l="1"/>
  <c r="E408" i="34" l="1"/>
  <c r="Y5" i="3" a="1"/>
  <c r="Y5" i="3" l="1"/>
  <c r="E282" i="36"/>
  <c r="Y8" i="3"/>
  <c r="Y9" i="3" l="1"/>
  <c r="Y23" i="3" s="1"/>
  <c r="O26" i="12" l="1"/>
  <c r="E411" i="34" l="1"/>
  <c r="E414" i="34" l="1"/>
  <c r="E486" i="35" l="1"/>
  <c r="E417" i="34" l="1"/>
  <c r="E420" i="34" l="1"/>
  <c r="E423" i="34" l="1"/>
  <c r="Z5" i="3" l="1" a="1"/>
  <c r="Z5" i="3" l="1"/>
  <c r="Z8" i="3"/>
  <c r="Z9" i="3" l="1"/>
  <c r="Z23" i="3" s="1"/>
  <c r="E294" i="36"/>
  <c r="E426" i="34"/>
  <c r="O27" i="12" l="1"/>
  <c r="E429" i="34" l="1"/>
  <c r="E432" i="34" l="1"/>
  <c r="E435" i="34" l="1"/>
  <c r="E438" i="34" l="1"/>
  <c r="AA5" i="3" l="1" a="1"/>
  <c r="AA5" i="3" l="1"/>
  <c r="E306" i="36"/>
  <c r="AA8" i="3"/>
  <c r="AA9" i="3" l="1"/>
  <c r="AA23" i="3" s="1"/>
  <c r="O28" i="12" l="1"/>
  <c r="E450" i="34" l="1"/>
  <c r="AB8" i="3" l="1"/>
  <c r="AB5" i="3" a="1"/>
  <c r="AB5" i="3" l="1"/>
  <c r="AR5" i="3" s="1"/>
  <c r="AR8" i="3"/>
  <c r="E462" i="34" l="1"/>
  <c r="AB9" i="3"/>
  <c r="AB23" i="3" s="1"/>
  <c r="E318" i="36"/>
  <c r="AR9" i="3" l="1"/>
  <c r="O29" i="12"/>
  <c r="AR23" i="3"/>
  <c r="E474" i="34" l="1"/>
  <c r="AC5" i="3" l="1"/>
  <c r="AC8" i="3"/>
  <c r="AC9" i="3" l="1"/>
  <c r="AC23" i="3" s="1"/>
  <c r="E330" i="36"/>
  <c r="O30" i="12" l="1"/>
  <c r="E486" i="34" l="1"/>
  <c r="AD8" i="3" l="1"/>
  <c r="AD5" i="3"/>
  <c r="AD9" i="3" l="1"/>
  <c r="AD23" i="3" s="1"/>
  <c r="E342" i="36"/>
  <c r="O31" i="12" l="1"/>
  <c r="AE5" i="3" l="1"/>
  <c r="AE8" i="3"/>
  <c r="AE9" i="3" l="1"/>
  <c r="AE23" i="3" s="1"/>
  <c r="E354" i="36"/>
  <c r="O32" i="12" l="1"/>
  <c r="AF5" i="3" l="1"/>
  <c r="AF8" i="3"/>
  <c r="AF9" i="3" l="1"/>
  <c r="AF23" i="3" s="1"/>
  <c r="E366" i="36"/>
  <c r="O33" i="12" l="1"/>
  <c r="AG5" i="3" l="1"/>
  <c r="AG8" i="3"/>
  <c r="AG9" i="3" l="1"/>
  <c r="AG23" i="3" s="1"/>
  <c r="E378" i="36"/>
  <c r="O34" i="12" l="1"/>
  <c r="AH8" i="3" l="1"/>
  <c r="AH5" i="3"/>
  <c r="AH9" i="3" l="1"/>
  <c r="AH23" i="3" s="1"/>
  <c r="E390" i="36"/>
  <c r="O35" i="12" l="1"/>
  <c r="AI8" i="3" l="1"/>
  <c r="AI5" i="3"/>
  <c r="AI9" i="3" l="1"/>
  <c r="AI23" i="3" s="1"/>
  <c r="O36" i="12" l="1"/>
  <c r="E402" i="36"/>
  <c r="AJ5" i="3" l="1"/>
  <c r="AJ8" i="3"/>
  <c r="AJ9" i="3" l="1"/>
  <c r="AJ23" i="3" s="1"/>
  <c r="E414" i="36"/>
  <c r="O37" i="12" l="1"/>
  <c r="AK8" i="3" l="1"/>
  <c r="AK5" i="3"/>
  <c r="AK9" i="3" l="1"/>
  <c r="AK23" i="3" s="1"/>
  <c r="E426" i="36"/>
  <c r="O38" i="12" l="1"/>
  <c r="AL8" i="3" l="1"/>
  <c r="AL5" i="3"/>
  <c r="AL9" i="3" l="1"/>
  <c r="AL23" i="3" s="1"/>
  <c r="E438" i="36"/>
  <c r="O39" i="12" l="1"/>
  <c r="AM5" i="3" l="1"/>
  <c r="AM8" i="3"/>
  <c r="AM9" i="3" l="1"/>
  <c r="AM23" i="3" s="1"/>
  <c r="E450" i="36"/>
  <c r="O40" i="12" l="1"/>
  <c r="AN5" i="3" l="1"/>
  <c r="AN8" i="3"/>
  <c r="AN9" i="3" l="1"/>
  <c r="AN23" i="3" s="1"/>
  <c r="E462" i="36"/>
  <c r="O41" i="12" l="1"/>
  <c r="AO8" i="3" l="1"/>
  <c r="AO5" i="3"/>
  <c r="AO9" i="3" l="1"/>
  <c r="AO23" i="3" s="1"/>
  <c r="E474" i="36"/>
  <c r="O42" i="12" l="1"/>
  <c r="AP8" i="3" l="1"/>
  <c r="AP5" i="3"/>
  <c r="AP9" i="3" l="1"/>
  <c r="AP23" i="3" s="1"/>
  <c r="E486" i="36"/>
  <c r="O43" i="12" l="1"/>
  <c r="AQ5" i="3" l="1"/>
  <c r="AQ8" i="3"/>
  <c r="AQ9" i="3" l="1"/>
  <c r="AQ23" i="3" s="1"/>
  <c r="O44" i="12" l="1"/>
  <c r="C9" i="28"/>
  <c r="C10" i="28"/>
  <c r="C24" i="28"/>
  <c r="C29" i="28"/>
  <c r="C17" i="28"/>
  <c r="C19" i="28"/>
  <c r="C22" i="28"/>
  <c r="C11" i="28"/>
  <c r="C25" i="28"/>
  <c r="C15" i="28"/>
  <c r="C31" i="28"/>
  <c r="C33" i="28"/>
  <c r="C23" i="28"/>
  <c r="C12" i="28"/>
  <c r="C26" i="28"/>
  <c r="C28" i="28"/>
  <c r="C30" i="28"/>
  <c r="C32" i="28"/>
  <c r="C21" i="28"/>
  <c r="C13" i="28"/>
  <c r="C27" i="28"/>
  <c r="C14" i="28"/>
  <c r="C16" i="28"/>
  <c r="C18" i="28"/>
  <c r="C20" i="28"/>
  <c r="B28" i="28"/>
  <c r="B24" i="28"/>
  <c r="B15" i="28"/>
  <c r="B41" i="28"/>
  <c r="B12" i="28"/>
  <c r="B22" i="28"/>
  <c r="B21" i="28"/>
  <c r="C39" i="28"/>
  <c r="C34" i="28"/>
  <c r="B27" i="28"/>
  <c r="B36" i="28"/>
  <c r="B48" i="28"/>
  <c r="B47" i="28"/>
  <c r="B38" i="28"/>
  <c r="C37" i="28"/>
  <c r="B23" i="28"/>
  <c r="B32" i="28"/>
  <c r="B13" i="28"/>
  <c r="C38" i="28"/>
  <c r="B26" i="28"/>
  <c r="B10" i="28"/>
  <c r="B33" i="28"/>
  <c r="C40" i="28"/>
  <c r="C35" i="28"/>
  <c r="C47" i="28"/>
  <c r="B16" i="28"/>
  <c r="B31" i="28"/>
  <c r="B18" i="28"/>
  <c r="B25" i="28"/>
  <c r="C48" i="28"/>
  <c r="C41" i="28"/>
  <c r="B19" i="28"/>
  <c r="B34" i="28"/>
  <c r="B35" i="28"/>
  <c r="B40" i="28"/>
  <c r="C44" i="28"/>
  <c r="B45" i="28"/>
  <c r="C43" i="28"/>
  <c r="B43" i="28"/>
  <c r="B29" i="28"/>
  <c r="C45" i="28"/>
  <c r="B39" i="28"/>
  <c r="B30" i="28"/>
  <c r="C46" i="28"/>
  <c r="C36" i="28"/>
  <c r="B20" i="28"/>
  <c r="B17" i="28"/>
  <c r="B11" i="28"/>
  <c r="B9" i="28"/>
  <c r="B14" i="28"/>
  <c r="B42" i="28"/>
  <c r="B46" i="28"/>
  <c r="B44" i="28"/>
  <c r="C42" i="28"/>
  <c r="B37" i="28"/>
  <c r="B31" i="21"/>
  <c r="B38" i="21"/>
  <c r="B45" i="21"/>
  <c r="B40" i="21"/>
  <c r="C40" i="21"/>
  <c r="C37" i="21"/>
  <c r="B48" i="21"/>
  <c r="C31" i="21"/>
  <c r="C38" i="21"/>
  <c r="C45" i="21"/>
  <c r="C39" i="21"/>
  <c r="B43" i="21"/>
  <c r="C33" i="21"/>
  <c r="B44" i="21"/>
  <c r="B34" i="21"/>
  <c r="C48" i="21"/>
  <c r="B35" i="21"/>
  <c r="B42" i="21"/>
  <c r="B46" i="21"/>
  <c r="B36" i="21"/>
  <c r="C43" i="21"/>
  <c r="C47" i="21"/>
  <c r="B41" i="21"/>
  <c r="C41" i="21"/>
  <c r="C35" i="21"/>
  <c r="C42" i="21"/>
  <c r="B39" i="21"/>
  <c r="C46" i="21"/>
  <c r="B47" i="21"/>
  <c r="B37" i="21"/>
  <c r="C44" i="21"/>
  <c r="C34" i="21"/>
  <c r="B32" i="21"/>
  <c r="C32" i="21"/>
  <c r="C36" i="21"/>
  <c r="B33" i="21"/>
  <c r="C9" i="21"/>
  <c r="C10" i="21"/>
  <c r="C24" i="21"/>
  <c r="C29" i="21"/>
  <c r="C19" i="21"/>
  <c r="C22" i="21"/>
  <c r="C11" i="21"/>
  <c r="C25" i="21"/>
  <c r="C15" i="21"/>
  <c r="C30" i="21"/>
  <c r="C18" i="21"/>
  <c r="C20" i="21"/>
  <c r="C12" i="21"/>
  <c r="C26" i="21"/>
  <c r="C28" i="21"/>
  <c r="C17" i="21"/>
  <c r="C23" i="21"/>
  <c r="C13" i="21"/>
  <c r="C27" i="21"/>
  <c r="C14" i="21"/>
  <c r="C16" i="21"/>
  <c r="C21" i="21"/>
  <c r="B21" i="21"/>
  <c r="B23" i="21"/>
  <c r="B30" i="21"/>
  <c r="B10" i="21"/>
  <c r="B19" i="21"/>
  <c r="B17" i="21"/>
  <c r="B22" i="21"/>
  <c r="G42" i="8"/>
  <c r="B11" i="21"/>
  <c r="B12" i="21"/>
  <c r="B13" i="21"/>
  <c r="B28" i="21"/>
  <c r="B9" i="21"/>
  <c r="B27" i="21"/>
  <c r="B15" i="21"/>
  <c r="B16" i="21"/>
  <c r="B25" i="21"/>
  <c r="B20" i="21"/>
  <c r="B29" i="21"/>
  <c r="B18" i="21"/>
  <c r="B14" i="21"/>
  <c r="B24" i="21"/>
  <c r="B26" i="21"/>
  <c r="D42" i="21"/>
  <c r="D34" i="21"/>
  <c r="D26" i="21"/>
  <c r="D18" i="21"/>
  <c r="D10" i="21"/>
  <c r="D41" i="21"/>
  <c r="D33" i="21"/>
  <c r="D25" i="21"/>
  <c r="D17" i="21"/>
  <c r="D9" i="21"/>
  <c r="D48" i="21"/>
  <c r="D40" i="21"/>
  <c r="D32" i="21"/>
  <c r="D24" i="21"/>
  <c r="D16" i="21"/>
  <c r="D47" i="21"/>
  <c r="D39" i="21"/>
  <c r="D31" i="21"/>
  <c r="D23" i="21"/>
  <c r="D15" i="21"/>
  <c r="D46" i="21"/>
  <c r="D38" i="21"/>
  <c r="D30" i="21"/>
  <c r="D22" i="21"/>
  <c r="D14" i="21"/>
  <c r="D45" i="21"/>
  <c r="D37" i="21"/>
  <c r="D29" i="21"/>
  <c r="D21" i="21"/>
  <c r="D13" i="21"/>
  <c r="D44" i="21"/>
  <c r="D36" i="21"/>
  <c r="D28" i="21"/>
  <c r="D20" i="21"/>
  <c r="D12" i="21"/>
  <c r="D43" i="21"/>
  <c r="D35" i="21"/>
  <c r="D27" i="21"/>
  <c r="D19" i="21"/>
  <c r="D11" i="21"/>
  <c r="E45" i="21" l="1"/>
  <c r="E46" i="21"/>
  <c r="C49" i="28"/>
  <c r="C52" i="28" s="1"/>
  <c r="B49" i="28"/>
  <c r="C49" i="21"/>
  <c r="C52" i="21" s="1"/>
  <c r="B49" i="21"/>
  <c r="F42" i="28"/>
  <c r="F48" i="28"/>
  <c r="F36" i="28"/>
  <c r="F17" i="28"/>
  <c r="F43" i="28"/>
  <c r="F15" i="28"/>
  <c r="F19" i="28"/>
  <c r="F13" i="28"/>
  <c r="F34" i="28"/>
  <c r="F31" i="28"/>
  <c r="F24" i="28"/>
  <c r="F21" i="28"/>
  <c r="F35" i="28"/>
  <c r="F27" i="28"/>
  <c r="F18" i="28"/>
  <c r="F41" i="28"/>
  <c r="F11" i="28"/>
  <c r="F30" i="28"/>
  <c r="F10" i="28"/>
  <c r="F28" i="28"/>
  <c r="F33" i="28"/>
  <c r="F16" i="28"/>
  <c r="F40" i="28"/>
  <c r="F20" i="28"/>
  <c r="F39" i="28"/>
  <c r="F26" i="28"/>
  <c r="F22" i="28"/>
  <c r="F9" i="28"/>
  <c r="F45" i="28"/>
  <c r="F47" i="28"/>
  <c r="F46" i="28"/>
  <c r="F23" i="28"/>
  <c r="F14" i="28"/>
  <c r="F29" i="28"/>
  <c r="F38" i="28"/>
  <c r="F44" i="28"/>
  <c r="F37" i="28"/>
  <c r="F25" i="28"/>
  <c r="F32" i="28"/>
  <c r="F12" i="28"/>
  <c r="C16" i="23"/>
  <c r="C39" i="23"/>
  <c r="C15" i="23"/>
  <c r="C43" i="23"/>
  <c r="C10" i="23"/>
  <c r="C30" i="23"/>
  <c r="C37" i="23"/>
  <c r="C20" i="23"/>
  <c r="C35" i="23"/>
  <c r="C33" i="23"/>
  <c r="C47" i="23"/>
  <c r="C18" i="23"/>
  <c r="C22" i="23"/>
  <c r="C48" i="23"/>
  <c r="C34" i="23"/>
  <c r="C25" i="23"/>
  <c r="C9" i="23"/>
  <c r="C28" i="23"/>
  <c r="C45" i="23"/>
  <c r="C13" i="23"/>
  <c r="C36" i="23"/>
  <c r="C12" i="23"/>
  <c r="C40" i="23"/>
  <c r="C24" i="23"/>
  <c r="C21" i="23"/>
  <c r="C42" i="23"/>
  <c r="C38" i="23"/>
  <c r="C14" i="23"/>
  <c r="C32" i="23"/>
  <c r="C26" i="23"/>
  <c r="C19" i="23"/>
  <c r="C29" i="23"/>
  <c r="C23" i="23"/>
  <c r="C31" i="23"/>
  <c r="C17" i="23"/>
  <c r="C41" i="23"/>
  <c r="C27" i="23"/>
  <c r="C11" i="23"/>
  <c r="C46" i="23"/>
  <c r="C44" i="23"/>
  <c r="G38" i="8" l="1"/>
  <c r="D47" i="28"/>
  <c r="D38" i="28"/>
  <c r="D34" i="28"/>
  <c r="D35" i="28"/>
  <c r="D33" i="28"/>
  <c r="D45" i="28"/>
  <c r="D46" i="28"/>
  <c r="D41" i="28"/>
  <c r="D39" i="28"/>
  <c r="D32" i="28"/>
  <c r="D31" i="28"/>
  <c r="D42" i="28"/>
  <c r="D43" i="28"/>
  <c r="D48" i="28"/>
  <c r="D44" i="28"/>
  <c r="D40" i="28"/>
  <c r="D37" i="28"/>
  <c r="D36" i="28"/>
  <c r="D20" i="23"/>
  <c r="D9" i="23"/>
  <c r="D42" i="23"/>
  <c r="D16" i="23"/>
  <c r="D23" i="23"/>
  <c r="D45" i="23"/>
  <c r="D46" i="23"/>
  <c r="D38" i="23"/>
  <c r="D31" i="23"/>
  <c r="D22" i="23"/>
  <c r="D29" i="23"/>
  <c r="D12" i="23"/>
  <c r="D35" i="23"/>
  <c r="D14" i="23"/>
  <c r="D15" i="23"/>
  <c r="D18" i="23"/>
  <c r="D36" i="23"/>
  <c r="D41" i="23"/>
  <c r="D39" i="23"/>
  <c r="D21" i="23"/>
  <c r="D28" i="23"/>
  <c r="D27" i="23"/>
  <c r="D17" i="23"/>
  <c r="D13" i="23"/>
  <c r="D30" i="23"/>
  <c r="D32" i="23"/>
  <c r="D43" i="23"/>
  <c r="D40" i="23"/>
  <c r="D11" i="23"/>
  <c r="D37" i="23"/>
  <c r="D25" i="23"/>
  <c r="D19" i="23"/>
  <c r="D26" i="23"/>
  <c r="D44" i="23"/>
  <c r="D47" i="23"/>
  <c r="D33" i="23"/>
  <c r="D48" i="23"/>
  <c r="D34" i="23"/>
  <c r="D10" i="23"/>
  <c r="D24" i="23"/>
  <c r="E48" i="21"/>
  <c r="E47" i="21"/>
  <c r="E43" i="21"/>
  <c r="E41" i="21"/>
  <c r="E42" i="21"/>
  <c r="E39" i="21"/>
  <c r="E44" i="21"/>
  <c r="E40" i="21"/>
  <c r="E33" i="21"/>
  <c r="E37" i="21"/>
  <c r="E15" i="21"/>
  <c r="E35" i="21"/>
  <c r="E32" i="21"/>
  <c r="E31" i="21"/>
  <c r="E34" i="21"/>
  <c r="E38" i="21"/>
  <c r="E36" i="21"/>
  <c r="E29" i="21"/>
  <c r="E30" i="21"/>
  <c r="E10" i="21"/>
  <c r="E9" i="21"/>
  <c r="E16" i="21"/>
  <c r="E11" i="21"/>
  <c r="E23" i="21"/>
  <c r="E18" i="21"/>
  <c r="E27" i="21"/>
  <c r="E21" i="21"/>
  <c r="E20" i="21"/>
  <c r="E12" i="21"/>
  <c r="E13" i="21"/>
  <c r="E22" i="21"/>
  <c r="E19" i="21"/>
  <c r="E14" i="21"/>
  <c r="E17" i="21"/>
  <c r="E25" i="21"/>
  <c r="E26" i="21"/>
  <c r="E28" i="21"/>
  <c r="E24" i="21"/>
  <c r="G37" i="8"/>
  <c r="D24" i="28"/>
  <c r="D29" i="28"/>
  <c r="D11" i="28"/>
  <c r="D27" i="28"/>
  <c r="D26" i="28"/>
  <c r="D13" i="28"/>
  <c r="D21" i="28"/>
  <c r="D19" i="28"/>
  <c r="D30" i="28"/>
  <c r="D12" i="28"/>
  <c r="D9" i="28"/>
  <c r="D15" i="28"/>
  <c r="D23" i="28"/>
  <c r="D22" i="28"/>
  <c r="D18" i="28"/>
  <c r="D28" i="28"/>
  <c r="D14" i="28"/>
  <c r="D20" i="28"/>
  <c r="D25" i="28"/>
  <c r="D17" i="28"/>
  <c r="D10" i="28"/>
  <c r="D16" i="28"/>
  <c r="F42" i="8"/>
  <c r="C49" i="23"/>
  <c r="C52" i="23" s="1"/>
  <c r="F49" i="28"/>
  <c r="D49" i="21"/>
  <c r="D52" i="21" s="1"/>
  <c r="D49" i="23" l="1"/>
  <c r="E49" i="21"/>
  <c r="D49" i="28"/>
  <c r="D52" i="28" s="1"/>
  <c r="G39" i="8" s="1"/>
  <c r="L56" i="36"/>
  <c r="L55" i="36"/>
  <c r="L54" i="36"/>
  <c r="L53" i="36"/>
  <c r="L52" i="36"/>
  <c r="L51" i="36"/>
  <c r="L50" i="36"/>
  <c r="L49" i="36"/>
  <c r="L48" i="36"/>
  <c r="L47" i="36"/>
  <c r="L46" i="36"/>
  <c r="L45" i="36"/>
  <c r="L44" i="36"/>
  <c r="L43" i="36"/>
  <c r="L42" i="36"/>
  <c r="L41" i="36"/>
  <c r="L40" i="36"/>
  <c r="L39" i="36"/>
  <c r="L38" i="36"/>
  <c r="L37" i="36"/>
  <c r="L36" i="36"/>
  <c r="L35" i="36"/>
  <c r="L34" i="36"/>
  <c r="L33" i="36"/>
  <c r="L32" i="36"/>
  <c r="L31" i="36"/>
  <c r="L30" i="36"/>
  <c r="L29" i="36"/>
  <c r="L28" i="36"/>
  <c r="L27" i="36"/>
  <c r="L26" i="36"/>
  <c r="L25" i="36"/>
  <c r="L24" i="36"/>
  <c r="L23" i="36"/>
  <c r="L22" i="36"/>
  <c r="L21" i="36"/>
  <c r="L20" i="36"/>
  <c r="L19" i="36"/>
  <c r="L18" i="36"/>
  <c r="D29" i="36" s="1"/>
  <c r="L56" i="35"/>
  <c r="L55" i="35"/>
  <c r="L54" i="35"/>
  <c r="L53" i="35"/>
  <c r="L52" i="35"/>
  <c r="L51" i="35"/>
  <c r="L50" i="35"/>
  <c r="L49" i="35"/>
  <c r="L48" i="35"/>
  <c r="L47" i="35"/>
  <c r="L46" i="35"/>
  <c r="L45" i="35"/>
  <c r="L44" i="35"/>
  <c r="L43" i="35"/>
  <c r="L42" i="35"/>
  <c r="L41" i="35"/>
  <c r="L40" i="35"/>
  <c r="L39" i="35"/>
  <c r="L38" i="35"/>
  <c r="L37" i="35"/>
  <c r="L36" i="35"/>
  <c r="L35" i="35"/>
  <c r="L34" i="35"/>
  <c r="L33" i="35"/>
  <c r="L32" i="35"/>
  <c r="L31" i="35"/>
  <c r="L30" i="35"/>
  <c r="L29" i="35"/>
  <c r="L28" i="35"/>
  <c r="L27" i="35"/>
  <c r="L26" i="35"/>
  <c r="L25" i="35"/>
  <c r="L24" i="35"/>
  <c r="L23" i="35"/>
  <c r="L22" i="35"/>
  <c r="L21" i="35"/>
  <c r="L20" i="35"/>
  <c r="L19" i="35"/>
  <c r="L18" i="35"/>
  <c r="D29" i="35" s="1"/>
  <c r="L56" i="34"/>
  <c r="L55" i="34"/>
  <c r="L54" i="34"/>
  <c r="L53" i="34"/>
  <c r="L52" i="34"/>
  <c r="L51" i="34"/>
  <c r="L50" i="34"/>
  <c r="L49" i="34"/>
  <c r="L48" i="34"/>
  <c r="L47" i="34"/>
  <c r="L46" i="34"/>
  <c r="L45" i="34"/>
  <c r="L44" i="34"/>
  <c r="L43" i="34"/>
  <c r="L42" i="34"/>
  <c r="L41" i="34"/>
  <c r="L40" i="34"/>
  <c r="L39" i="34"/>
  <c r="L38" i="34"/>
  <c r="L37" i="34"/>
  <c r="L36" i="34"/>
  <c r="L35" i="34"/>
  <c r="L34" i="34"/>
  <c r="L33" i="34"/>
  <c r="L32" i="34"/>
  <c r="L31" i="34"/>
  <c r="L30" i="34"/>
  <c r="L29" i="34"/>
  <c r="L28" i="34"/>
  <c r="L27" i="34"/>
  <c r="L26" i="34"/>
  <c r="L25" i="34"/>
  <c r="L24" i="34"/>
  <c r="L23" i="34"/>
  <c r="L22" i="34"/>
  <c r="L21" i="34"/>
  <c r="L20" i="34"/>
  <c r="L19" i="34"/>
  <c r="L18" i="34"/>
  <c r="D29" i="34" s="1"/>
  <c r="L56" i="33"/>
  <c r="L55" i="33"/>
  <c r="L54" i="33"/>
  <c r="L53" i="33"/>
  <c r="L52" i="33"/>
  <c r="L51" i="33"/>
  <c r="L50" i="33"/>
  <c r="L49" i="33"/>
  <c r="L48" i="33"/>
  <c r="L47" i="33"/>
  <c r="L46" i="33"/>
  <c r="L45" i="33"/>
  <c r="L44" i="33"/>
  <c r="L43" i="33"/>
  <c r="L42" i="33"/>
  <c r="L41" i="33"/>
  <c r="L40" i="33"/>
  <c r="L39" i="33"/>
  <c r="L38" i="33"/>
  <c r="L37" i="33"/>
  <c r="L36" i="33"/>
  <c r="L35" i="33"/>
  <c r="L34" i="33"/>
  <c r="L33" i="33"/>
  <c r="L32" i="33"/>
  <c r="L31" i="33"/>
  <c r="L30" i="33"/>
  <c r="L29" i="33"/>
  <c r="L28" i="33"/>
  <c r="L27" i="33"/>
  <c r="L26" i="33"/>
  <c r="L25" i="33"/>
  <c r="L24" i="33"/>
  <c r="L23" i="33"/>
  <c r="L22" i="33"/>
  <c r="L21" i="33"/>
  <c r="L20" i="33"/>
  <c r="L19" i="33"/>
  <c r="L18" i="33"/>
  <c r="D29" i="33" s="1"/>
  <c r="I29" i="34" l="1"/>
  <c r="E32" i="34"/>
  <c r="G32" i="34" s="1"/>
  <c r="F32" i="34" s="1"/>
  <c r="I29" i="36"/>
  <c r="E31" i="36"/>
  <c r="I29" i="33"/>
  <c r="E41" i="33"/>
  <c r="G41" i="33" s="1"/>
  <c r="F41" i="33" s="1"/>
  <c r="I29" i="35"/>
  <c r="E35" i="35"/>
  <c r="G35" i="35" s="1"/>
  <c r="F35" i="35" s="1"/>
  <c r="N18" i="33"/>
  <c r="H41" i="33" l="1"/>
  <c r="G31" i="36"/>
  <c r="F31" i="36" s="1"/>
  <c r="H31" i="36" s="1"/>
  <c r="H32" i="34"/>
  <c r="H35" i="35"/>
  <c r="O18" i="33"/>
  <c r="M18" i="33" l="1"/>
  <c r="C32" i="36"/>
  <c r="I31" i="36"/>
  <c r="E32" i="36"/>
  <c r="I32" i="34"/>
  <c r="C33" i="34"/>
  <c r="G33" i="34" s="1"/>
  <c r="F33" i="34" s="1"/>
  <c r="C36" i="35"/>
  <c r="G36" i="35" s="1"/>
  <c r="F36" i="35" s="1"/>
  <c r="I35" i="35"/>
  <c r="D41" i="33"/>
  <c r="I41" i="33" s="1"/>
  <c r="C42" i="33"/>
  <c r="G42" i="33" s="1"/>
  <c r="F42" i="33" s="1"/>
  <c r="H42" i="33" l="1"/>
  <c r="H33" i="34"/>
  <c r="G32" i="36"/>
  <c r="F32" i="36" s="1"/>
  <c r="H32" i="36" s="1"/>
  <c r="H36" i="35"/>
  <c r="P18" i="33"/>
  <c r="C33" i="36" l="1"/>
  <c r="I32" i="36"/>
  <c r="E33" i="36"/>
  <c r="I36" i="35"/>
  <c r="C37" i="35"/>
  <c r="G37" i="35" s="1"/>
  <c r="F37" i="35" s="1"/>
  <c r="I33" i="34"/>
  <c r="C34" i="34"/>
  <c r="G34" i="34" s="1"/>
  <c r="F34" i="34" s="1"/>
  <c r="C43" i="33"/>
  <c r="G43" i="33" s="1"/>
  <c r="F43" i="33" s="1"/>
  <c r="I42" i="33"/>
  <c r="H37" i="35" l="1"/>
  <c r="H43" i="33"/>
  <c r="H34" i="34"/>
  <c r="G33" i="36"/>
  <c r="F33" i="36" s="1"/>
  <c r="C44" i="33" l="1"/>
  <c r="G44" i="33" s="1"/>
  <c r="F44" i="33" s="1"/>
  <c r="I43" i="33"/>
  <c r="H33" i="36"/>
  <c r="E35" i="34"/>
  <c r="I34" i="34"/>
  <c r="C35" i="34"/>
  <c r="C38" i="35"/>
  <c r="G38" i="35" s="1"/>
  <c r="F38" i="35" s="1"/>
  <c r="I37" i="35"/>
  <c r="I33" i="36" l="1"/>
  <c r="C34" i="36"/>
  <c r="E34" i="36"/>
  <c r="G35" i="34"/>
  <c r="F35" i="34" s="1"/>
  <c r="H38" i="35"/>
  <c r="H44" i="33"/>
  <c r="C45" i="33" l="1"/>
  <c r="G45" i="33" s="1"/>
  <c r="F45" i="33" s="1"/>
  <c r="I44" i="33"/>
  <c r="C39" i="35"/>
  <c r="G39" i="35" s="1"/>
  <c r="F39" i="35" s="1"/>
  <c r="I38" i="35"/>
  <c r="H35" i="34"/>
  <c r="G34" i="36"/>
  <c r="F34" i="36" s="1"/>
  <c r="C36" i="34" l="1"/>
  <c r="G36" i="34" s="1"/>
  <c r="F36" i="34" s="1"/>
  <c r="H36" i="34" s="1"/>
  <c r="I35" i="34"/>
  <c r="H39" i="35"/>
  <c r="H34" i="36"/>
  <c r="H45" i="33"/>
  <c r="C46" i="33" l="1"/>
  <c r="G46" i="33" s="1"/>
  <c r="F46" i="33" s="1"/>
  <c r="I45" i="33"/>
  <c r="C35" i="36"/>
  <c r="I34" i="36"/>
  <c r="E35" i="36"/>
  <c r="I36" i="34"/>
  <c r="C37" i="34"/>
  <c r="G37" i="34" s="1"/>
  <c r="F37" i="34" s="1"/>
  <c r="I39" i="35"/>
  <c r="C40" i="35"/>
  <c r="G40" i="35" s="1"/>
  <c r="F40" i="35" s="1"/>
  <c r="G35" i="36" l="1"/>
  <c r="F35" i="36" s="1"/>
  <c r="H37" i="34"/>
  <c r="H40" i="35"/>
  <c r="H46" i="33"/>
  <c r="I46" i="33" l="1"/>
  <c r="C47" i="33"/>
  <c r="G47" i="33" s="1"/>
  <c r="F47" i="33" s="1"/>
  <c r="H47" i="33" s="1"/>
  <c r="E38" i="34"/>
  <c r="C38" i="34"/>
  <c r="I37" i="34"/>
  <c r="E41" i="35"/>
  <c r="C41" i="35"/>
  <c r="I40" i="35"/>
  <c r="H35" i="36"/>
  <c r="I47" i="33" l="1"/>
  <c r="C48" i="33"/>
  <c r="G48" i="33" s="1"/>
  <c r="F48" i="33" s="1"/>
  <c r="H48" i="33" s="1"/>
  <c r="G41" i="35"/>
  <c r="F41" i="35" s="1"/>
  <c r="H41" i="35" s="1"/>
  <c r="G38" i="34"/>
  <c r="F38" i="34" s="1"/>
  <c r="C36" i="36"/>
  <c r="I35" i="36"/>
  <c r="E36" i="36"/>
  <c r="N18" i="35"/>
  <c r="P18" i="35" l="1"/>
  <c r="D41" i="35"/>
  <c r="I41" i="35" s="1"/>
  <c r="C42" i="35"/>
  <c r="G42" i="35" s="1"/>
  <c r="F42" i="35" s="1"/>
  <c r="I48" i="33"/>
  <c r="C49" i="33"/>
  <c r="G49" i="33" s="1"/>
  <c r="F49" i="33" s="1"/>
  <c r="G36" i="36"/>
  <c r="F36" i="36" s="1"/>
  <c r="H38" i="34"/>
  <c r="O18" i="35"/>
  <c r="M18" i="35" l="1"/>
  <c r="H42" i="35"/>
  <c r="H49" i="33"/>
  <c r="H36" i="36"/>
  <c r="I38" i="34"/>
  <c r="C39" i="34"/>
  <c r="G39" i="34" s="1"/>
  <c r="F39" i="34" s="1"/>
  <c r="I36" i="36" l="1"/>
  <c r="C37" i="36"/>
  <c r="E37" i="36"/>
  <c r="I49" i="33"/>
  <c r="C50" i="33"/>
  <c r="G50" i="33" s="1"/>
  <c r="F50" i="33" s="1"/>
  <c r="H39" i="34"/>
  <c r="C43" i="35"/>
  <c r="G43" i="35" s="1"/>
  <c r="F43" i="35" s="1"/>
  <c r="I42" i="35"/>
  <c r="C40" i="34" l="1"/>
  <c r="G40" i="34" s="1"/>
  <c r="F40" i="34" s="1"/>
  <c r="I39" i="34"/>
  <c r="G37" i="36"/>
  <c r="F37" i="36" s="1"/>
  <c r="H43" i="35"/>
  <c r="H50" i="33"/>
  <c r="C44" i="35" l="1"/>
  <c r="G44" i="35" s="1"/>
  <c r="F44" i="35" s="1"/>
  <c r="I43" i="35"/>
  <c r="C51" i="33"/>
  <c r="G51" i="33" s="1"/>
  <c r="F51" i="33" s="1"/>
  <c r="I50" i="33"/>
  <c r="H40" i="34"/>
  <c r="H37" i="36"/>
  <c r="C38" i="36" l="1"/>
  <c r="I37" i="36"/>
  <c r="E38" i="36"/>
  <c r="H51" i="33"/>
  <c r="E41" i="34"/>
  <c r="I40" i="34"/>
  <c r="C41" i="34"/>
  <c r="H44" i="35"/>
  <c r="G41" i="34" l="1"/>
  <c r="F41" i="34" s="1"/>
  <c r="I44" i="35"/>
  <c r="C45" i="35"/>
  <c r="G45" i="35" s="1"/>
  <c r="F45" i="35" s="1"/>
  <c r="C52" i="33"/>
  <c r="G52" i="33" s="1"/>
  <c r="F52" i="33" s="1"/>
  <c r="I51" i="33"/>
  <c r="G38" i="36"/>
  <c r="F38" i="36" s="1"/>
  <c r="N18" i="34"/>
  <c r="P18" i="34" l="1"/>
  <c r="H52" i="33"/>
  <c r="H38" i="36"/>
  <c r="H45" i="35"/>
  <c r="H41" i="34"/>
  <c r="O18" i="34"/>
  <c r="M18" i="34" l="1"/>
  <c r="I45" i="35"/>
  <c r="C46" i="35"/>
  <c r="G46" i="35" s="1"/>
  <c r="F46" i="35" s="1"/>
  <c r="H46" i="35" s="1"/>
  <c r="D41" i="34"/>
  <c r="I41" i="34" s="1"/>
  <c r="C42" i="34"/>
  <c r="G42" i="34" s="1"/>
  <c r="F42" i="34" s="1"/>
  <c r="H42" i="34" s="1"/>
  <c r="I38" i="36"/>
  <c r="C39" i="36"/>
  <c r="E39" i="36"/>
  <c r="E53" i="33"/>
  <c r="C53" i="33"/>
  <c r="I52" i="33"/>
  <c r="C43" i="34" l="1"/>
  <c r="G43" i="34" s="1"/>
  <c r="F43" i="34" s="1"/>
  <c r="H43" i="34" s="1"/>
  <c r="I42" i="34"/>
  <c r="E47" i="35"/>
  <c r="I46" i="35"/>
  <c r="C47" i="35"/>
  <c r="G53" i="33"/>
  <c r="F53" i="33" s="1"/>
  <c r="G39" i="36"/>
  <c r="F39" i="36" s="1"/>
  <c r="N19" i="33"/>
  <c r="E44" i="34" l="1"/>
  <c r="I43" i="34"/>
  <c r="C44" i="34"/>
  <c r="H53" i="33"/>
  <c r="G47" i="35"/>
  <c r="F47" i="35" s="1"/>
  <c r="H39" i="36"/>
  <c r="O19" i="33"/>
  <c r="M19" i="33" l="1"/>
  <c r="C54" i="33"/>
  <c r="G54" i="33" s="1"/>
  <c r="F54" i="33" s="1"/>
  <c r="H54" i="33" s="1"/>
  <c r="D53" i="33"/>
  <c r="I53" i="33" s="1"/>
  <c r="C40" i="36"/>
  <c r="I39" i="36"/>
  <c r="E40" i="36"/>
  <c r="G44" i="34"/>
  <c r="F44" i="34" s="1"/>
  <c r="H47" i="35"/>
  <c r="C55" i="33" l="1"/>
  <c r="G55" i="33" s="1"/>
  <c r="F55" i="33" s="1"/>
  <c r="H55" i="33" s="1"/>
  <c r="I54" i="33"/>
  <c r="G40" i="36"/>
  <c r="F40" i="36" s="1"/>
  <c r="H44" i="34"/>
  <c r="C48" i="35"/>
  <c r="G48" i="35" s="1"/>
  <c r="F48" i="35" s="1"/>
  <c r="I47" i="35"/>
  <c r="P19" i="33"/>
  <c r="I44" i="34" l="1"/>
  <c r="C45" i="34"/>
  <c r="G45" i="34" s="1"/>
  <c r="F45" i="34" s="1"/>
  <c r="H45" i="34" s="1"/>
  <c r="C56" i="33"/>
  <c r="G56" i="33" s="1"/>
  <c r="F56" i="33" s="1"/>
  <c r="I55" i="33"/>
  <c r="H40" i="36"/>
  <c r="H48" i="35"/>
  <c r="C46" i="34" l="1"/>
  <c r="G46" i="34" s="1"/>
  <c r="F46" i="34" s="1"/>
  <c r="I45" i="34"/>
  <c r="E41" i="36"/>
  <c r="I40" i="36"/>
  <c r="C41" i="36"/>
  <c r="C49" i="35"/>
  <c r="G49" i="35" s="1"/>
  <c r="F49" i="35" s="1"/>
  <c r="I48" i="35"/>
  <c r="H56" i="33"/>
  <c r="C57" i="33" l="1"/>
  <c r="G57" i="33" s="1"/>
  <c r="F57" i="33" s="1"/>
  <c r="I56" i="33"/>
  <c r="G41" i="36"/>
  <c r="F41" i="36" s="1"/>
  <c r="H49" i="35"/>
  <c r="H46" i="34"/>
  <c r="N18" i="36"/>
  <c r="P18" i="36" l="1"/>
  <c r="I49" i="35"/>
  <c r="C50" i="35"/>
  <c r="G50" i="35" s="1"/>
  <c r="F50" i="35" s="1"/>
  <c r="E47" i="34"/>
  <c r="C47" i="34"/>
  <c r="I46" i="34"/>
  <c r="H41" i="36"/>
  <c r="H57" i="33"/>
  <c r="O18" i="36"/>
  <c r="M18" i="36" l="1"/>
  <c r="H50" i="35"/>
  <c r="G47" i="34"/>
  <c r="F47" i="34" s="1"/>
  <c r="I57" i="33"/>
  <c r="C58" i="33"/>
  <c r="G58" i="33" s="1"/>
  <c r="F58" i="33" s="1"/>
  <c r="D41" i="36"/>
  <c r="C42" i="36"/>
  <c r="G42" i="36" s="1"/>
  <c r="F42" i="36" s="1"/>
  <c r="C51" i="35" l="1"/>
  <c r="G51" i="35" s="1"/>
  <c r="F51" i="35" s="1"/>
  <c r="I50" i="35"/>
  <c r="I41" i="36"/>
  <c r="H58" i="33"/>
  <c r="H47" i="34"/>
  <c r="H42" i="36"/>
  <c r="E43" i="36" s="1"/>
  <c r="I42" i="36" l="1"/>
  <c r="C43" i="36"/>
  <c r="G43" i="36" s="1"/>
  <c r="F43" i="36" s="1"/>
  <c r="I47" i="34"/>
  <c r="C48" i="34"/>
  <c r="G48" i="34" s="1"/>
  <c r="F48" i="34" s="1"/>
  <c r="H48" i="34" s="1"/>
  <c r="I58" i="33"/>
  <c r="C59" i="33"/>
  <c r="G59" i="33" s="1"/>
  <c r="F59" i="33" s="1"/>
  <c r="H51" i="35"/>
  <c r="C49" i="34" l="1"/>
  <c r="G49" i="34" s="1"/>
  <c r="F49" i="34" s="1"/>
  <c r="H49" i="34" s="1"/>
  <c r="I48" i="34"/>
  <c r="H43" i="36"/>
  <c r="I51" i="35"/>
  <c r="C52" i="35"/>
  <c r="G52" i="35" s="1"/>
  <c r="F52" i="35" s="1"/>
  <c r="H59" i="33"/>
  <c r="E50" i="34" l="1"/>
  <c r="I49" i="34"/>
  <c r="C50" i="34"/>
  <c r="H52" i="35"/>
  <c r="C44" i="36"/>
  <c r="I43" i="36"/>
  <c r="E44" i="36"/>
  <c r="I59" i="33"/>
  <c r="C60" i="33"/>
  <c r="G60" i="33" s="1"/>
  <c r="F60" i="33" s="1"/>
  <c r="H60" i="33" l="1"/>
  <c r="G44" i="36"/>
  <c r="F44" i="36" s="1"/>
  <c r="H44" i="36" s="1"/>
  <c r="E53" i="35"/>
  <c r="C53" i="35"/>
  <c r="I52" i="35"/>
  <c r="G50" i="34"/>
  <c r="F50" i="34" s="1"/>
  <c r="C45" i="36" l="1"/>
  <c r="I44" i="36"/>
  <c r="E45" i="36"/>
  <c r="G53" i="35"/>
  <c r="F53" i="35" s="1"/>
  <c r="H53" i="35" s="1"/>
  <c r="H50" i="34"/>
  <c r="I60" i="33"/>
  <c r="C61" i="33"/>
  <c r="G61" i="33" s="1"/>
  <c r="F61" i="33" s="1"/>
  <c r="N19" i="35"/>
  <c r="P19" i="35" l="1"/>
  <c r="D53" i="35"/>
  <c r="I53" i="35" s="1"/>
  <c r="C54" i="35"/>
  <c r="G54" i="35" s="1"/>
  <c r="F54" i="35" s="1"/>
  <c r="I50" i="34"/>
  <c r="C51" i="34"/>
  <c r="G51" i="34" s="1"/>
  <c r="F51" i="34" s="1"/>
  <c r="H61" i="33"/>
  <c r="G45" i="36"/>
  <c r="F45" i="36" s="1"/>
  <c r="O19" i="35"/>
  <c r="M19" i="35" l="1"/>
  <c r="H45" i="36"/>
  <c r="H54" i="35"/>
  <c r="C62" i="33"/>
  <c r="G62" i="33" s="1"/>
  <c r="F62" i="33" s="1"/>
  <c r="I61" i="33"/>
  <c r="H51" i="34"/>
  <c r="C52" i="34" l="1"/>
  <c r="G52" i="34" s="1"/>
  <c r="F52" i="34" s="1"/>
  <c r="I51" i="34"/>
  <c r="H62" i="33"/>
  <c r="C55" i="35"/>
  <c r="G55" i="35" s="1"/>
  <c r="F55" i="35" s="1"/>
  <c r="I54" i="35"/>
  <c r="I45" i="36"/>
  <c r="C46" i="36"/>
  <c r="E46" i="36"/>
  <c r="H55" i="35" l="1"/>
  <c r="G46" i="36"/>
  <c r="F46" i="36" s="1"/>
  <c r="C63" i="33"/>
  <c r="G63" i="33" s="1"/>
  <c r="F63" i="33" s="1"/>
  <c r="I62" i="33"/>
  <c r="H52" i="34"/>
  <c r="E53" i="34" l="1"/>
  <c r="I52" i="34"/>
  <c r="C53" i="34"/>
  <c r="H63" i="33"/>
  <c r="H46" i="36"/>
  <c r="I55" i="35"/>
  <c r="C56" i="35"/>
  <c r="G56" i="35" s="1"/>
  <c r="F56" i="35" s="1"/>
  <c r="H56" i="35" l="1"/>
  <c r="C64" i="33"/>
  <c r="G64" i="33" s="1"/>
  <c r="F64" i="33" s="1"/>
  <c r="I63" i="33"/>
  <c r="C47" i="36"/>
  <c r="I46" i="36"/>
  <c r="E47" i="36"/>
  <c r="G53" i="34"/>
  <c r="F53" i="34" s="1"/>
  <c r="N19" i="34"/>
  <c r="P19" i="34" l="1"/>
  <c r="G47" i="36"/>
  <c r="F47" i="36" s="1"/>
  <c r="H64" i="33"/>
  <c r="H53" i="34"/>
  <c r="C57" i="35"/>
  <c r="G57" i="35" s="1"/>
  <c r="F57" i="35" s="1"/>
  <c r="I56" i="35"/>
  <c r="O19" i="34"/>
  <c r="M19" i="34" l="1"/>
  <c r="H57" i="35"/>
  <c r="E65" i="33"/>
  <c r="C65" i="33"/>
  <c r="I64" i="33"/>
  <c r="D53" i="34"/>
  <c r="I53" i="34" s="1"/>
  <c r="C54" i="34"/>
  <c r="G54" i="34" s="1"/>
  <c r="F54" i="34" s="1"/>
  <c r="H47" i="36"/>
  <c r="H54" i="34" l="1"/>
  <c r="G65" i="33"/>
  <c r="F65" i="33" s="1"/>
  <c r="C58" i="35"/>
  <c r="G58" i="35" s="1"/>
  <c r="F58" i="35" s="1"/>
  <c r="H58" i="35" s="1"/>
  <c r="I57" i="35"/>
  <c r="C48" i="36"/>
  <c r="I47" i="36"/>
  <c r="E48" i="36"/>
  <c r="N20" i="33"/>
  <c r="G48" i="36" l="1"/>
  <c r="F48" i="36" s="1"/>
  <c r="H48" i="36" s="1"/>
  <c r="E59" i="35"/>
  <c r="C59" i="35"/>
  <c r="I58" i="35"/>
  <c r="H65" i="33"/>
  <c r="I54" i="34"/>
  <c r="C55" i="34"/>
  <c r="G55" i="34" s="1"/>
  <c r="F55" i="34" s="1"/>
  <c r="O20" i="33"/>
  <c r="M20" i="33" l="1"/>
  <c r="I48" i="36"/>
  <c r="C49" i="36"/>
  <c r="E49" i="36"/>
  <c r="G59" i="35"/>
  <c r="F59" i="35" s="1"/>
  <c r="D65" i="33"/>
  <c r="I65" i="33" s="1"/>
  <c r="C66" i="33"/>
  <c r="G66" i="33" s="1"/>
  <c r="F66" i="33" s="1"/>
  <c r="H55" i="34"/>
  <c r="H66" i="33" l="1"/>
  <c r="H59" i="35"/>
  <c r="G49" i="36"/>
  <c r="F49" i="36" s="1"/>
  <c r="E56" i="34"/>
  <c r="C56" i="34"/>
  <c r="I55" i="34"/>
  <c r="P20" i="33"/>
  <c r="G56" i="34" l="1"/>
  <c r="F56" i="34" s="1"/>
  <c r="H49" i="36"/>
  <c r="C60" i="35"/>
  <c r="G60" i="35" s="1"/>
  <c r="F60" i="35" s="1"/>
  <c r="I59" i="35"/>
  <c r="I66" i="33"/>
  <c r="C67" i="33"/>
  <c r="G67" i="33" s="1"/>
  <c r="F67" i="33" s="1"/>
  <c r="C50" i="36" l="1"/>
  <c r="I49" i="36"/>
  <c r="E50" i="36"/>
  <c r="H67" i="33"/>
  <c r="H60" i="35"/>
  <c r="H56" i="34"/>
  <c r="I56" i="34" l="1"/>
  <c r="C57" i="34"/>
  <c r="G57" i="34" s="1"/>
  <c r="F57" i="34" s="1"/>
  <c r="H57" i="34" s="1"/>
  <c r="I67" i="33"/>
  <c r="C68" i="33"/>
  <c r="G68" i="33" s="1"/>
  <c r="F68" i="33" s="1"/>
  <c r="I60" i="35"/>
  <c r="C61" i="35"/>
  <c r="G61" i="35" s="1"/>
  <c r="F61" i="35" s="1"/>
  <c r="H61" i="35" s="1"/>
  <c r="G50" i="36"/>
  <c r="F50" i="36" s="1"/>
  <c r="I61" i="35" l="1"/>
  <c r="C62" i="35"/>
  <c r="G62" i="35" s="1"/>
  <c r="F62" i="35" s="1"/>
  <c r="C58" i="34"/>
  <c r="G58" i="34" s="1"/>
  <c r="F58" i="34" s="1"/>
  <c r="I57" i="34"/>
  <c r="H68" i="33"/>
  <c r="H50" i="36"/>
  <c r="I68" i="33" l="1"/>
  <c r="C69" i="33"/>
  <c r="G69" i="33" s="1"/>
  <c r="F69" i="33" s="1"/>
  <c r="H62" i="35"/>
  <c r="I50" i="36"/>
  <c r="C51" i="36"/>
  <c r="E51" i="36"/>
  <c r="H58" i="34"/>
  <c r="E59" i="34" l="1"/>
  <c r="C59" i="34"/>
  <c r="I58" i="34"/>
  <c r="G51" i="36"/>
  <c r="F51" i="36" s="1"/>
  <c r="H51" i="36" s="1"/>
  <c r="C63" i="35"/>
  <c r="G63" i="35" s="1"/>
  <c r="F63" i="35" s="1"/>
  <c r="I62" i="35"/>
  <c r="H69" i="33"/>
  <c r="I51" i="36" l="1"/>
  <c r="C52" i="36"/>
  <c r="E52" i="36"/>
  <c r="H63" i="35"/>
  <c r="I69" i="33"/>
  <c r="C70" i="33"/>
  <c r="G70" i="33" s="1"/>
  <c r="F70" i="33" s="1"/>
  <c r="H70" i="33" s="1"/>
  <c r="G59" i="34"/>
  <c r="F59" i="34" s="1"/>
  <c r="I70" i="33" l="1"/>
  <c r="C71" i="33"/>
  <c r="G71" i="33" s="1"/>
  <c r="F71" i="33" s="1"/>
  <c r="H59" i="34"/>
  <c r="C64" i="35"/>
  <c r="G64" i="35" s="1"/>
  <c r="F64" i="35" s="1"/>
  <c r="I63" i="35"/>
  <c r="G52" i="36"/>
  <c r="F52" i="36" s="1"/>
  <c r="H71" i="33" l="1"/>
  <c r="H52" i="36"/>
  <c r="H64" i="35"/>
  <c r="C60" i="34"/>
  <c r="G60" i="34" s="1"/>
  <c r="F60" i="34" s="1"/>
  <c r="I59" i="34"/>
  <c r="H60" i="34" l="1"/>
  <c r="E53" i="36"/>
  <c r="C53" i="36"/>
  <c r="I52" i="36"/>
  <c r="E65" i="35"/>
  <c r="I64" i="35"/>
  <c r="C65" i="35"/>
  <c r="I71" i="33"/>
  <c r="C72" i="33"/>
  <c r="G72" i="33" s="1"/>
  <c r="F72" i="33" s="1"/>
  <c r="H72" i="33" s="1"/>
  <c r="G65" i="35" l="1"/>
  <c r="F65" i="35" s="1"/>
  <c r="G53" i="36"/>
  <c r="F53" i="36" s="1"/>
  <c r="I72" i="33"/>
  <c r="C73" i="33"/>
  <c r="G73" i="33" s="1"/>
  <c r="F73" i="33" s="1"/>
  <c r="C61" i="34"/>
  <c r="G61" i="34" s="1"/>
  <c r="F61" i="34" s="1"/>
  <c r="I60" i="34"/>
  <c r="N19" i="36"/>
  <c r="N20" i="35"/>
  <c r="P19" i="36" l="1"/>
  <c r="P20" i="35"/>
  <c r="H53" i="36"/>
  <c r="H61" i="34"/>
  <c r="H73" i="33"/>
  <c r="H65" i="35"/>
  <c r="O20" i="35"/>
  <c r="O19" i="36"/>
  <c r="M20" i="35" l="1"/>
  <c r="M19" i="36"/>
  <c r="C54" i="36"/>
  <c r="G54" i="36" s="1"/>
  <c r="F54" i="36" s="1"/>
  <c r="H54" i="36" s="1"/>
  <c r="D53" i="36"/>
  <c r="D65" i="35"/>
  <c r="I65" i="35" s="1"/>
  <c r="C66" i="35"/>
  <c r="G66" i="35" s="1"/>
  <c r="F66" i="35" s="1"/>
  <c r="H66" i="35" s="1"/>
  <c r="E62" i="34"/>
  <c r="C62" i="34"/>
  <c r="I61" i="34"/>
  <c r="I73" i="33"/>
  <c r="C74" i="33"/>
  <c r="G74" i="33" s="1"/>
  <c r="F74" i="33" s="1"/>
  <c r="C67" i="35" l="1"/>
  <c r="G67" i="35" s="1"/>
  <c r="F67" i="35" s="1"/>
  <c r="I66" i="35"/>
  <c r="I54" i="36"/>
  <c r="C55" i="36"/>
  <c r="I53" i="36"/>
  <c r="E55" i="36"/>
  <c r="H74" i="33"/>
  <c r="G62" i="34"/>
  <c r="F62" i="34" s="1"/>
  <c r="C75" i="33" l="1"/>
  <c r="G75" i="33" s="1"/>
  <c r="F75" i="33" s="1"/>
  <c r="I74" i="33"/>
  <c r="G55" i="36"/>
  <c r="F55" i="36" s="1"/>
  <c r="H62" i="34"/>
  <c r="H67" i="35"/>
  <c r="H55" i="36" l="1"/>
  <c r="C68" i="35"/>
  <c r="G68" i="35" s="1"/>
  <c r="F68" i="35" s="1"/>
  <c r="H68" i="35" s="1"/>
  <c r="I67" i="35"/>
  <c r="I62" i="34"/>
  <c r="C63" i="34"/>
  <c r="G63" i="34" s="1"/>
  <c r="F63" i="34" s="1"/>
  <c r="H63" i="34" s="1"/>
  <c r="H75" i="33"/>
  <c r="C64" i="34" l="1"/>
  <c r="G64" i="34" s="1"/>
  <c r="F64" i="34" s="1"/>
  <c r="H64" i="34" s="1"/>
  <c r="I63" i="34"/>
  <c r="I68" i="35"/>
  <c r="C69" i="35"/>
  <c r="G69" i="35" s="1"/>
  <c r="F69" i="35" s="1"/>
  <c r="C76" i="33"/>
  <c r="G76" i="33" s="1"/>
  <c r="F76" i="33" s="1"/>
  <c r="H76" i="33" s="1"/>
  <c r="I75" i="33"/>
  <c r="C56" i="36"/>
  <c r="I55" i="36"/>
  <c r="E56" i="36"/>
  <c r="E77" i="33" l="1"/>
  <c r="C77" i="33"/>
  <c r="I76" i="33"/>
  <c r="H69" i="35"/>
  <c r="E65" i="34"/>
  <c r="C65" i="34"/>
  <c r="I64" i="34"/>
  <c r="G56" i="36"/>
  <c r="F56" i="36" s="1"/>
  <c r="H56" i="36" s="1"/>
  <c r="C57" i="36" l="1"/>
  <c r="I56" i="36"/>
  <c r="E57" i="36"/>
  <c r="G65" i="34"/>
  <c r="F65" i="34" s="1"/>
  <c r="C70" i="35"/>
  <c r="G70" i="35" s="1"/>
  <c r="F70" i="35" s="1"/>
  <c r="I69" i="35"/>
  <c r="G77" i="33"/>
  <c r="F77" i="33" s="1"/>
  <c r="N21" i="33"/>
  <c r="N20" i="34"/>
  <c r="P20" i="34" l="1"/>
  <c r="H77" i="33"/>
  <c r="H70" i="35"/>
  <c r="H65" i="34"/>
  <c r="G57" i="36"/>
  <c r="F57" i="36" s="1"/>
  <c r="H57" i="36" s="1"/>
  <c r="O20" i="34"/>
  <c r="O21" i="33"/>
  <c r="M20" i="34" l="1"/>
  <c r="M21" i="33"/>
  <c r="E71" i="35"/>
  <c r="C71" i="35"/>
  <c r="I70" i="35"/>
  <c r="I57" i="36"/>
  <c r="C58" i="36"/>
  <c r="E58" i="36"/>
  <c r="D77" i="33"/>
  <c r="I77" i="33" s="1"/>
  <c r="C78" i="33"/>
  <c r="G78" i="33" s="1"/>
  <c r="F78" i="33" s="1"/>
  <c r="H78" i="33" s="1"/>
  <c r="C66" i="34"/>
  <c r="G66" i="34" s="1"/>
  <c r="F66" i="34" s="1"/>
  <c r="D65" i="34"/>
  <c r="I65" i="34" s="1"/>
  <c r="G58" i="36" l="1"/>
  <c r="F58" i="36" s="1"/>
  <c r="H58" i="36" s="1"/>
  <c r="H66" i="34"/>
  <c r="G71" i="35"/>
  <c r="F71" i="35" s="1"/>
  <c r="I78" i="33"/>
  <c r="C79" i="33"/>
  <c r="G79" i="33" s="1"/>
  <c r="F79" i="33" s="1"/>
  <c r="P21" i="33"/>
  <c r="H71" i="35" l="1"/>
  <c r="H79" i="33"/>
  <c r="C67" i="34"/>
  <c r="G67" i="34" s="1"/>
  <c r="F67" i="34" s="1"/>
  <c r="I66" i="34"/>
  <c r="I58" i="36"/>
  <c r="C59" i="36"/>
  <c r="E59" i="36"/>
  <c r="G59" i="36" l="1"/>
  <c r="F59" i="36" s="1"/>
  <c r="H59" i="36" s="1"/>
  <c r="C80" i="33"/>
  <c r="G80" i="33" s="1"/>
  <c r="F80" i="33" s="1"/>
  <c r="I79" i="33"/>
  <c r="H67" i="34"/>
  <c r="C72" i="35"/>
  <c r="G72" i="35" s="1"/>
  <c r="F72" i="35" s="1"/>
  <c r="I71" i="35"/>
  <c r="E68" i="34" l="1"/>
  <c r="C68" i="34"/>
  <c r="I67" i="34"/>
  <c r="H80" i="33"/>
  <c r="H72" i="35"/>
  <c r="C60" i="36"/>
  <c r="I59" i="36"/>
  <c r="E60" i="36"/>
  <c r="G60" i="36" l="1"/>
  <c r="F60" i="36" s="1"/>
  <c r="I72" i="35"/>
  <c r="C73" i="35"/>
  <c r="G73" i="35" s="1"/>
  <c r="F73" i="35" s="1"/>
  <c r="H73" i="35" s="1"/>
  <c r="I80" i="33"/>
  <c r="C81" i="33"/>
  <c r="G81" i="33" s="1"/>
  <c r="F81" i="33" s="1"/>
  <c r="H81" i="33" s="1"/>
  <c r="G68" i="34"/>
  <c r="F68" i="34" s="1"/>
  <c r="C82" i="33" l="1"/>
  <c r="G82" i="33" s="1"/>
  <c r="F82" i="33" s="1"/>
  <c r="I81" i="33"/>
  <c r="C74" i="35"/>
  <c r="G74" i="35" s="1"/>
  <c r="F74" i="35" s="1"/>
  <c r="I73" i="35"/>
  <c r="H68" i="34"/>
  <c r="H60" i="36"/>
  <c r="C61" i="36" l="1"/>
  <c r="I60" i="36"/>
  <c r="E61" i="36"/>
  <c r="C69" i="34"/>
  <c r="G69" i="34" s="1"/>
  <c r="F69" i="34" s="1"/>
  <c r="H69" i="34" s="1"/>
  <c r="I68" i="34"/>
  <c r="H74" i="35"/>
  <c r="H82" i="33"/>
  <c r="I69" i="34" l="1"/>
  <c r="C70" i="34"/>
  <c r="G70" i="34" s="1"/>
  <c r="F70" i="34" s="1"/>
  <c r="H70" i="34" s="1"/>
  <c r="C83" i="33"/>
  <c r="G83" i="33" s="1"/>
  <c r="F83" i="33" s="1"/>
  <c r="I82" i="33"/>
  <c r="I74" i="35"/>
  <c r="C75" i="35"/>
  <c r="G75" i="35" s="1"/>
  <c r="F75" i="35" s="1"/>
  <c r="G61" i="36"/>
  <c r="F61" i="36" s="1"/>
  <c r="H61" i="36" s="1"/>
  <c r="E71" i="34" l="1"/>
  <c r="C71" i="34"/>
  <c r="I70" i="34"/>
  <c r="H75" i="35"/>
  <c r="H83" i="33"/>
  <c r="C62" i="36"/>
  <c r="I61" i="36"/>
  <c r="E62" i="36"/>
  <c r="I83" i="33" l="1"/>
  <c r="C84" i="33"/>
  <c r="G84" i="33" s="1"/>
  <c r="F84" i="33" s="1"/>
  <c r="G62" i="36"/>
  <c r="F62" i="36" s="1"/>
  <c r="H62" i="36" s="1"/>
  <c r="C76" i="35"/>
  <c r="G76" i="35" s="1"/>
  <c r="F76" i="35" s="1"/>
  <c r="I75" i="35"/>
  <c r="G71" i="34"/>
  <c r="F71" i="34" s="1"/>
  <c r="I62" i="36" l="1"/>
  <c r="C63" i="36"/>
  <c r="E63" i="36"/>
  <c r="H71" i="34"/>
  <c r="H76" i="35"/>
  <c r="H84" i="33"/>
  <c r="C85" i="33" l="1"/>
  <c r="G85" i="33" s="1"/>
  <c r="F85" i="33" s="1"/>
  <c r="I84" i="33"/>
  <c r="E77" i="35"/>
  <c r="C77" i="35"/>
  <c r="I76" i="35"/>
  <c r="C72" i="34"/>
  <c r="G72" i="34" s="1"/>
  <c r="F72" i="34" s="1"/>
  <c r="H72" i="34" s="1"/>
  <c r="I71" i="34"/>
  <c r="G63" i="36"/>
  <c r="F63" i="36" s="1"/>
  <c r="H63" i="36" s="1"/>
  <c r="C73" i="34" l="1"/>
  <c r="G73" i="34" s="1"/>
  <c r="F73" i="34" s="1"/>
  <c r="I72" i="34"/>
  <c r="I63" i="36"/>
  <c r="C64" i="36"/>
  <c r="E64" i="36"/>
  <c r="G77" i="35"/>
  <c r="F77" i="35" s="1"/>
  <c r="H85" i="33"/>
  <c r="N21" i="35"/>
  <c r="P21" i="35" l="1"/>
  <c r="C86" i="33"/>
  <c r="G86" i="33" s="1"/>
  <c r="F86" i="33" s="1"/>
  <c r="I85" i="33"/>
  <c r="G64" i="36"/>
  <c r="F64" i="36" s="1"/>
  <c r="H77" i="35"/>
  <c r="H73" i="34"/>
  <c r="O21" i="35"/>
  <c r="M21" i="35" l="1"/>
  <c r="D77" i="35"/>
  <c r="I77" i="35" s="1"/>
  <c r="C78" i="35"/>
  <c r="G78" i="35" s="1"/>
  <c r="F78" i="35" s="1"/>
  <c r="H86" i="33"/>
  <c r="E74" i="34"/>
  <c r="I73" i="34"/>
  <c r="C74" i="34"/>
  <c r="H64" i="36"/>
  <c r="G74" i="34" l="1"/>
  <c r="F74" i="34" s="1"/>
  <c r="I86" i="33"/>
  <c r="C87" i="33"/>
  <c r="G87" i="33" s="1"/>
  <c r="F87" i="33" s="1"/>
  <c r="H87" i="33" s="1"/>
  <c r="E65" i="36"/>
  <c r="I64" i="36"/>
  <c r="C65" i="36"/>
  <c r="H78" i="35"/>
  <c r="C88" i="33" l="1"/>
  <c r="G88" i="33" s="1"/>
  <c r="F88" i="33" s="1"/>
  <c r="I87" i="33"/>
  <c r="G65" i="36"/>
  <c r="F65" i="36" s="1"/>
  <c r="H65" i="36" s="1"/>
  <c r="C79" i="35"/>
  <c r="G79" i="35" s="1"/>
  <c r="F79" i="35" s="1"/>
  <c r="I78" i="35"/>
  <c r="H74" i="34"/>
  <c r="N20" i="36"/>
  <c r="P20" i="36" l="1"/>
  <c r="D65" i="36"/>
  <c r="C66" i="36"/>
  <c r="G66" i="36" s="1"/>
  <c r="F66" i="36" s="1"/>
  <c r="C75" i="34"/>
  <c r="G75" i="34" s="1"/>
  <c r="F75" i="34" s="1"/>
  <c r="I74" i="34"/>
  <c r="H79" i="35"/>
  <c r="H88" i="33"/>
  <c r="O20" i="36"/>
  <c r="M20" i="36" l="1"/>
  <c r="E89" i="33"/>
  <c r="C89" i="33"/>
  <c r="I88" i="33"/>
  <c r="I65" i="36"/>
  <c r="H66" i="36"/>
  <c r="C80" i="35"/>
  <c r="G80" i="35" s="1"/>
  <c r="F80" i="35" s="1"/>
  <c r="I79" i="35"/>
  <c r="H75" i="34"/>
  <c r="I66" i="36" l="1"/>
  <c r="C67" i="36"/>
  <c r="E67" i="36"/>
  <c r="G89" i="33"/>
  <c r="F89" i="33" s="1"/>
  <c r="I75" i="34"/>
  <c r="C76" i="34"/>
  <c r="G76" i="34" s="1"/>
  <c r="F76" i="34" s="1"/>
  <c r="H80" i="35"/>
  <c r="N22" i="33"/>
  <c r="I80" i="35" l="1"/>
  <c r="C81" i="35"/>
  <c r="G81" i="35" s="1"/>
  <c r="F81" i="35" s="1"/>
  <c r="H76" i="34"/>
  <c r="H89" i="33"/>
  <c r="G67" i="36"/>
  <c r="F67" i="36" s="1"/>
  <c r="O22" i="33"/>
  <c r="M22" i="33" l="1"/>
  <c r="H81" i="35"/>
  <c r="E77" i="34"/>
  <c r="I76" i="34"/>
  <c r="C77" i="34"/>
  <c r="H67" i="36"/>
  <c r="C90" i="33"/>
  <c r="G90" i="33" s="1"/>
  <c r="F90" i="33" s="1"/>
  <c r="D89" i="33"/>
  <c r="I89" i="33" s="1"/>
  <c r="G77" i="34" l="1"/>
  <c r="F77" i="34" s="1"/>
  <c r="H90" i="33"/>
  <c r="C68" i="36"/>
  <c r="I67" i="36"/>
  <c r="E68" i="36"/>
  <c r="I81" i="35"/>
  <c r="C82" i="35"/>
  <c r="G82" i="35" s="1"/>
  <c r="F82" i="35" s="1"/>
  <c r="P22" i="33"/>
  <c r="N21" i="34"/>
  <c r="P21" i="34" l="1"/>
  <c r="H82" i="35"/>
  <c r="G68" i="36"/>
  <c r="F68" i="36" s="1"/>
  <c r="C91" i="33"/>
  <c r="G91" i="33" s="1"/>
  <c r="F91" i="33" s="1"/>
  <c r="H91" i="33" s="1"/>
  <c r="I90" i="33"/>
  <c r="H77" i="34"/>
  <c r="O21" i="34"/>
  <c r="M21" i="34" l="1"/>
  <c r="I91" i="33"/>
  <c r="C92" i="33"/>
  <c r="G92" i="33" s="1"/>
  <c r="F92" i="33" s="1"/>
  <c r="H92" i="33" s="1"/>
  <c r="E83" i="35"/>
  <c r="C83" i="35"/>
  <c r="I82" i="35"/>
  <c r="H68" i="36"/>
  <c r="C78" i="34"/>
  <c r="G78" i="34" s="1"/>
  <c r="F78" i="34" s="1"/>
  <c r="D77" i="34"/>
  <c r="I77" i="34" s="1"/>
  <c r="C69" i="36" l="1"/>
  <c r="I68" i="36"/>
  <c r="E69" i="36"/>
  <c r="G83" i="35"/>
  <c r="F83" i="35" s="1"/>
  <c r="C93" i="33"/>
  <c r="G93" i="33" s="1"/>
  <c r="F93" i="33" s="1"/>
  <c r="I92" i="33"/>
  <c r="H78" i="34"/>
  <c r="H93" i="33" l="1"/>
  <c r="C79" i="34"/>
  <c r="G79" i="34" s="1"/>
  <c r="F79" i="34" s="1"/>
  <c r="I78" i="34"/>
  <c r="H83" i="35"/>
  <c r="G69" i="36"/>
  <c r="F69" i="36" s="1"/>
  <c r="H79" i="34" l="1"/>
  <c r="H69" i="36"/>
  <c r="C84" i="35"/>
  <c r="G84" i="35" s="1"/>
  <c r="F84" i="35" s="1"/>
  <c r="I83" i="35"/>
  <c r="C94" i="33"/>
  <c r="G94" i="33" s="1"/>
  <c r="F94" i="33" s="1"/>
  <c r="I93" i="33"/>
  <c r="H84" i="35" l="1"/>
  <c r="I69" i="36"/>
  <c r="C70" i="36"/>
  <c r="E70" i="36"/>
  <c r="H94" i="33"/>
  <c r="E80" i="34"/>
  <c r="C80" i="34"/>
  <c r="I79" i="34"/>
  <c r="G80" i="34" l="1"/>
  <c r="F80" i="34" s="1"/>
  <c r="C95" i="33"/>
  <c r="G95" i="33" s="1"/>
  <c r="F95" i="33" s="1"/>
  <c r="I94" i="33"/>
  <c r="G70" i="36"/>
  <c r="F70" i="36" s="1"/>
  <c r="H70" i="36" s="1"/>
  <c r="I84" i="35"/>
  <c r="C85" i="35"/>
  <c r="G85" i="35" s="1"/>
  <c r="F85" i="35" s="1"/>
  <c r="H85" i="35" s="1"/>
  <c r="C86" i="35" l="1"/>
  <c r="G86" i="35" s="1"/>
  <c r="F86" i="35" s="1"/>
  <c r="H86" i="35" s="1"/>
  <c r="I85" i="35"/>
  <c r="I70" i="36"/>
  <c r="C71" i="36"/>
  <c r="E71" i="36"/>
  <c r="H95" i="33"/>
  <c r="H80" i="34"/>
  <c r="I80" i="34" l="1"/>
  <c r="C81" i="34"/>
  <c r="G81" i="34" s="1"/>
  <c r="F81" i="34" s="1"/>
  <c r="H81" i="34" s="1"/>
  <c r="C96" i="33"/>
  <c r="G96" i="33" s="1"/>
  <c r="F96" i="33" s="1"/>
  <c r="I95" i="33"/>
  <c r="C87" i="35"/>
  <c r="G87" i="35" s="1"/>
  <c r="F87" i="35" s="1"/>
  <c r="I86" i="35"/>
  <c r="G71" i="36"/>
  <c r="F71" i="36" s="1"/>
  <c r="C82" i="34" l="1"/>
  <c r="G82" i="34" s="1"/>
  <c r="F82" i="34" s="1"/>
  <c r="I81" i="34"/>
  <c r="H87" i="35"/>
  <c r="H96" i="33"/>
  <c r="H71" i="36"/>
  <c r="I71" i="36" l="1"/>
  <c r="C72" i="36"/>
  <c r="E72" i="36"/>
  <c r="C97" i="33"/>
  <c r="G97" i="33" s="1"/>
  <c r="F97" i="33" s="1"/>
  <c r="I96" i="33"/>
  <c r="C88" i="35"/>
  <c r="G88" i="35" s="1"/>
  <c r="F88" i="35" s="1"/>
  <c r="I87" i="35"/>
  <c r="H82" i="34"/>
  <c r="E83" i="34" l="1"/>
  <c r="C83" i="34"/>
  <c r="I82" i="34"/>
  <c r="H97" i="33"/>
  <c r="G72" i="36"/>
  <c r="F72" i="36" s="1"/>
  <c r="H88" i="35"/>
  <c r="E89" i="35" l="1"/>
  <c r="I88" i="35"/>
  <c r="C89" i="35"/>
  <c r="C98" i="33"/>
  <c r="G98" i="33" s="1"/>
  <c r="F98" i="33" s="1"/>
  <c r="I97" i="33"/>
  <c r="H72" i="36"/>
  <c r="G83" i="34"/>
  <c r="F83" i="34" s="1"/>
  <c r="H83" i="34" l="1"/>
  <c r="G89" i="35"/>
  <c r="F89" i="35" s="1"/>
  <c r="H98" i="33"/>
  <c r="C73" i="36"/>
  <c r="I72" i="36"/>
  <c r="E73" i="36"/>
  <c r="N22" i="35"/>
  <c r="P22" i="35" l="1"/>
  <c r="C99" i="33"/>
  <c r="G99" i="33" s="1"/>
  <c r="F99" i="33" s="1"/>
  <c r="H99" i="33" s="1"/>
  <c r="I98" i="33"/>
  <c r="H89" i="35"/>
  <c r="G73" i="36"/>
  <c r="F73" i="36" s="1"/>
  <c r="H73" i="36" s="1"/>
  <c r="C84" i="34"/>
  <c r="G84" i="34" s="1"/>
  <c r="F84" i="34" s="1"/>
  <c r="H84" i="34" s="1"/>
  <c r="I83" i="34"/>
  <c r="O22" i="35"/>
  <c r="M22" i="35" l="1"/>
  <c r="I84" i="34"/>
  <c r="C85" i="34"/>
  <c r="G85" i="34" s="1"/>
  <c r="F85" i="34" s="1"/>
  <c r="C74" i="36"/>
  <c r="I73" i="36"/>
  <c r="E74" i="36"/>
  <c r="C100" i="33"/>
  <c r="G100" i="33" s="1"/>
  <c r="F100" i="33" s="1"/>
  <c r="I99" i="33"/>
  <c r="D89" i="35"/>
  <c r="I89" i="35" s="1"/>
  <c r="C90" i="35"/>
  <c r="G90" i="35" s="1"/>
  <c r="F90" i="35" s="1"/>
  <c r="G74" i="36" l="1"/>
  <c r="F74" i="36" s="1"/>
  <c r="H85" i="34"/>
  <c r="H100" i="33"/>
  <c r="H90" i="35"/>
  <c r="I90" i="35" l="1"/>
  <c r="C91" i="35"/>
  <c r="G91" i="35" s="1"/>
  <c r="F91" i="35" s="1"/>
  <c r="E86" i="34"/>
  <c r="C86" i="34"/>
  <c r="I85" i="34"/>
  <c r="E101" i="33"/>
  <c r="C101" i="33"/>
  <c r="I100" i="33"/>
  <c r="H74" i="36"/>
  <c r="G86" i="34" l="1"/>
  <c r="F86" i="34" s="1"/>
  <c r="G101" i="33"/>
  <c r="F101" i="33" s="1"/>
  <c r="H91" i="35"/>
  <c r="C75" i="36"/>
  <c r="I74" i="36"/>
  <c r="E75" i="36"/>
  <c r="N23" i="33"/>
  <c r="G75" i="36" l="1"/>
  <c r="F75" i="36" s="1"/>
  <c r="H101" i="33"/>
  <c r="C92" i="35"/>
  <c r="G92" i="35" s="1"/>
  <c r="F92" i="35" s="1"/>
  <c r="I91" i="35"/>
  <c r="H86" i="34"/>
  <c r="O23" i="33"/>
  <c r="M23" i="33" l="1"/>
  <c r="P23" i="33" s="1"/>
  <c r="H92" i="35"/>
  <c r="C102" i="33"/>
  <c r="G102" i="33" s="1"/>
  <c r="F102" i="33" s="1"/>
  <c r="H102" i="33" s="1"/>
  <c r="D101" i="33"/>
  <c r="I101" i="33" s="1"/>
  <c r="H75" i="36"/>
  <c r="C87" i="34"/>
  <c r="G87" i="34" s="1"/>
  <c r="F87" i="34" s="1"/>
  <c r="I86" i="34"/>
  <c r="I102" i="33" l="1"/>
  <c r="C103" i="33"/>
  <c r="G103" i="33" s="1"/>
  <c r="F103" i="33" s="1"/>
  <c r="H103" i="33" s="1"/>
  <c r="C76" i="36"/>
  <c r="I75" i="36"/>
  <c r="E76" i="36"/>
  <c r="I92" i="35"/>
  <c r="C93" i="35"/>
  <c r="G93" i="35" s="1"/>
  <c r="F93" i="35" s="1"/>
  <c r="H87" i="34"/>
  <c r="C104" i="33" l="1"/>
  <c r="G104" i="33" s="1"/>
  <c r="F104" i="33" s="1"/>
  <c r="H104" i="33" s="1"/>
  <c r="I103" i="33"/>
  <c r="G76" i="36"/>
  <c r="F76" i="36" s="1"/>
  <c r="C88" i="34"/>
  <c r="G88" i="34" s="1"/>
  <c r="F88" i="34" s="1"/>
  <c r="H88" i="34" s="1"/>
  <c r="I87" i="34"/>
  <c r="H93" i="35"/>
  <c r="E89" i="34" l="1"/>
  <c r="I88" i="34"/>
  <c r="C89" i="34"/>
  <c r="I93" i="35"/>
  <c r="C94" i="35"/>
  <c r="G94" i="35" s="1"/>
  <c r="F94" i="35" s="1"/>
  <c r="H76" i="36"/>
  <c r="I104" i="33"/>
  <c r="C105" i="33"/>
  <c r="G105" i="33" s="1"/>
  <c r="F105" i="33" s="1"/>
  <c r="H105" i="33" l="1"/>
  <c r="E77" i="36"/>
  <c r="C77" i="36"/>
  <c r="I76" i="36"/>
  <c r="G89" i="34"/>
  <c r="F89" i="34" s="1"/>
  <c r="H94" i="35"/>
  <c r="N22" i="34"/>
  <c r="P22" i="34" l="1"/>
  <c r="H89" i="34"/>
  <c r="E95" i="35"/>
  <c r="I94" i="35"/>
  <c r="C95" i="35"/>
  <c r="G77" i="36"/>
  <c r="F77" i="36" s="1"/>
  <c r="C106" i="33"/>
  <c r="G106" i="33" s="1"/>
  <c r="F106" i="33" s="1"/>
  <c r="I105" i="33"/>
  <c r="O22" i="34"/>
  <c r="N21" i="36"/>
  <c r="P21" i="36" l="1"/>
  <c r="M22" i="34"/>
  <c r="C90" i="34"/>
  <c r="G90" i="34" s="1"/>
  <c r="F90" i="34" s="1"/>
  <c r="D89" i="34"/>
  <c r="I89" i="34" s="1"/>
  <c r="H77" i="36"/>
  <c r="G95" i="35"/>
  <c r="F95" i="35" s="1"/>
  <c r="H106" i="33"/>
  <c r="O21" i="36"/>
  <c r="M21" i="36" l="1"/>
  <c r="C78" i="36"/>
  <c r="G78" i="36" s="1"/>
  <c r="F78" i="36" s="1"/>
  <c r="H78" i="36" s="1"/>
  <c r="D77" i="36"/>
  <c r="H90" i="34"/>
  <c r="I106" i="33"/>
  <c r="C107" i="33"/>
  <c r="G107" i="33" s="1"/>
  <c r="F107" i="33" s="1"/>
  <c r="H95" i="35"/>
  <c r="I90" i="34" l="1"/>
  <c r="C91" i="34"/>
  <c r="G91" i="34" s="1"/>
  <c r="F91" i="34" s="1"/>
  <c r="I78" i="36"/>
  <c r="C79" i="36"/>
  <c r="I95" i="35"/>
  <c r="C96" i="35"/>
  <c r="G96" i="35" s="1"/>
  <c r="F96" i="35" s="1"/>
  <c r="H96" i="35" s="1"/>
  <c r="I77" i="36"/>
  <c r="E79" i="36"/>
  <c r="H107" i="33"/>
  <c r="I96" i="35" l="1"/>
  <c r="C97" i="35"/>
  <c r="G97" i="35" s="1"/>
  <c r="F97" i="35" s="1"/>
  <c r="G79" i="36"/>
  <c r="F79" i="36" s="1"/>
  <c r="H79" i="36" s="1"/>
  <c r="C108" i="33"/>
  <c r="G108" i="33" s="1"/>
  <c r="F108" i="33" s="1"/>
  <c r="I107" i="33"/>
  <c r="H91" i="34"/>
  <c r="E92" i="34" l="1"/>
  <c r="C92" i="34"/>
  <c r="I91" i="34"/>
  <c r="C80" i="36"/>
  <c r="I79" i="36"/>
  <c r="E80" i="36"/>
  <c r="H97" i="35"/>
  <c r="H108" i="33"/>
  <c r="I108" i="33" l="1"/>
  <c r="C109" i="33"/>
  <c r="G109" i="33" s="1"/>
  <c r="F109" i="33" s="1"/>
  <c r="H109" i="33" s="1"/>
  <c r="C98" i="35"/>
  <c r="G98" i="35" s="1"/>
  <c r="F98" i="35" s="1"/>
  <c r="I97" i="35"/>
  <c r="G80" i="36"/>
  <c r="F80" i="36" s="1"/>
  <c r="H80" i="36" s="1"/>
  <c r="G92" i="34"/>
  <c r="F92" i="34" s="1"/>
  <c r="C81" i="36" l="1"/>
  <c r="I80" i="36"/>
  <c r="E81" i="36"/>
  <c r="I109" i="33"/>
  <c r="C110" i="33"/>
  <c r="G110" i="33" s="1"/>
  <c r="F110" i="33" s="1"/>
  <c r="H98" i="35"/>
  <c r="H92" i="34"/>
  <c r="C99" i="35" l="1"/>
  <c r="G99" i="35" s="1"/>
  <c r="F99" i="35" s="1"/>
  <c r="I98" i="35"/>
  <c r="I92" i="34"/>
  <c r="C93" i="34"/>
  <c r="G93" i="34" s="1"/>
  <c r="F93" i="34" s="1"/>
  <c r="H93" i="34" s="1"/>
  <c r="H110" i="33"/>
  <c r="G81" i="36"/>
  <c r="F81" i="36" s="1"/>
  <c r="I93" i="34" l="1"/>
  <c r="C94" i="34"/>
  <c r="G94" i="34" s="1"/>
  <c r="F94" i="34" s="1"/>
  <c r="H94" i="34" s="1"/>
  <c r="C111" i="33"/>
  <c r="G111" i="33" s="1"/>
  <c r="F111" i="33" s="1"/>
  <c r="I110" i="33"/>
  <c r="H99" i="35"/>
  <c r="H81" i="36"/>
  <c r="E95" i="34" l="1"/>
  <c r="I94" i="34"/>
  <c r="C95" i="34"/>
  <c r="I99" i="35"/>
  <c r="C100" i="35"/>
  <c r="G100" i="35" s="1"/>
  <c r="F100" i="35" s="1"/>
  <c r="C82" i="36"/>
  <c r="I81" i="36"/>
  <c r="E82" i="36"/>
  <c r="H111" i="33"/>
  <c r="G82" i="36" l="1"/>
  <c r="F82" i="36" s="1"/>
  <c r="H82" i="36" s="1"/>
  <c r="H100" i="35"/>
  <c r="C112" i="33"/>
  <c r="G112" i="33" s="1"/>
  <c r="F112" i="33" s="1"/>
  <c r="I111" i="33"/>
  <c r="G95" i="34"/>
  <c r="F95" i="34" s="1"/>
  <c r="H95" i="34" l="1"/>
  <c r="H112" i="33"/>
  <c r="E101" i="35"/>
  <c r="C101" i="35"/>
  <c r="I100" i="35"/>
  <c r="C83" i="36"/>
  <c r="I82" i="36"/>
  <c r="E83" i="36"/>
  <c r="E113" i="33" l="1"/>
  <c r="C113" i="33"/>
  <c r="I112" i="33"/>
  <c r="G83" i="36"/>
  <c r="F83" i="36" s="1"/>
  <c r="G101" i="35"/>
  <c r="F101" i="35" s="1"/>
  <c r="I95" i="34"/>
  <c r="C96" i="34"/>
  <c r="G96" i="34" s="1"/>
  <c r="F96" i="34" s="1"/>
  <c r="H96" i="34" s="1"/>
  <c r="N23" i="35"/>
  <c r="P23" i="35" l="1"/>
  <c r="G113" i="33"/>
  <c r="F113" i="33" s="1"/>
  <c r="H113" i="33" s="1"/>
  <c r="H101" i="35"/>
  <c r="C97" i="34"/>
  <c r="G97" i="34" s="1"/>
  <c r="F97" i="34" s="1"/>
  <c r="I96" i="34"/>
  <c r="H83" i="36"/>
  <c r="N24" i="33"/>
  <c r="O23" i="35"/>
  <c r="M23" i="35" l="1"/>
  <c r="C114" i="33"/>
  <c r="G114" i="33" s="1"/>
  <c r="F114" i="33" s="1"/>
  <c r="D113" i="33"/>
  <c r="I113" i="33" s="1"/>
  <c r="H97" i="34"/>
  <c r="D101" i="35"/>
  <c r="I101" i="35" s="1"/>
  <c r="C102" i="35"/>
  <c r="G102" i="35" s="1"/>
  <c r="F102" i="35" s="1"/>
  <c r="H102" i="35" s="1"/>
  <c r="I83" i="36"/>
  <c r="C84" i="36"/>
  <c r="E84" i="36"/>
  <c r="O24" i="33"/>
  <c r="M24" i="33" l="1"/>
  <c r="P24" i="33" s="1"/>
  <c r="I102" i="35"/>
  <c r="C103" i="35"/>
  <c r="G103" i="35" s="1"/>
  <c r="F103" i="35" s="1"/>
  <c r="H103" i="35" s="1"/>
  <c r="E98" i="34"/>
  <c r="I97" i="34"/>
  <c r="C98" i="34"/>
  <c r="H114" i="33"/>
  <c r="G84" i="36"/>
  <c r="F84" i="36" s="1"/>
  <c r="H84" i="36" s="1"/>
  <c r="C85" i="36" l="1"/>
  <c r="I84" i="36"/>
  <c r="E85" i="36"/>
  <c r="I103" i="35"/>
  <c r="C104" i="35"/>
  <c r="G104" i="35" s="1"/>
  <c r="F104" i="35" s="1"/>
  <c r="G98" i="34"/>
  <c r="F98" i="34" s="1"/>
  <c r="C115" i="33"/>
  <c r="G115" i="33" s="1"/>
  <c r="F115" i="33" s="1"/>
  <c r="I114" i="33"/>
  <c r="H104" i="35" l="1"/>
  <c r="H115" i="33"/>
  <c r="H98" i="34"/>
  <c r="G85" i="36"/>
  <c r="F85" i="36" s="1"/>
  <c r="I115" i="33" l="1"/>
  <c r="C116" i="33"/>
  <c r="G116" i="33" s="1"/>
  <c r="F116" i="33" s="1"/>
  <c r="H116" i="33" s="1"/>
  <c r="I98" i="34"/>
  <c r="C99" i="34"/>
  <c r="G99" i="34" s="1"/>
  <c r="F99" i="34" s="1"/>
  <c r="C105" i="35"/>
  <c r="G105" i="35" s="1"/>
  <c r="F105" i="35" s="1"/>
  <c r="I104" i="35"/>
  <c r="H85" i="36"/>
  <c r="C117" i="33" l="1"/>
  <c r="G117" i="33" s="1"/>
  <c r="F117" i="33" s="1"/>
  <c r="I116" i="33"/>
  <c r="H99" i="34"/>
  <c r="C86" i="36"/>
  <c r="I85" i="36"/>
  <c r="E86" i="36"/>
  <c r="H105" i="35"/>
  <c r="C106" i="35" l="1"/>
  <c r="G106" i="35" s="1"/>
  <c r="F106" i="35" s="1"/>
  <c r="I105" i="35"/>
  <c r="G86" i="36"/>
  <c r="F86" i="36" s="1"/>
  <c r="H86" i="36" s="1"/>
  <c r="C100" i="34"/>
  <c r="G100" i="34" s="1"/>
  <c r="F100" i="34" s="1"/>
  <c r="I99" i="34"/>
  <c r="H117" i="33"/>
  <c r="I86" i="36" l="1"/>
  <c r="C87" i="36"/>
  <c r="E87" i="36"/>
  <c r="H100" i="34"/>
  <c r="C118" i="33"/>
  <c r="G118" i="33" s="1"/>
  <c r="F118" i="33" s="1"/>
  <c r="I117" i="33"/>
  <c r="H106" i="35"/>
  <c r="E107" i="35" l="1"/>
  <c r="C107" i="35"/>
  <c r="I106" i="35"/>
  <c r="H118" i="33"/>
  <c r="E101" i="34"/>
  <c r="I100" i="34"/>
  <c r="C101" i="34"/>
  <c r="G87" i="36"/>
  <c r="F87" i="36" s="1"/>
  <c r="H87" i="36" l="1"/>
  <c r="G101" i="34"/>
  <c r="F101" i="34" s="1"/>
  <c r="H101" i="34" s="1"/>
  <c r="C119" i="33"/>
  <c r="G119" i="33" s="1"/>
  <c r="F119" i="33" s="1"/>
  <c r="I118" i="33"/>
  <c r="G107" i="35"/>
  <c r="F107" i="35" s="1"/>
  <c r="N23" i="34"/>
  <c r="P23" i="34" l="1"/>
  <c r="C102" i="34"/>
  <c r="G102" i="34" s="1"/>
  <c r="F102" i="34" s="1"/>
  <c r="D101" i="34"/>
  <c r="I101" i="34" s="1"/>
  <c r="H107" i="35"/>
  <c r="H119" i="33"/>
  <c r="C88" i="36"/>
  <c r="I87" i="36"/>
  <c r="E88" i="36"/>
  <c r="O23" i="34"/>
  <c r="M23" i="34" l="1"/>
  <c r="H102" i="34"/>
  <c r="I119" i="33"/>
  <c r="C120" i="33"/>
  <c r="G120" i="33" s="1"/>
  <c r="F120" i="33" s="1"/>
  <c r="H120" i="33" s="1"/>
  <c r="C108" i="35"/>
  <c r="G108" i="35" s="1"/>
  <c r="F108" i="35" s="1"/>
  <c r="I107" i="35"/>
  <c r="G88" i="36"/>
  <c r="F88" i="36" s="1"/>
  <c r="H88" i="36" s="1"/>
  <c r="I120" i="33" l="1"/>
  <c r="C121" i="33"/>
  <c r="G121" i="33" s="1"/>
  <c r="F121" i="33" s="1"/>
  <c r="E89" i="36"/>
  <c r="I88" i="36"/>
  <c r="C89" i="36"/>
  <c r="C103" i="34"/>
  <c r="G103" i="34" s="1"/>
  <c r="F103" i="34" s="1"/>
  <c r="I102" i="34"/>
  <c r="H108" i="35"/>
  <c r="G89" i="36" l="1"/>
  <c r="F89" i="36" s="1"/>
  <c r="C109" i="35"/>
  <c r="G109" i="35" s="1"/>
  <c r="F109" i="35" s="1"/>
  <c r="I108" i="35"/>
  <c r="H103" i="34"/>
  <c r="H121" i="33"/>
  <c r="N22" i="36"/>
  <c r="P22" i="36" l="1"/>
  <c r="E104" i="34"/>
  <c r="C104" i="34"/>
  <c r="I103" i="34"/>
  <c r="C122" i="33"/>
  <c r="G122" i="33" s="1"/>
  <c r="F122" i="33" s="1"/>
  <c r="I121" i="33"/>
  <c r="H109" i="35"/>
  <c r="H89" i="36"/>
  <c r="O22" i="36"/>
  <c r="M22" i="36" l="1"/>
  <c r="G104" i="34"/>
  <c r="F104" i="34" s="1"/>
  <c r="D89" i="36"/>
  <c r="C90" i="36"/>
  <c r="G90" i="36" s="1"/>
  <c r="F90" i="36" s="1"/>
  <c r="H90" i="36" s="1"/>
  <c r="H122" i="33"/>
  <c r="C110" i="35"/>
  <c r="G110" i="35" s="1"/>
  <c r="F110" i="35" s="1"/>
  <c r="I109" i="35"/>
  <c r="I122" i="33" l="1"/>
  <c r="C123" i="33"/>
  <c r="G123" i="33" s="1"/>
  <c r="F123" i="33" s="1"/>
  <c r="C91" i="36"/>
  <c r="I90" i="36"/>
  <c r="H110" i="35"/>
  <c r="I89" i="36"/>
  <c r="E91" i="36"/>
  <c r="H104" i="34"/>
  <c r="C111" i="35" l="1"/>
  <c r="G111" i="35" s="1"/>
  <c r="F111" i="35" s="1"/>
  <c r="I110" i="35"/>
  <c r="G91" i="36"/>
  <c r="F91" i="36" s="1"/>
  <c r="H123" i="33"/>
  <c r="C105" i="34"/>
  <c r="G105" i="34" s="1"/>
  <c r="F105" i="34" s="1"/>
  <c r="I104" i="34"/>
  <c r="C124" i="33" l="1"/>
  <c r="G124" i="33" s="1"/>
  <c r="F124" i="33" s="1"/>
  <c r="I123" i="33"/>
  <c r="H111" i="35"/>
  <c r="H105" i="34"/>
  <c r="H91" i="36"/>
  <c r="C112" i="35" l="1"/>
  <c r="G112" i="35" s="1"/>
  <c r="F112" i="35" s="1"/>
  <c r="I111" i="35"/>
  <c r="C92" i="36"/>
  <c r="I91" i="36"/>
  <c r="E92" i="36"/>
  <c r="C106" i="34"/>
  <c r="G106" i="34" s="1"/>
  <c r="F106" i="34" s="1"/>
  <c r="H106" i="34" s="1"/>
  <c r="I105" i="34"/>
  <c r="H124" i="33"/>
  <c r="E107" i="34" l="1"/>
  <c r="C107" i="34"/>
  <c r="I106" i="34"/>
  <c r="G92" i="36"/>
  <c r="F92" i="36" s="1"/>
  <c r="H92" i="36" s="1"/>
  <c r="E125" i="33"/>
  <c r="C125" i="33"/>
  <c r="I124" i="33"/>
  <c r="H112" i="35"/>
  <c r="C93" i="36" l="1"/>
  <c r="I92" i="36"/>
  <c r="E93" i="36"/>
  <c r="G125" i="33"/>
  <c r="F125" i="33" s="1"/>
  <c r="E113" i="35"/>
  <c r="C113" i="35"/>
  <c r="I112" i="35"/>
  <c r="G107" i="34"/>
  <c r="F107" i="34" s="1"/>
  <c r="N25" i="33"/>
  <c r="G113" i="35" l="1"/>
  <c r="F113" i="35" s="1"/>
  <c r="H125" i="33"/>
  <c r="H107" i="34"/>
  <c r="G93" i="36"/>
  <c r="F93" i="36" s="1"/>
  <c r="O25" i="33"/>
  <c r="N24" i="35"/>
  <c r="P24" i="35" l="1"/>
  <c r="M25" i="33"/>
  <c r="P25" i="33" s="1"/>
  <c r="C126" i="33"/>
  <c r="G126" i="33" s="1"/>
  <c r="F126" i="33" s="1"/>
  <c r="H126" i="33" s="1"/>
  <c r="D125" i="33"/>
  <c r="I125" i="33" s="1"/>
  <c r="H93" i="36"/>
  <c r="C108" i="34"/>
  <c r="G108" i="34" s="1"/>
  <c r="F108" i="34" s="1"/>
  <c r="H108" i="34" s="1"/>
  <c r="I107" i="34"/>
  <c r="H113" i="35"/>
  <c r="O24" i="35"/>
  <c r="M24" i="35" l="1"/>
  <c r="I126" i="33"/>
  <c r="C127" i="33"/>
  <c r="G127" i="33" s="1"/>
  <c r="F127" i="33" s="1"/>
  <c r="I108" i="34"/>
  <c r="C109" i="34"/>
  <c r="G109" i="34" s="1"/>
  <c r="F109" i="34" s="1"/>
  <c r="I93" i="36"/>
  <c r="C94" i="36"/>
  <c r="E94" i="36"/>
  <c r="C114" i="35"/>
  <c r="G114" i="35" s="1"/>
  <c r="F114" i="35" s="1"/>
  <c r="H114" i="35" s="1"/>
  <c r="D113" i="35"/>
  <c r="I113" i="35" s="1"/>
  <c r="H109" i="34" l="1"/>
  <c r="H127" i="33"/>
  <c r="I114" i="35"/>
  <c r="C115" i="35"/>
  <c r="G115" i="35" s="1"/>
  <c r="F115" i="35" s="1"/>
  <c r="G94" i="36"/>
  <c r="F94" i="36" s="1"/>
  <c r="H115" i="35" l="1"/>
  <c r="E110" i="34"/>
  <c r="C110" i="34"/>
  <c r="I109" i="34"/>
  <c r="C128" i="33"/>
  <c r="G128" i="33" s="1"/>
  <c r="F128" i="33" s="1"/>
  <c r="I127" i="33"/>
  <c r="H94" i="36"/>
  <c r="I94" i="36" l="1"/>
  <c r="C95" i="36"/>
  <c r="E95" i="36"/>
  <c r="G110" i="34"/>
  <c r="F110" i="34" s="1"/>
  <c r="H128" i="33"/>
  <c r="I115" i="35"/>
  <c r="C116" i="35"/>
  <c r="G116" i="35" s="1"/>
  <c r="F116" i="35" s="1"/>
  <c r="H116" i="35" l="1"/>
  <c r="H110" i="34"/>
  <c r="G95" i="36"/>
  <c r="F95" i="36" s="1"/>
  <c r="H95" i="36" s="1"/>
  <c r="C129" i="33"/>
  <c r="G129" i="33" s="1"/>
  <c r="F129" i="33" s="1"/>
  <c r="I128" i="33"/>
  <c r="C96" i="36" l="1"/>
  <c r="I95" i="36"/>
  <c r="E96" i="36"/>
  <c r="H129" i="33"/>
  <c r="C111" i="34"/>
  <c r="G111" i="34" s="1"/>
  <c r="F111" i="34" s="1"/>
  <c r="I110" i="34"/>
  <c r="C117" i="35"/>
  <c r="G117" i="35" s="1"/>
  <c r="F117" i="35" s="1"/>
  <c r="I116" i="35"/>
  <c r="H111" i="34" l="1"/>
  <c r="C130" i="33"/>
  <c r="G130" i="33" s="1"/>
  <c r="F130" i="33" s="1"/>
  <c r="I129" i="33"/>
  <c r="H117" i="35"/>
  <c r="G96" i="36"/>
  <c r="F96" i="36" s="1"/>
  <c r="H96" i="36" l="1"/>
  <c r="C118" i="35"/>
  <c r="G118" i="35" s="1"/>
  <c r="F118" i="35" s="1"/>
  <c r="I117" i="35"/>
  <c r="H130" i="33"/>
  <c r="I111" i="34"/>
  <c r="C112" i="34"/>
  <c r="G112" i="34" s="1"/>
  <c r="F112" i="34" s="1"/>
  <c r="H112" i="34" s="1"/>
  <c r="E113" i="34" l="1"/>
  <c r="I112" i="34"/>
  <c r="C113" i="34"/>
  <c r="C131" i="33"/>
  <c r="G131" i="33" s="1"/>
  <c r="F131" i="33" s="1"/>
  <c r="H131" i="33" s="1"/>
  <c r="I130" i="33"/>
  <c r="H118" i="35"/>
  <c r="I96" i="36"/>
  <c r="C97" i="36"/>
  <c r="E97" i="36"/>
  <c r="G113" i="34" l="1"/>
  <c r="F113" i="34" s="1"/>
  <c r="H113" i="34" s="1"/>
  <c r="E119" i="35"/>
  <c r="C119" i="35"/>
  <c r="I118" i="35"/>
  <c r="I131" i="33"/>
  <c r="C132" i="33"/>
  <c r="G132" i="33" s="1"/>
  <c r="F132" i="33" s="1"/>
  <c r="G97" i="36"/>
  <c r="F97" i="36" s="1"/>
  <c r="H97" i="36" s="1"/>
  <c r="N24" i="34"/>
  <c r="P24" i="34" l="1"/>
  <c r="I97" i="36"/>
  <c r="C98" i="36"/>
  <c r="E98" i="36"/>
  <c r="D113" i="34"/>
  <c r="I113" i="34" s="1"/>
  <c r="C114" i="34"/>
  <c r="G114" i="34" s="1"/>
  <c r="F114" i="34" s="1"/>
  <c r="G119" i="35"/>
  <c r="F119" i="35" s="1"/>
  <c r="H132" i="33"/>
  <c r="O24" i="34"/>
  <c r="M24" i="34" l="1"/>
  <c r="H114" i="34"/>
  <c r="H119" i="35"/>
  <c r="G98" i="36"/>
  <c r="F98" i="36" s="1"/>
  <c r="C133" i="33"/>
  <c r="G133" i="33" s="1"/>
  <c r="F133" i="33" s="1"/>
  <c r="I132" i="33"/>
  <c r="C120" i="35" l="1"/>
  <c r="G120" i="35" s="1"/>
  <c r="F120" i="35" s="1"/>
  <c r="H120" i="35" s="1"/>
  <c r="I119" i="35"/>
  <c r="H133" i="33"/>
  <c r="H98" i="36"/>
  <c r="I114" i="34"/>
  <c r="C115" i="34"/>
  <c r="G115" i="34" s="1"/>
  <c r="F115" i="34" s="1"/>
  <c r="H115" i="34" l="1"/>
  <c r="C121" i="35"/>
  <c r="G121" i="35" s="1"/>
  <c r="F121" i="35" s="1"/>
  <c r="I120" i="35"/>
  <c r="C99" i="36"/>
  <c r="I98" i="36"/>
  <c r="E99" i="36"/>
  <c r="C134" i="33"/>
  <c r="G134" i="33" s="1"/>
  <c r="F134" i="33" s="1"/>
  <c r="I133" i="33"/>
  <c r="H134" i="33" l="1"/>
  <c r="G99" i="36"/>
  <c r="F99" i="36" s="1"/>
  <c r="H99" i="36" s="1"/>
  <c r="H121" i="35"/>
  <c r="E116" i="34"/>
  <c r="C116" i="34"/>
  <c r="I115" i="34"/>
  <c r="C100" i="36" l="1"/>
  <c r="I99" i="36"/>
  <c r="E100" i="36"/>
  <c r="G116" i="34"/>
  <c r="F116" i="34" s="1"/>
  <c r="I121" i="35"/>
  <c r="C122" i="35"/>
  <c r="G122" i="35" s="1"/>
  <c r="F122" i="35" s="1"/>
  <c r="I134" i="33"/>
  <c r="C135" i="33"/>
  <c r="G135" i="33" s="1"/>
  <c r="F135" i="33" s="1"/>
  <c r="H122" i="35" l="1"/>
  <c r="H135" i="33"/>
  <c r="H116" i="34"/>
  <c r="G100" i="36"/>
  <c r="F100" i="36" s="1"/>
  <c r="I116" i="34" l="1"/>
  <c r="C117" i="34"/>
  <c r="G117" i="34" s="1"/>
  <c r="F117" i="34" s="1"/>
  <c r="C136" i="33"/>
  <c r="G136" i="33" s="1"/>
  <c r="F136" i="33" s="1"/>
  <c r="I135" i="33"/>
  <c r="H100" i="36"/>
  <c r="I122" i="35"/>
  <c r="C123" i="35"/>
  <c r="G123" i="35" s="1"/>
  <c r="F123" i="35" s="1"/>
  <c r="H123" i="35" l="1"/>
  <c r="E101" i="36"/>
  <c r="C101" i="36"/>
  <c r="I100" i="36"/>
  <c r="H136" i="33"/>
  <c r="H117" i="34"/>
  <c r="C118" i="34" l="1"/>
  <c r="G118" i="34" s="1"/>
  <c r="F118" i="34" s="1"/>
  <c r="H118" i="34" s="1"/>
  <c r="I117" i="34"/>
  <c r="E137" i="33"/>
  <c r="C137" i="33"/>
  <c r="I136" i="33"/>
  <c r="G101" i="36"/>
  <c r="F101" i="36" s="1"/>
  <c r="I123" i="35"/>
  <c r="C124" i="35"/>
  <c r="G124" i="35" s="1"/>
  <c r="F124" i="35" s="1"/>
  <c r="H124" i="35" s="1"/>
  <c r="N23" i="36"/>
  <c r="P23" i="36" l="1"/>
  <c r="E119" i="34"/>
  <c r="C119" i="34"/>
  <c r="I118" i="34"/>
  <c r="E125" i="35"/>
  <c r="I124" i="35"/>
  <c r="C125" i="35"/>
  <c r="H101" i="36"/>
  <c r="G137" i="33"/>
  <c r="F137" i="33" s="1"/>
  <c r="O23" i="36"/>
  <c r="N26" i="33"/>
  <c r="M23" i="36" l="1"/>
  <c r="G119" i="34"/>
  <c r="F119" i="34" s="1"/>
  <c r="H137" i="33"/>
  <c r="C102" i="36"/>
  <c r="G102" i="36" s="1"/>
  <c r="F102" i="36" s="1"/>
  <c r="D101" i="36"/>
  <c r="G125" i="35"/>
  <c r="F125" i="35" s="1"/>
  <c r="O26" i="33"/>
  <c r="N25" i="35"/>
  <c r="P25" i="35" l="1"/>
  <c r="M26" i="33"/>
  <c r="P26" i="33" s="1"/>
  <c r="H102" i="36"/>
  <c r="E103" i="36" s="1"/>
  <c r="I101" i="36"/>
  <c r="H125" i="35"/>
  <c r="D137" i="33"/>
  <c r="I137" i="33" s="1"/>
  <c r="C138" i="33"/>
  <c r="G138" i="33" s="1"/>
  <c r="F138" i="33" s="1"/>
  <c r="H119" i="34"/>
  <c r="O25" i="35"/>
  <c r="M25" i="35" l="1"/>
  <c r="C103" i="36"/>
  <c r="G103" i="36" s="1"/>
  <c r="F103" i="36" s="1"/>
  <c r="I102" i="36"/>
  <c r="H138" i="33"/>
  <c r="C120" i="34"/>
  <c r="G120" i="34" s="1"/>
  <c r="F120" i="34" s="1"/>
  <c r="H120" i="34" s="1"/>
  <c r="I119" i="34"/>
  <c r="C126" i="35"/>
  <c r="G126" i="35" s="1"/>
  <c r="F126" i="35" s="1"/>
  <c r="H126" i="35" s="1"/>
  <c r="D125" i="35"/>
  <c r="I125" i="35" s="1"/>
  <c r="I120" i="34" l="1"/>
  <c r="C121" i="34"/>
  <c r="G121" i="34" s="1"/>
  <c r="F121" i="34" s="1"/>
  <c r="H103" i="36"/>
  <c r="I138" i="33"/>
  <c r="C139" i="33"/>
  <c r="G139" i="33" s="1"/>
  <c r="F139" i="33" s="1"/>
  <c r="I126" i="35"/>
  <c r="C127" i="35"/>
  <c r="G127" i="35" s="1"/>
  <c r="F127" i="35" s="1"/>
  <c r="H127" i="35" s="1"/>
  <c r="I127" i="35" l="1"/>
  <c r="C128" i="35"/>
  <c r="G128" i="35" s="1"/>
  <c r="F128" i="35" s="1"/>
  <c r="I103" i="36"/>
  <c r="C104" i="36"/>
  <c r="E104" i="36"/>
  <c r="H139" i="33"/>
  <c r="H121" i="34"/>
  <c r="I139" i="33" l="1"/>
  <c r="C140" i="33"/>
  <c r="G140" i="33" s="1"/>
  <c r="F140" i="33" s="1"/>
  <c r="H140" i="33" s="1"/>
  <c r="H128" i="35"/>
  <c r="E122" i="34"/>
  <c r="I121" i="34"/>
  <c r="C122" i="34"/>
  <c r="G104" i="36"/>
  <c r="F104" i="36" s="1"/>
  <c r="I140" i="33" l="1"/>
  <c r="C141" i="33"/>
  <c r="G141" i="33" s="1"/>
  <c r="F141" i="33" s="1"/>
  <c r="H141" i="33" s="1"/>
  <c r="G122" i="34"/>
  <c r="F122" i="34" s="1"/>
  <c r="C129" i="35"/>
  <c r="G129" i="35" s="1"/>
  <c r="F129" i="35" s="1"/>
  <c r="I128" i="35"/>
  <c r="H104" i="36"/>
  <c r="H129" i="35" l="1"/>
  <c r="H122" i="34"/>
  <c r="I141" i="33"/>
  <c r="C142" i="33"/>
  <c r="G142" i="33" s="1"/>
  <c r="F142" i="33" s="1"/>
  <c r="I104" i="36"/>
  <c r="C105" i="36"/>
  <c r="E105" i="36"/>
  <c r="H142" i="33" l="1"/>
  <c r="C123" i="34"/>
  <c r="G123" i="34" s="1"/>
  <c r="F123" i="34" s="1"/>
  <c r="H123" i="34" s="1"/>
  <c r="I122" i="34"/>
  <c r="G105" i="36"/>
  <c r="F105" i="36" s="1"/>
  <c r="H105" i="36" s="1"/>
  <c r="I129" i="35"/>
  <c r="C130" i="35"/>
  <c r="G130" i="35" s="1"/>
  <c r="F130" i="35" s="1"/>
  <c r="C106" i="36" l="1"/>
  <c r="I105" i="36"/>
  <c r="E106" i="36"/>
  <c r="I123" i="34"/>
  <c r="C124" i="34"/>
  <c r="G124" i="34" s="1"/>
  <c r="F124" i="34" s="1"/>
  <c r="H130" i="35"/>
  <c r="C143" i="33"/>
  <c r="G143" i="33" s="1"/>
  <c r="F143" i="33" s="1"/>
  <c r="I142" i="33"/>
  <c r="H124" i="34" l="1"/>
  <c r="E131" i="35"/>
  <c r="C131" i="35"/>
  <c r="I130" i="35"/>
  <c r="H143" i="33"/>
  <c r="G106" i="36"/>
  <c r="F106" i="36" s="1"/>
  <c r="I143" i="33" l="1"/>
  <c r="C144" i="33"/>
  <c r="G144" i="33" s="1"/>
  <c r="F144" i="33" s="1"/>
  <c r="G131" i="35"/>
  <c r="F131" i="35" s="1"/>
  <c r="H106" i="36"/>
  <c r="E125" i="34"/>
  <c r="C125" i="34"/>
  <c r="I124" i="34"/>
  <c r="G125" i="34" l="1"/>
  <c r="F125" i="34" s="1"/>
  <c r="H131" i="35"/>
  <c r="H144" i="33"/>
  <c r="C107" i="36"/>
  <c r="I106" i="36"/>
  <c r="E107" i="36"/>
  <c r="N25" i="34"/>
  <c r="P25" i="34" l="1"/>
  <c r="G107" i="36"/>
  <c r="F107" i="36" s="1"/>
  <c r="C145" i="33"/>
  <c r="G145" i="33" s="1"/>
  <c r="F145" i="33" s="1"/>
  <c r="I144" i="33"/>
  <c r="C132" i="35"/>
  <c r="G132" i="35" s="1"/>
  <c r="F132" i="35" s="1"/>
  <c r="I131" i="35"/>
  <c r="H125" i="34"/>
  <c r="O25" i="34"/>
  <c r="M25" i="34" l="1"/>
  <c r="H107" i="36"/>
  <c r="H145" i="33"/>
  <c r="C126" i="34"/>
  <c r="G126" i="34" s="1"/>
  <c r="F126" i="34" s="1"/>
  <c r="D125" i="34"/>
  <c r="I125" i="34" s="1"/>
  <c r="H132" i="35"/>
  <c r="H126" i="34" l="1"/>
  <c r="C146" i="33"/>
  <c r="G146" i="33" s="1"/>
  <c r="F146" i="33" s="1"/>
  <c r="I145" i="33"/>
  <c r="C133" i="35"/>
  <c r="G133" i="35" s="1"/>
  <c r="F133" i="35" s="1"/>
  <c r="I132" i="35"/>
  <c r="I107" i="36"/>
  <c r="C108" i="36"/>
  <c r="E108" i="36"/>
  <c r="G108" i="36" l="1"/>
  <c r="F108" i="36" s="1"/>
  <c r="H108" i="36" s="1"/>
  <c r="H146" i="33"/>
  <c r="H133" i="35"/>
  <c r="C127" i="34"/>
  <c r="G127" i="34" s="1"/>
  <c r="F127" i="34" s="1"/>
  <c r="H127" i="34" s="1"/>
  <c r="I126" i="34"/>
  <c r="E128" i="34" l="1"/>
  <c r="C128" i="34"/>
  <c r="I127" i="34"/>
  <c r="I108" i="36"/>
  <c r="C109" i="36"/>
  <c r="E109" i="36"/>
  <c r="C134" i="35"/>
  <c r="G134" i="35" s="1"/>
  <c r="F134" i="35" s="1"/>
  <c r="I133" i="35"/>
  <c r="I146" i="33"/>
  <c r="C147" i="33"/>
  <c r="G147" i="33" s="1"/>
  <c r="F147" i="33" s="1"/>
  <c r="H134" i="35" l="1"/>
  <c r="G109" i="36"/>
  <c r="F109" i="36" s="1"/>
  <c r="H109" i="36" s="1"/>
  <c r="H147" i="33"/>
  <c r="G128" i="34"/>
  <c r="F128" i="34" s="1"/>
  <c r="I109" i="36" l="1"/>
  <c r="C110" i="36"/>
  <c r="E110" i="36"/>
  <c r="I147" i="33"/>
  <c r="C148" i="33"/>
  <c r="G148" i="33" s="1"/>
  <c r="F148" i="33" s="1"/>
  <c r="H128" i="34"/>
  <c r="C135" i="35"/>
  <c r="G135" i="35" s="1"/>
  <c r="F135" i="35" s="1"/>
  <c r="I134" i="35"/>
  <c r="H135" i="35" l="1"/>
  <c r="C129" i="34"/>
  <c r="G129" i="34" s="1"/>
  <c r="F129" i="34" s="1"/>
  <c r="H129" i="34" s="1"/>
  <c r="I128" i="34"/>
  <c r="H148" i="33"/>
  <c r="G110" i="36"/>
  <c r="F110" i="36" s="1"/>
  <c r="C130" i="34" l="1"/>
  <c r="G130" i="34" s="1"/>
  <c r="F130" i="34" s="1"/>
  <c r="H130" i="34" s="1"/>
  <c r="I129" i="34"/>
  <c r="H110" i="36"/>
  <c r="E149" i="33"/>
  <c r="I148" i="33"/>
  <c r="C149" i="33"/>
  <c r="C136" i="35"/>
  <c r="G136" i="35" s="1"/>
  <c r="F136" i="35" s="1"/>
  <c r="I135" i="35"/>
  <c r="G149" i="33" l="1"/>
  <c r="F149" i="33" s="1"/>
  <c r="C111" i="36"/>
  <c r="I110" i="36"/>
  <c r="E111" i="36"/>
  <c r="E131" i="34"/>
  <c r="I130" i="34"/>
  <c r="C131" i="34"/>
  <c r="H149" i="33"/>
  <c r="H136" i="35"/>
  <c r="N27" i="33"/>
  <c r="G131" i="34" l="1"/>
  <c r="F131" i="34" s="1"/>
  <c r="C150" i="33"/>
  <c r="G150" i="33" s="1"/>
  <c r="F150" i="33" s="1"/>
  <c r="D149" i="33"/>
  <c r="I149" i="33" s="1"/>
  <c r="G111" i="36"/>
  <c r="F111" i="36" s="1"/>
  <c r="H111" i="36" s="1"/>
  <c r="E137" i="35"/>
  <c r="C137" i="35"/>
  <c r="I136" i="35"/>
  <c r="O27" i="33"/>
  <c r="M27" i="33" l="1"/>
  <c r="P27" i="33" s="1"/>
  <c r="C112" i="36"/>
  <c r="I111" i="36"/>
  <c r="E112" i="36"/>
  <c r="H131" i="34"/>
  <c r="H150" i="33"/>
  <c r="G137" i="35"/>
  <c r="F137" i="35" s="1"/>
  <c r="N26" i="35"/>
  <c r="P26" i="35" l="1"/>
  <c r="C151" i="33"/>
  <c r="G151" i="33" s="1"/>
  <c r="F151" i="33" s="1"/>
  <c r="I150" i="33"/>
  <c r="H137" i="35"/>
  <c r="G112" i="36"/>
  <c r="F112" i="36" s="1"/>
  <c r="C132" i="34"/>
  <c r="G132" i="34" s="1"/>
  <c r="F132" i="34" s="1"/>
  <c r="H132" i="34" s="1"/>
  <c r="I131" i="34"/>
  <c r="O26" i="35"/>
  <c r="M26" i="35" l="1"/>
  <c r="H151" i="33"/>
  <c r="D137" i="35"/>
  <c r="I137" i="35" s="1"/>
  <c r="C138" i="35"/>
  <c r="G138" i="35" s="1"/>
  <c r="F138" i="35" s="1"/>
  <c r="I132" i="34"/>
  <c r="C133" i="34"/>
  <c r="G133" i="34" s="1"/>
  <c r="F133" i="34" s="1"/>
  <c r="H112" i="36"/>
  <c r="E113" i="36" l="1"/>
  <c r="C113" i="36"/>
  <c r="I112" i="36"/>
  <c r="H138" i="35"/>
  <c r="H133" i="34"/>
  <c r="C152" i="33"/>
  <c r="G152" i="33" s="1"/>
  <c r="F152" i="33" s="1"/>
  <c r="I151" i="33"/>
  <c r="E134" i="34" l="1"/>
  <c r="C134" i="34"/>
  <c r="I133" i="34"/>
  <c r="H152" i="33"/>
  <c r="I138" i="35"/>
  <c r="C139" i="35"/>
  <c r="G139" i="35" s="1"/>
  <c r="F139" i="35" s="1"/>
  <c r="G113" i="36"/>
  <c r="F113" i="36" s="1"/>
  <c r="N24" i="36"/>
  <c r="P24" i="36" l="1"/>
  <c r="H139" i="35"/>
  <c r="H113" i="36"/>
  <c r="C153" i="33"/>
  <c r="G153" i="33" s="1"/>
  <c r="F153" i="33" s="1"/>
  <c r="I152" i="33"/>
  <c r="G134" i="34"/>
  <c r="F134" i="34" s="1"/>
  <c r="O24" i="36"/>
  <c r="M24" i="36" l="1"/>
  <c r="H153" i="33"/>
  <c r="D113" i="36"/>
  <c r="C114" i="36"/>
  <c r="G114" i="36" s="1"/>
  <c r="F114" i="36" s="1"/>
  <c r="H114" i="36" s="1"/>
  <c r="H134" i="34"/>
  <c r="I139" i="35"/>
  <c r="C140" i="35"/>
  <c r="G140" i="35" s="1"/>
  <c r="F140" i="35" s="1"/>
  <c r="C115" i="36" l="1"/>
  <c r="I114" i="36"/>
  <c r="I134" i="34"/>
  <c r="C135" i="34"/>
  <c r="G135" i="34" s="1"/>
  <c r="F135" i="34" s="1"/>
  <c r="H135" i="34" s="1"/>
  <c r="I153" i="33"/>
  <c r="C154" i="33"/>
  <c r="G154" i="33" s="1"/>
  <c r="F154" i="33" s="1"/>
  <c r="H140" i="35"/>
  <c r="I113" i="36"/>
  <c r="E115" i="36"/>
  <c r="C136" i="34" l="1"/>
  <c r="G136" i="34" s="1"/>
  <c r="F136" i="34" s="1"/>
  <c r="H136" i="34" s="1"/>
  <c r="I135" i="34"/>
  <c r="I140" i="35"/>
  <c r="C141" i="35"/>
  <c r="G141" i="35" s="1"/>
  <c r="F141" i="35" s="1"/>
  <c r="H154" i="33"/>
  <c r="G115" i="36"/>
  <c r="F115" i="36" s="1"/>
  <c r="H115" i="36" s="1"/>
  <c r="C155" i="33" l="1"/>
  <c r="G155" i="33" s="1"/>
  <c r="F155" i="33" s="1"/>
  <c r="I154" i="33"/>
  <c r="C116" i="36"/>
  <c r="I115" i="36"/>
  <c r="E116" i="36"/>
  <c r="E137" i="34"/>
  <c r="C137" i="34"/>
  <c r="I136" i="34"/>
  <c r="H141" i="35"/>
  <c r="G137" i="34" l="1"/>
  <c r="F137" i="34" s="1"/>
  <c r="G116" i="36"/>
  <c r="F116" i="36" s="1"/>
  <c r="H116" i="36" s="1"/>
  <c r="C142" i="35"/>
  <c r="G142" i="35" s="1"/>
  <c r="F142" i="35" s="1"/>
  <c r="I141" i="35"/>
  <c r="H155" i="33"/>
  <c r="N26" i="34"/>
  <c r="P26" i="34" l="1"/>
  <c r="C156" i="33"/>
  <c r="G156" i="33" s="1"/>
  <c r="F156" i="33" s="1"/>
  <c r="I155" i="33"/>
  <c r="C117" i="36"/>
  <c r="I116" i="36"/>
  <c r="E117" i="36"/>
  <c r="H142" i="35"/>
  <c r="H137" i="34"/>
  <c r="O26" i="34"/>
  <c r="M26" i="34" l="1"/>
  <c r="G117" i="36"/>
  <c r="F117" i="36" s="1"/>
  <c r="H117" i="36" s="1"/>
  <c r="H156" i="33"/>
  <c r="D137" i="34"/>
  <c r="I137" i="34" s="1"/>
  <c r="C138" i="34"/>
  <c r="G138" i="34" s="1"/>
  <c r="F138" i="34" s="1"/>
  <c r="H138" i="34" s="1"/>
  <c r="E143" i="35"/>
  <c r="I142" i="35"/>
  <c r="C143" i="35"/>
  <c r="I138" i="34" l="1"/>
  <c r="C139" i="34"/>
  <c r="G139" i="34" s="1"/>
  <c r="F139" i="34" s="1"/>
  <c r="H139" i="34" s="1"/>
  <c r="I117" i="36"/>
  <c r="C118" i="36"/>
  <c r="E118" i="36"/>
  <c r="I156" i="33"/>
  <c r="C157" i="33"/>
  <c r="G157" i="33" s="1"/>
  <c r="F157" i="33" s="1"/>
  <c r="G143" i="35"/>
  <c r="F143" i="35" s="1"/>
  <c r="H143" i="35" s="1"/>
  <c r="E140" i="34" l="1"/>
  <c r="I139" i="34"/>
  <c r="C140" i="34"/>
  <c r="G118" i="36"/>
  <c r="F118" i="36" s="1"/>
  <c r="C144" i="35"/>
  <c r="G144" i="35" s="1"/>
  <c r="F144" i="35" s="1"/>
  <c r="H144" i="35" s="1"/>
  <c r="I143" i="35"/>
  <c r="H157" i="33"/>
  <c r="C145" i="35" l="1"/>
  <c r="G145" i="35" s="1"/>
  <c r="F145" i="35" s="1"/>
  <c r="I144" i="35"/>
  <c r="H118" i="36"/>
  <c r="G140" i="34"/>
  <c r="F140" i="34" s="1"/>
  <c r="H140" i="34" s="1"/>
  <c r="C158" i="33"/>
  <c r="G158" i="33" s="1"/>
  <c r="F158" i="33" s="1"/>
  <c r="I157" i="33"/>
  <c r="H158" i="33" l="1"/>
  <c r="I118" i="36"/>
  <c r="C119" i="36"/>
  <c r="E119" i="36"/>
  <c r="I140" i="34"/>
  <c r="C141" i="34"/>
  <c r="G141" i="34" s="1"/>
  <c r="F141" i="34" s="1"/>
  <c r="H145" i="35"/>
  <c r="I145" i="35" l="1"/>
  <c r="C146" i="35"/>
  <c r="G146" i="35" s="1"/>
  <c r="F146" i="35" s="1"/>
  <c r="H141" i="34"/>
  <c r="G119" i="36"/>
  <c r="F119" i="36" s="1"/>
  <c r="C159" i="33"/>
  <c r="G159" i="33" s="1"/>
  <c r="F159" i="33" s="1"/>
  <c r="I158" i="33"/>
  <c r="H159" i="33" l="1"/>
  <c r="I141" i="34"/>
  <c r="C142" i="34"/>
  <c r="G142" i="34" s="1"/>
  <c r="F142" i="34" s="1"/>
  <c r="H142" i="34" s="1"/>
  <c r="H146" i="35"/>
  <c r="H119" i="36"/>
  <c r="I146" i="35" l="1"/>
  <c r="C147" i="35"/>
  <c r="G147" i="35" s="1"/>
  <c r="F147" i="35" s="1"/>
  <c r="E143" i="34"/>
  <c r="I142" i="34"/>
  <c r="C143" i="34"/>
  <c r="I119" i="36"/>
  <c r="C120" i="36"/>
  <c r="E120" i="36"/>
  <c r="C160" i="33"/>
  <c r="G160" i="33" s="1"/>
  <c r="F160" i="33" s="1"/>
  <c r="H160" i="33" s="1"/>
  <c r="I159" i="33"/>
  <c r="G120" i="36" l="1"/>
  <c r="F120" i="36" s="1"/>
  <c r="H120" i="36" s="1"/>
  <c r="E161" i="33"/>
  <c r="I160" i="33"/>
  <c r="C161" i="33"/>
  <c r="H147" i="35"/>
  <c r="G143" i="34"/>
  <c r="F143" i="34" s="1"/>
  <c r="H143" i="34" l="1"/>
  <c r="I120" i="36"/>
  <c r="C121" i="36"/>
  <c r="E121" i="36"/>
  <c r="G161" i="33"/>
  <c r="F161" i="33" s="1"/>
  <c r="I147" i="35"/>
  <c r="C148" i="35"/>
  <c r="G148" i="35" s="1"/>
  <c r="F148" i="35" s="1"/>
  <c r="N28" i="33"/>
  <c r="H148" i="35" l="1"/>
  <c r="H161" i="33"/>
  <c r="G121" i="36"/>
  <c r="F121" i="36" s="1"/>
  <c r="C144" i="34"/>
  <c r="G144" i="34" s="1"/>
  <c r="F144" i="34" s="1"/>
  <c r="H144" i="34" s="1"/>
  <c r="I143" i="34"/>
  <c r="O28" i="33"/>
  <c r="M28" i="33" l="1"/>
  <c r="P28" i="33" s="1"/>
  <c r="C145" i="34"/>
  <c r="G145" i="34" s="1"/>
  <c r="F145" i="34" s="1"/>
  <c r="I144" i="34"/>
  <c r="C162" i="33"/>
  <c r="G162" i="33" s="1"/>
  <c r="F162" i="33" s="1"/>
  <c r="D161" i="33"/>
  <c r="I161" i="33" s="1"/>
  <c r="H121" i="36"/>
  <c r="E149" i="35"/>
  <c r="I148" i="35"/>
  <c r="C149" i="35"/>
  <c r="G149" i="35" l="1"/>
  <c r="F149" i="35" s="1"/>
  <c r="H145" i="34"/>
  <c r="C122" i="36"/>
  <c r="I121" i="36"/>
  <c r="E122" i="36"/>
  <c r="H162" i="33"/>
  <c r="N27" i="35"/>
  <c r="P27" i="35" l="1"/>
  <c r="C163" i="33"/>
  <c r="G163" i="33" s="1"/>
  <c r="F163" i="33" s="1"/>
  <c r="I162" i="33"/>
  <c r="G122" i="36"/>
  <c r="F122" i="36" s="1"/>
  <c r="E146" i="34"/>
  <c r="C146" i="34"/>
  <c r="I145" i="34"/>
  <c r="H149" i="35"/>
  <c r="O27" i="35"/>
  <c r="M27" i="35" l="1"/>
  <c r="H122" i="36"/>
  <c r="C150" i="35"/>
  <c r="G150" i="35" s="1"/>
  <c r="F150" i="35" s="1"/>
  <c r="D149" i="35"/>
  <c r="I149" i="35" s="1"/>
  <c r="H163" i="33"/>
  <c r="G146" i="34"/>
  <c r="F146" i="34" s="1"/>
  <c r="H146" i="34" l="1"/>
  <c r="I163" i="33"/>
  <c r="C164" i="33"/>
  <c r="G164" i="33" s="1"/>
  <c r="F164" i="33" s="1"/>
  <c r="H150" i="35"/>
  <c r="I122" i="36"/>
  <c r="C123" i="36"/>
  <c r="E123" i="36"/>
  <c r="H164" i="33" l="1"/>
  <c r="G123" i="36"/>
  <c r="F123" i="36" s="1"/>
  <c r="C151" i="35"/>
  <c r="G151" i="35" s="1"/>
  <c r="F151" i="35" s="1"/>
  <c r="I150" i="35"/>
  <c r="I146" i="34"/>
  <c r="C147" i="34"/>
  <c r="G147" i="34" s="1"/>
  <c r="F147" i="34" s="1"/>
  <c r="H147" i="34" l="1"/>
  <c r="H151" i="35"/>
  <c r="C165" i="33"/>
  <c r="G165" i="33" s="1"/>
  <c r="F165" i="33" s="1"/>
  <c r="I164" i="33"/>
  <c r="H123" i="36"/>
  <c r="C124" i="36" l="1"/>
  <c r="I123" i="36"/>
  <c r="E124" i="36"/>
  <c r="I151" i="35"/>
  <c r="C152" i="35"/>
  <c r="G152" i="35" s="1"/>
  <c r="F152" i="35" s="1"/>
  <c r="H165" i="33"/>
  <c r="C148" i="34"/>
  <c r="G148" i="34" s="1"/>
  <c r="F148" i="34" s="1"/>
  <c r="I147" i="34"/>
  <c r="H148" i="34" l="1"/>
  <c r="I165" i="33"/>
  <c r="C166" i="33"/>
  <c r="G166" i="33" s="1"/>
  <c r="F166" i="33" s="1"/>
  <c r="H152" i="35"/>
  <c r="G124" i="36"/>
  <c r="F124" i="36" s="1"/>
  <c r="C153" i="35" l="1"/>
  <c r="G153" i="35" s="1"/>
  <c r="F153" i="35" s="1"/>
  <c r="H153" i="35" s="1"/>
  <c r="I152" i="35"/>
  <c r="H124" i="36"/>
  <c r="H166" i="33"/>
  <c r="E149" i="34"/>
  <c r="C149" i="34"/>
  <c r="I148" i="34"/>
  <c r="C167" i="33" l="1"/>
  <c r="G167" i="33" s="1"/>
  <c r="F167" i="33" s="1"/>
  <c r="I166" i="33"/>
  <c r="G149" i="34"/>
  <c r="F149" i="34" s="1"/>
  <c r="E125" i="36"/>
  <c r="I124" i="36"/>
  <c r="C125" i="36"/>
  <c r="C154" i="35"/>
  <c r="G154" i="35" s="1"/>
  <c r="F154" i="35" s="1"/>
  <c r="I153" i="35"/>
  <c r="N27" i="34"/>
  <c r="P27" i="34" l="1"/>
  <c r="G125" i="36"/>
  <c r="F125" i="36" s="1"/>
  <c r="H154" i="35"/>
  <c r="H149" i="34"/>
  <c r="H167" i="33"/>
  <c r="N25" i="36"/>
  <c r="O27" i="34"/>
  <c r="P25" i="36" l="1"/>
  <c r="M27" i="34"/>
  <c r="I167" i="33"/>
  <c r="C168" i="33"/>
  <c r="G168" i="33" s="1"/>
  <c r="F168" i="33" s="1"/>
  <c r="D149" i="34"/>
  <c r="I149" i="34" s="1"/>
  <c r="C150" i="34"/>
  <c r="G150" i="34" s="1"/>
  <c r="F150" i="34" s="1"/>
  <c r="E155" i="35"/>
  <c r="C155" i="35"/>
  <c r="I154" i="35"/>
  <c r="H125" i="36"/>
  <c r="O25" i="36"/>
  <c r="M25" i="36" l="1"/>
  <c r="H168" i="33"/>
  <c r="H150" i="34"/>
  <c r="C126" i="36"/>
  <c r="G126" i="36" s="1"/>
  <c r="F126" i="36" s="1"/>
  <c r="H126" i="36" s="1"/>
  <c r="D125" i="36"/>
  <c r="G155" i="35"/>
  <c r="F155" i="35" s="1"/>
  <c r="C127" i="36" l="1"/>
  <c r="I126" i="36"/>
  <c r="I125" i="36"/>
  <c r="E127" i="36"/>
  <c r="H155" i="35"/>
  <c r="C151" i="34"/>
  <c r="G151" i="34" s="1"/>
  <c r="F151" i="34" s="1"/>
  <c r="I150" i="34"/>
  <c r="C169" i="33"/>
  <c r="G169" i="33" s="1"/>
  <c r="F169" i="33" s="1"/>
  <c r="I168" i="33"/>
  <c r="C156" i="35" l="1"/>
  <c r="G156" i="35" s="1"/>
  <c r="F156" i="35" s="1"/>
  <c r="H156" i="35" s="1"/>
  <c r="I155" i="35"/>
  <c r="H151" i="34"/>
  <c r="H169" i="33"/>
  <c r="G127" i="36"/>
  <c r="F127" i="36" s="1"/>
  <c r="H127" i="36" s="1"/>
  <c r="I127" i="36" l="1"/>
  <c r="C128" i="36"/>
  <c r="E128" i="36"/>
  <c r="I169" i="33"/>
  <c r="C170" i="33"/>
  <c r="G170" i="33" s="1"/>
  <c r="F170" i="33" s="1"/>
  <c r="E152" i="34"/>
  <c r="C152" i="34"/>
  <c r="I151" i="34"/>
  <c r="I156" i="35"/>
  <c r="C157" i="35"/>
  <c r="G157" i="35" s="1"/>
  <c r="F157" i="35" s="1"/>
  <c r="G152" i="34" l="1"/>
  <c r="F152" i="34" s="1"/>
  <c r="H152" i="34" s="1"/>
  <c r="H170" i="33"/>
  <c r="G128" i="36"/>
  <c r="F128" i="36" s="1"/>
  <c r="H157" i="35"/>
  <c r="H128" i="36" l="1"/>
  <c r="C171" i="33"/>
  <c r="G171" i="33" s="1"/>
  <c r="F171" i="33" s="1"/>
  <c r="I170" i="33"/>
  <c r="C158" i="35"/>
  <c r="G158" i="35" s="1"/>
  <c r="F158" i="35" s="1"/>
  <c r="H158" i="35" s="1"/>
  <c r="I157" i="35"/>
  <c r="I152" i="34"/>
  <c r="C153" i="34"/>
  <c r="G153" i="34" s="1"/>
  <c r="F153" i="34" s="1"/>
  <c r="C159" i="35" l="1"/>
  <c r="G159" i="35" s="1"/>
  <c r="F159" i="35" s="1"/>
  <c r="I158" i="35"/>
  <c r="H153" i="34"/>
  <c r="H171" i="33"/>
  <c r="I128" i="36"/>
  <c r="C129" i="36"/>
  <c r="E129" i="36"/>
  <c r="G129" i="36" l="1"/>
  <c r="F129" i="36" s="1"/>
  <c r="H129" i="36" s="1"/>
  <c r="C172" i="33"/>
  <c r="G172" i="33" s="1"/>
  <c r="F172" i="33" s="1"/>
  <c r="H172" i="33" s="1"/>
  <c r="I171" i="33"/>
  <c r="C154" i="34"/>
  <c r="G154" i="34" s="1"/>
  <c r="F154" i="34" s="1"/>
  <c r="I153" i="34"/>
  <c r="H159" i="35"/>
  <c r="I159" i="35" l="1"/>
  <c r="C160" i="35"/>
  <c r="G160" i="35" s="1"/>
  <c r="F160" i="35" s="1"/>
  <c r="H160" i="35" s="1"/>
  <c r="H154" i="34"/>
  <c r="I129" i="36"/>
  <c r="C130" i="36"/>
  <c r="E130" i="36"/>
  <c r="E173" i="33"/>
  <c r="C173" i="33"/>
  <c r="I172" i="33"/>
  <c r="E161" i="35" l="1"/>
  <c r="C161" i="35"/>
  <c r="I160" i="35"/>
  <c r="G130" i="36"/>
  <c r="F130" i="36" s="1"/>
  <c r="H130" i="36" s="1"/>
  <c r="E155" i="34"/>
  <c r="C155" i="34"/>
  <c r="I154" i="34"/>
  <c r="G173" i="33"/>
  <c r="F173" i="33" s="1"/>
  <c r="H173" i="33" s="1"/>
  <c r="N29" i="33"/>
  <c r="C174" i="33" l="1"/>
  <c r="G174" i="33" s="1"/>
  <c r="F174" i="33" s="1"/>
  <c r="H174" i="33" s="1"/>
  <c r="D173" i="33"/>
  <c r="I173" i="33" s="1"/>
  <c r="C131" i="36"/>
  <c r="I130" i="36"/>
  <c r="E131" i="36"/>
  <c r="G155" i="34"/>
  <c r="F155" i="34" s="1"/>
  <c r="G161" i="35"/>
  <c r="F161" i="35" s="1"/>
  <c r="N28" i="35"/>
  <c r="O29" i="33"/>
  <c r="P28" i="35" l="1"/>
  <c r="M29" i="33"/>
  <c r="P29" i="33" s="1"/>
  <c r="C175" i="33"/>
  <c r="G175" i="33" s="1"/>
  <c r="F175" i="33" s="1"/>
  <c r="I174" i="33"/>
  <c r="G131" i="36"/>
  <c r="F131" i="36" s="1"/>
  <c r="H161" i="35"/>
  <c r="H155" i="34"/>
  <c r="O28" i="35"/>
  <c r="M28" i="35" l="1"/>
  <c r="H175" i="33"/>
  <c r="C156" i="34"/>
  <c r="G156" i="34" s="1"/>
  <c r="F156" i="34" s="1"/>
  <c r="H156" i="34" s="1"/>
  <c r="I155" i="34"/>
  <c r="H131" i="36"/>
  <c r="C162" i="35"/>
  <c r="G162" i="35" s="1"/>
  <c r="F162" i="35" s="1"/>
  <c r="D161" i="35"/>
  <c r="I161" i="35" s="1"/>
  <c r="C157" i="34" l="1"/>
  <c r="G157" i="34" s="1"/>
  <c r="F157" i="34" s="1"/>
  <c r="I156" i="34"/>
  <c r="H162" i="35"/>
  <c r="C132" i="36"/>
  <c r="I131" i="36"/>
  <c r="E132" i="36"/>
  <c r="C176" i="33"/>
  <c r="G176" i="33" s="1"/>
  <c r="F176" i="33" s="1"/>
  <c r="I175" i="33"/>
  <c r="H176" i="33" l="1"/>
  <c r="C163" i="35"/>
  <c r="G163" i="35" s="1"/>
  <c r="F163" i="35" s="1"/>
  <c r="I162" i="35"/>
  <c r="G132" i="36"/>
  <c r="F132" i="36" s="1"/>
  <c r="H157" i="34"/>
  <c r="H132" i="36" l="1"/>
  <c r="E158" i="34"/>
  <c r="C158" i="34"/>
  <c r="I157" i="34"/>
  <c r="H163" i="35"/>
  <c r="I176" i="33"/>
  <c r="C177" i="33"/>
  <c r="G177" i="33" s="1"/>
  <c r="F177" i="33" s="1"/>
  <c r="C164" i="35" l="1"/>
  <c r="G164" i="35" s="1"/>
  <c r="F164" i="35" s="1"/>
  <c r="I163" i="35"/>
  <c r="H177" i="33"/>
  <c r="G158" i="34"/>
  <c r="F158" i="34" s="1"/>
  <c r="C133" i="36"/>
  <c r="I132" i="36"/>
  <c r="E133" i="36"/>
  <c r="G133" i="36" l="1"/>
  <c r="F133" i="36" s="1"/>
  <c r="H133" i="36" s="1"/>
  <c r="H158" i="34"/>
  <c r="C178" i="33"/>
  <c r="G178" i="33" s="1"/>
  <c r="F178" i="33" s="1"/>
  <c r="I177" i="33"/>
  <c r="H164" i="35"/>
  <c r="I164" i="35" l="1"/>
  <c r="C165" i="35"/>
  <c r="G165" i="35" s="1"/>
  <c r="F165" i="35" s="1"/>
  <c r="H178" i="33"/>
  <c r="C134" i="36"/>
  <c r="I133" i="36"/>
  <c r="E134" i="36"/>
  <c r="C159" i="34"/>
  <c r="G159" i="34" s="1"/>
  <c r="F159" i="34" s="1"/>
  <c r="I158" i="34"/>
  <c r="I178" i="33" l="1"/>
  <c r="C179" i="33"/>
  <c r="G179" i="33" s="1"/>
  <c r="F179" i="33" s="1"/>
  <c r="G134" i="36"/>
  <c r="F134" i="36" s="1"/>
  <c r="H134" i="36" s="1"/>
  <c r="H165" i="35"/>
  <c r="H159" i="34"/>
  <c r="C135" i="36" l="1"/>
  <c r="I134" i="36"/>
  <c r="E135" i="36"/>
  <c r="I159" i="34"/>
  <c r="C160" i="34"/>
  <c r="G160" i="34" s="1"/>
  <c r="F160" i="34" s="1"/>
  <c r="C166" i="35"/>
  <c r="G166" i="35" s="1"/>
  <c r="F166" i="35" s="1"/>
  <c r="I165" i="35"/>
  <c r="H179" i="33"/>
  <c r="G135" i="36" l="1"/>
  <c r="F135" i="36" s="1"/>
  <c r="H160" i="34"/>
  <c r="I179" i="33"/>
  <c r="C180" i="33"/>
  <c r="G180" i="33" s="1"/>
  <c r="F180" i="33" s="1"/>
  <c r="H180" i="33" s="1"/>
  <c r="H166" i="35"/>
  <c r="C181" i="33" l="1"/>
  <c r="G181" i="33" s="1"/>
  <c r="F181" i="33" s="1"/>
  <c r="H181" i="33" s="1"/>
  <c r="I180" i="33"/>
  <c r="H135" i="36"/>
  <c r="E167" i="35"/>
  <c r="I166" i="35"/>
  <c r="C167" i="35"/>
  <c r="E161" i="34"/>
  <c r="C161" i="34"/>
  <c r="I160" i="34"/>
  <c r="I135" i="36" l="1"/>
  <c r="C136" i="36"/>
  <c r="E136" i="36"/>
  <c r="C182" i="33"/>
  <c r="G182" i="33" s="1"/>
  <c r="F182" i="33" s="1"/>
  <c r="H182" i="33" s="1"/>
  <c r="I181" i="33"/>
  <c r="G167" i="35"/>
  <c r="F167" i="35" s="1"/>
  <c r="G161" i="34"/>
  <c r="F161" i="34" s="1"/>
  <c r="N28" i="34"/>
  <c r="P28" i="34" l="1"/>
  <c r="C183" i="33"/>
  <c r="G183" i="33" s="1"/>
  <c r="F183" i="33" s="1"/>
  <c r="I182" i="33"/>
  <c r="H161" i="34"/>
  <c r="H167" i="35"/>
  <c r="G136" i="36"/>
  <c r="F136" i="36" s="1"/>
  <c r="H136" i="36" s="1"/>
  <c r="O28" i="34"/>
  <c r="M28" i="34" l="1"/>
  <c r="E137" i="36"/>
  <c r="I136" i="36"/>
  <c r="C137" i="36"/>
  <c r="C168" i="35"/>
  <c r="G168" i="35" s="1"/>
  <c r="F168" i="35" s="1"/>
  <c r="H168" i="35" s="1"/>
  <c r="I167" i="35"/>
  <c r="H183" i="33"/>
  <c r="D161" i="34"/>
  <c r="I161" i="34" s="1"/>
  <c r="C162" i="34"/>
  <c r="G162" i="34" s="1"/>
  <c r="F162" i="34" s="1"/>
  <c r="H162" i="34" s="1"/>
  <c r="I168" i="35" l="1"/>
  <c r="C169" i="35"/>
  <c r="G169" i="35" s="1"/>
  <c r="F169" i="35" s="1"/>
  <c r="C163" i="34"/>
  <c r="G163" i="34" s="1"/>
  <c r="F163" i="34" s="1"/>
  <c r="H163" i="34" s="1"/>
  <c r="I162" i="34"/>
  <c r="G137" i="36"/>
  <c r="F137" i="36" s="1"/>
  <c r="C184" i="33"/>
  <c r="G184" i="33" s="1"/>
  <c r="F184" i="33" s="1"/>
  <c r="I183" i="33"/>
  <c r="N26" i="36"/>
  <c r="P26" i="36" l="1"/>
  <c r="H137" i="36"/>
  <c r="H169" i="35"/>
  <c r="H184" i="33"/>
  <c r="E164" i="34"/>
  <c r="C164" i="34"/>
  <c r="I163" i="34"/>
  <c r="O26" i="36"/>
  <c r="M26" i="36" l="1"/>
  <c r="D137" i="36"/>
  <c r="C138" i="36"/>
  <c r="G138" i="36" s="1"/>
  <c r="F138" i="36" s="1"/>
  <c r="I169" i="35"/>
  <c r="C170" i="35"/>
  <c r="G170" i="35" s="1"/>
  <c r="F170" i="35" s="1"/>
  <c r="G164" i="34"/>
  <c r="F164" i="34" s="1"/>
  <c r="E185" i="33"/>
  <c r="C185" i="33"/>
  <c r="I184" i="33"/>
  <c r="I137" i="36" l="1"/>
  <c r="H170" i="35"/>
  <c r="H138" i="36"/>
  <c r="G185" i="33"/>
  <c r="F185" i="33" s="1"/>
  <c r="H164" i="34"/>
  <c r="N30" i="33"/>
  <c r="H185" i="33" l="1"/>
  <c r="C171" i="35"/>
  <c r="G171" i="35" s="1"/>
  <c r="F171" i="35" s="1"/>
  <c r="I170" i="35"/>
  <c r="C165" i="34"/>
  <c r="G165" i="34" s="1"/>
  <c r="F165" i="34" s="1"/>
  <c r="I164" i="34"/>
  <c r="I138" i="36"/>
  <c r="C139" i="36"/>
  <c r="E139" i="36"/>
  <c r="O30" i="33"/>
  <c r="M30" i="33" l="1"/>
  <c r="P30" i="33" s="1"/>
  <c r="H171" i="35"/>
  <c r="C186" i="33"/>
  <c r="G186" i="33" s="1"/>
  <c r="F186" i="33" s="1"/>
  <c r="D185" i="33"/>
  <c r="I185" i="33" s="1"/>
  <c r="H165" i="34"/>
  <c r="G139" i="36"/>
  <c r="F139" i="36" s="1"/>
  <c r="H139" i="36" s="1"/>
  <c r="C140" i="36" l="1"/>
  <c r="I139" i="36"/>
  <c r="E140" i="36"/>
  <c r="I165" i="34"/>
  <c r="C166" i="34"/>
  <c r="G166" i="34" s="1"/>
  <c r="F166" i="34" s="1"/>
  <c r="H166" i="34" s="1"/>
  <c r="C172" i="35"/>
  <c r="G172" i="35" s="1"/>
  <c r="F172" i="35" s="1"/>
  <c r="I171" i="35"/>
  <c r="H186" i="33"/>
  <c r="E167" i="34" l="1"/>
  <c r="I166" i="34"/>
  <c r="C167" i="34"/>
  <c r="I186" i="33"/>
  <c r="C187" i="33"/>
  <c r="G187" i="33" s="1"/>
  <c r="F187" i="33" s="1"/>
  <c r="H172" i="35"/>
  <c r="G140" i="36"/>
  <c r="F140" i="36" s="1"/>
  <c r="E173" i="35" l="1"/>
  <c r="C173" i="35"/>
  <c r="I172" i="35"/>
  <c r="H187" i="33"/>
  <c r="G167" i="34"/>
  <c r="F167" i="34" s="1"/>
  <c r="H140" i="36"/>
  <c r="I140" i="36" l="1"/>
  <c r="C141" i="36"/>
  <c r="E141" i="36"/>
  <c r="H167" i="34"/>
  <c r="C188" i="33"/>
  <c r="G188" i="33" s="1"/>
  <c r="F188" i="33" s="1"/>
  <c r="I187" i="33"/>
  <c r="G173" i="35"/>
  <c r="F173" i="35" s="1"/>
  <c r="N29" i="35"/>
  <c r="P29" i="35" l="1"/>
  <c r="C168" i="34"/>
  <c r="G168" i="34" s="1"/>
  <c r="F168" i="34" s="1"/>
  <c r="H168" i="34" s="1"/>
  <c r="I167" i="34"/>
  <c r="H173" i="35"/>
  <c r="H188" i="33"/>
  <c r="G141" i="36"/>
  <c r="F141" i="36" s="1"/>
  <c r="H141" i="36" s="1"/>
  <c r="O29" i="35"/>
  <c r="M29" i="35" l="1"/>
  <c r="I168" i="34"/>
  <c r="C169" i="34"/>
  <c r="G169" i="34" s="1"/>
  <c r="F169" i="34" s="1"/>
  <c r="C189" i="33"/>
  <c r="G189" i="33" s="1"/>
  <c r="F189" i="33" s="1"/>
  <c r="I188" i="33"/>
  <c r="D173" i="35"/>
  <c r="I173" i="35" s="1"/>
  <c r="C174" i="35"/>
  <c r="G174" i="35" s="1"/>
  <c r="F174" i="35" s="1"/>
  <c r="H174" i="35" s="1"/>
  <c r="C142" i="36"/>
  <c r="I141" i="36"/>
  <c r="E142" i="36"/>
  <c r="I174" i="35" l="1"/>
  <c r="C175" i="35"/>
  <c r="G175" i="35" s="1"/>
  <c r="F175" i="35" s="1"/>
  <c r="H189" i="33"/>
  <c r="H169" i="34"/>
  <c r="G142" i="36"/>
  <c r="F142" i="36" s="1"/>
  <c r="E170" i="34" l="1"/>
  <c r="C170" i="34"/>
  <c r="I169" i="34"/>
  <c r="C190" i="33"/>
  <c r="G190" i="33" s="1"/>
  <c r="F190" i="33" s="1"/>
  <c r="H190" i="33" s="1"/>
  <c r="I189" i="33"/>
  <c r="H142" i="36"/>
  <c r="H175" i="35"/>
  <c r="C191" i="33" l="1"/>
  <c r="G191" i="33" s="1"/>
  <c r="F191" i="33" s="1"/>
  <c r="H191" i="33" s="1"/>
  <c r="I190" i="33"/>
  <c r="C143" i="36"/>
  <c r="I142" i="36"/>
  <c r="E143" i="36"/>
  <c r="C176" i="35"/>
  <c r="G176" i="35" s="1"/>
  <c r="F176" i="35" s="1"/>
  <c r="I175" i="35"/>
  <c r="G170" i="34"/>
  <c r="F170" i="34" s="1"/>
  <c r="H176" i="35" l="1"/>
  <c r="I191" i="33"/>
  <c r="C192" i="33"/>
  <c r="G192" i="33" s="1"/>
  <c r="F192" i="33" s="1"/>
  <c r="H192" i="33" s="1"/>
  <c r="G143" i="36"/>
  <c r="F143" i="36" s="1"/>
  <c r="H143" i="36" s="1"/>
  <c r="H170" i="34"/>
  <c r="C144" i="36" l="1"/>
  <c r="I143" i="36"/>
  <c r="E144" i="36"/>
  <c r="I192" i="33"/>
  <c r="C193" i="33"/>
  <c r="G193" i="33" s="1"/>
  <c r="F193" i="33" s="1"/>
  <c r="C171" i="34"/>
  <c r="G171" i="34" s="1"/>
  <c r="F171" i="34" s="1"/>
  <c r="H171" i="34" s="1"/>
  <c r="I170" i="34"/>
  <c r="I176" i="35"/>
  <c r="C177" i="35"/>
  <c r="G177" i="35" s="1"/>
  <c r="F177" i="35" s="1"/>
  <c r="C172" i="34" l="1"/>
  <c r="G172" i="34" s="1"/>
  <c r="F172" i="34" s="1"/>
  <c r="I171" i="34"/>
  <c r="H193" i="33"/>
  <c r="H177" i="35"/>
  <c r="G144" i="36"/>
  <c r="F144" i="36" s="1"/>
  <c r="I193" i="33" l="1"/>
  <c r="C194" i="33"/>
  <c r="G194" i="33" s="1"/>
  <c r="F194" i="33" s="1"/>
  <c r="I177" i="35"/>
  <c r="C178" i="35"/>
  <c r="G178" i="35" s="1"/>
  <c r="F178" i="35" s="1"/>
  <c r="H144" i="36"/>
  <c r="H172" i="34"/>
  <c r="E173" i="34" l="1"/>
  <c r="I172" i="34"/>
  <c r="C173" i="34"/>
  <c r="C145" i="36"/>
  <c r="I144" i="36"/>
  <c r="E145" i="36"/>
  <c r="H194" i="33"/>
  <c r="H178" i="35"/>
  <c r="E179" i="35" l="1"/>
  <c r="I178" i="35"/>
  <c r="C179" i="35"/>
  <c r="G173" i="34"/>
  <c r="F173" i="34" s="1"/>
  <c r="C195" i="33"/>
  <c r="G195" i="33" s="1"/>
  <c r="F195" i="33" s="1"/>
  <c r="I194" i="33"/>
  <c r="G145" i="36"/>
  <c r="F145" i="36" s="1"/>
  <c r="N29" i="34"/>
  <c r="P29" i="34" l="1"/>
  <c r="H173" i="34"/>
  <c r="H195" i="33"/>
  <c r="G179" i="35"/>
  <c r="F179" i="35" s="1"/>
  <c r="H179" i="35" s="1"/>
  <c r="H145" i="36"/>
  <c r="O29" i="34"/>
  <c r="M29" i="34" l="1"/>
  <c r="C180" i="35"/>
  <c r="G180" i="35" s="1"/>
  <c r="F180" i="35" s="1"/>
  <c r="H180" i="35" s="1"/>
  <c r="I179" i="35"/>
  <c r="I145" i="36"/>
  <c r="C146" i="36"/>
  <c r="E146" i="36"/>
  <c r="C174" i="34"/>
  <c r="G174" i="34" s="1"/>
  <c r="F174" i="34" s="1"/>
  <c r="D173" i="34"/>
  <c r="I173" i="34" s="1"/>
  <c r="C196" i="33"/>
  <c r="G196" i="33" s="1"/>
  <c r="F196" i="33" s="1"/>
  <c r="H196" i="33" s="1"/>
  <c r="I195" i="33"/>
  <c r="E197" i="33" l="1"/>
  <c r="C197" i="33"/>
  <c r="I196" i="33"/>
  <c r="C181" i="35"/>
  <c r="G181" i="35" s="1"/>
  <c r="F181" i="35" s="1"/>
  <c r="I180" i="35"/>
  <c r="G146" i="36"/>
  <c r="F146" i="36" s="1"/>
  <c r="H174" i="34"/>
  <c r="C175" i="34" l="1"/>
  <c r="G175" i="34" s="1"/>
  <c r="F175" i="34" s="1"/>
  <c r="I174" i="34"/>
  <c r="H146" i="36"/>
  <c r="G197" i="33"/>
  <c r="F197" i="33" s="1"/>
  <c r="H181" i="35"/>
  <c r="N31" i="33"/>
  <c r="C147" i="36" l="1"/>
  <c r="I146" i="36"/>
  <c r="E147" i="36"/>
  <c r="C182" i="35"/>
  <c r="G182" i="35" s="1"/>
  <c r="F182" i="35" s="1"/>
  <c r="I181" i="35"/>
  <c r="H197" i="33"/>
  <c r="H175" i="34"/>
  <c r="O31" i="33"/>
  <c r="M31" i="33" l="1"/>
  <c r="P31" i="33" s="1"/>
  <c r="D197" i="33"/>
  <c r="I197" i="33" s="1"/>
  <c r="C198" i="33"/>
  <c r="G198" i="33" s="1"/>
  <c r="F198" i="33" s="1"/>
  <c r="H182" i="35"/>
  <c r="G147" i="36"/>
  <c r="F147" i="36" s="1"/>
  <c r="H147" i="36" s="1"/>
  <c r="E176" i="34"/>
  <c r="C176" i="34"/>
  <c r="I175" i="34"/>
  <c r="C148" i="36" l="1"/>
  <c r="I147" i="36"/>
  <c r="E148" i="36"/>
  <c r="G176" i="34"/>
  <c r="F176" i="34" s="1"/>
  <c r="H198" i="33"/>
  <c r="C183" i="35"/>
  <c r="G183" i="35" s="1"/>
  <c r="F183" i="35" s="1"/>
  <c r="I182" i="35"/>
  <c r="H183" i="35" l="1"/>
  <c r="C199" i="33"/>
  <c r="G199" i="33" s="1"/>
  <c r="F199" i="33" s="1"/>
  <c r="I198" i="33"/>
  <c r="H176" i="34"/>
  <c r="G148" i="36"/>
  <c r="F148" i="36" s="1"/>
  <c r="H148" i="36" l="1"/>
  <c r="C177" i="34"/>
  <c r="G177" i="34" s="1"/>
  <c r="F177" i="34" s="1"/>
  <c r="I176" i="34"/>
  <c r="H199" i="33"/>
  <c r="C184" i="35"/>
  <c r="G184" i="35" s="1"/>
  <c r="F184" i="35" s="1"/>
  <c r="I183" i="35"/>
  <c r="H184" i="35" l="1"/>
  <c r="C200" i="33"/>
  <c r="G200" i="33" s="1"/>
  <c r="F200" i="33" s="1"/>
  <c r="H200" i="33" s="1"/>
  <c r="I199" i="33"/>
  <c r="H177" i="34"/>
  <c r="E149" i="36"/>
  <c r="C149" i="36"/>
  <c r="I148" i="36"/>
  <c r="C201" i="33" l="1"/>
  <c r="G201" i="33" s="1"/>
  <c r="F201" i="33" s="1"/>
  <c r="I200" i="33"/>
  <c r="G149" i="36"/>
  <c r="F149" i="36" s="1"/>
  <c r="C178" i="34"/>
  <c r="G178" i="34" s="1"/>
  <c r="F178" i="34" s="1"/>
  <c r="I177" i="34"/>
  <c r="E185" i="35"/>
  <c r="I184" i="35"/>
  <c r="C185" i="35"/>
  <c r="N27" i="36"/>
  <c r="P27" i="36" l="1"/>
  <c r="H149" i="36"/>
  <c r="H178" i="34"/>
  <c r="G185" i="35"/>
  <c r="F185" i="35" s="1"/>
  <c r="H201" i="33"/>
  <c r="O27" i="36"/>
  <c r="N30" i="35"/>
  <c r="P30" i="35" l="1"/>
  <c r="M27" i="36"/>
  <c r="C202" i="33"/>
  <c r="G202" i="33" s="1"/>
  <c r="F202" i="33" s="1"/>
  <c r="I201" i="33"/>
  <c r="E179" i="34"/>
  <c r="C179" i="34"/>
  <c r="I178" i="34"/>
  <c r="H185" i="35"/>
  <c r="C150" i="36"/>
  <c r="G150" i="36" s="1"/>
  <c r="F150" i="36" s="1"/>
  <c r="D149" i="36"/>
  <c r="O30" i="35"/>
  <c r="M30" i="35" l="1"/>
  <c r="G179" i="34"/>
  <c r="F179" i="34" s="1"/>
  <c r="H179" i="34" s="1"/>
  <c r="H150" i="36"/>
  <c r="I149" i="36"/>
  <c r="E151" i="36"/>
  <c r="H202" i="33"/>
  <c r="C186" i="35"/>
  <c r="G186" i="35" s="1"/>
  <c r="F186" i="35" s="1"/>
  <c r="H186" i="35" s="1"/>
  <c r="D185" i="35"/>
  <c r="I185" i="35" s="1"/>
  <c r="C187" i="35" l="1"/>
  <c r="G187" i="35" s="1"/>
  <c r="F187" i="35" s="1"/>
  <c r="I186" i="35"/>
  <c r="C180" i="34"/>
  <c r="G180" i="34" s="1"/>
  <c r="F180" i="34" s="1"/>
  <c r="H180" i="34" s="1"/>
  <c r="I179" i="34"/>
  <c r="I202" i="33"/>
  <c r="C203" i="33"/>
  <c r="G203" i="33" s="1"/>
  <c r="F203" i="33" s="1"/>
  <c r="I150" i="36"/>
  <c r="C151" i="36"/>
  <c r="G151" i="36" s="1"/>
  <c r="F151" i="36" s="1"/>
  <c r="C181" i="34" l="1"/>
  <c r="G181" i="34" s="1"/>
  <c r="F181" i="34" s="1"/>
  <c r="I180" i="34"/>
  <c r="H203" i="33"/>
  <c r="H151" i="36"/>
  <c r="H187" i="35"/>
  <c r="C204" i="33" l="1"/>
  <c r="G204" i="33" s="1"/>
  <c r="F204" i="33" s="1"/>
  <c r="I203" i="33"/>
  <c r="I187" i="35"/>
  <c r="C188" i="35"/>
  <c r="G188" i="35" s="1"/>
  <c r="F188" i="35" s="1"/>
  <c r="C152" i="36"/>
  <c r="I151" i="36"/>
  <c r="E152" i="36"/>
  <c r="H181" i="34"/>
  <c r="E182" i="34" l="1"/>
  <c r="C182" i="34"/>
  <c r="I181" i="34"/>
  <c r="G152" i="36"/>
  <c r="F152" i="36" s="1"/>
  <c r="H188" i="35"/>
  <c r="H204" i="33"/>
  <c r="C205" i="33" l="1"/>
  <c r="G205" i="33" s="1"/>
  <c r="F205" i="33" s="1"/>
  <c r="I204" i="33"/>
  <c r="I188" i="35"/>
  <c r="C189" i="35"/>
  <c r="G189" i="35" s="1"/>
  <c r="F189" i="35" s="1"/>
  <c r="G182" i="34"/>
  <c r="F182" i="34" s="1"/>
  <c r="H152" i="36"/>
  <c r="C153" i="36" l="1"/>
  <c r="I152" i="36"/>
  <c r="E153" i="36"/>
  <c r="H182" i="34"/>
  <c r="H189" i="35"/>
  <c r="H205" i="33"/>
  <c r="C190" i="35" l="1"/>
  <c r="G190" i="35" s="1"/>
  <c r="F190" i="35" s="1"/>
  <c r="I189" i="35"/>
  <c r="C183" i="34"/>
  <c r="G183" i="34" s="1"/>
  <c r="F183" i="34" s="1"/>
  <c r="I182" i="34"/>
  <c r="I205" i="33"/>
  <c r="C206" i="33"/>
  <c r="G206" i="33" s="1"/>
  <c r="F206" i="33" s="1"/>
  <c r="H206" i="33" s="1"/>
  <c r="G153" i="36"/>
  <c r="F153" i="36" s="1"/>
  <c r="I206" i="33" l="1"/>
  <c r="C207" i="33"/>
  <c r="G207" i="33" s="1"/>
  <c r="F207" i="33" s="1"/>
  <c r="H183" i="34"/>
  <c r="H153" i="36"/>
  <c r="H190" i="35"/>
  <c r="I153" i="36" l="1"/>
  <c r="C154" i="36"/>
  <c r="E154" i="36"/>
  <c r="C184" i="34"/>
  <c r="G184" i="34" s="1"/>
  <c r="F184" i="34" s="1"/>
  <c r="H184" i="34" s="1"/>
  <c r="I183" i="34"/>
  <c r="E191" i="35"/>
  <c r="I190" i="35"/>
  <c r="C191" i="35"/>
  <c r="H207" i="33"/>
  <c r="E185" i="34" l="1"/>
  <c r="C185" i="34"/>
  <c r="I184" i="34"/>
  <c r="G154" i="36"/>
  <c r="F154" i="36" s="1"/>
  <c r="C208" i="33"/>
  <c r="G208" i="33" s="1"/>
  <c r="F208" i="33" s="1"/>
  <c r="I207" i="33"/>
  <c r="G191" i="35"/>
  <c r="F191" i="35" s="1"/>
  <c r="H208" i="33" l="1"/>
  <c r="H191" i="35"/>
  <c r="H154" i="36"/>
  <c r="G185" i="34"/>
  <c r="F185" i="34" s="1"/>
  <c r="N30" i="34"/>
  <c r="P30" i="34" l="1"/>
  <c r="H185" i="34"/>
  <c r="I191" i="35"/>
  <c r="C192" i="35"/>
  <c r="G192" i="35" s="1"/>
  <c r="F192" i="35" s="1"/>
  <c r="I154" i="36"/>
  <c r="C155" i="36"/>
  <c r="E155" i="36"/>
  <c r="E209" i="33"/>
  <c r="C209" i="33"/>
  <c r="I208" i="33"/>
  <c r="O30" i="34"/>
  <c r="M30" i="34" l="1"/>
  <c r="C186" i="34"/>
  <c r="G186" i="34" s="1"/>
  <c r="F186" i="34" s="1"/>
  <c r="H186" i="34" s="1"/>
  <c r="D185" i="34"/>
  <c r="I185" i="34" s="1"/>
  <c r="H192" i="35"/>
  <c r="G209" i="33"/>
  <c r="F209" i="33" s="1"/>
  <c r="G155" i="36"/>
  <c r="F155" i="36" s="1"/>
  <c r="N32" i="33"/>
  <c r="I192" i="35" l="1"/>
  <c r="C193" i="35"/>
  <c r="G193" i="35" s="1"/>
  <c r="F193" i="35" s="1"/>
  <c r="C187" i="34"/>
  <c r="G187" i="34" s="1"/>
  <c r="F187" i="34" s="1"/>
  <c r="I186" i="34"/>
  <c r="H209" i="33"/>
  <c r="H155" i="36"/>
  <c r="O32" i="33"/>
  <c r="M32" i="33" l="1"/>
  <c r="P32" i="33" s="1"/>
  <c r="H193" i="35"/>
  <c r="C156" i="36"/>
  <c r="I155" i="36"/>
  <c r="E156" i="36"/>
  <c r="H187" i="34"/>
  <c r="D209" i="33"/>
  <c r="I209" i="33" s="1"/>
  <c r="C210" i="33"/>
  <c r="G210" i="33" s="1"/>
  <c r="F210" i="33" s="1"/>
  <c r="E188" i="34" l="1"/>
  <c r="I187" i="34"/>
  <c r="C188" i="34"/>
  <c r="G156" i="36"/>
  <c r="F156" i="36" s="1"/>
  <c r="H156" i="36" s="1"/>
  <c r="I193" i="35"/>
  <c r="C194" i="35"/>
  <c r="G194" i="35" s="1"/>
  <c r="F194" i="35" s="1"/>
  <c r="H210" i="33"/>
  <c r="I156" i="36" l="1"/>
  <c r="C157" i="36"/>
  <c r="E157" i="36"/>
  <c r="C211" i="33"/>
  <c r="G211" i="33" s="1"/>
  <c r="F211" i="33" s="1"/>
  <c r="I210" i="33"/>
  <c r="G188" i="34"/>
  <c r="F188" i="34" s="1"/>
  <c r="H194" i="35"/>
  <c r="H188" i="34" l="1"/>
  <c r="I194" i="35"/>
  <c r="C195" i="35"/>
  <c r="G195" i="35" s="1"/>
  <c r="F195" i="35" s="1"/>
  <c r="H211" i="33"/>
  <c r="G157" i="36"/>
  <c r="F157" i="36" s="1"/>
  <c r="I211" i="33" l="1"/>
  <c r="C212" i="33"/>
  <c r="G212" i="33" s="1"/>
  <c r="F212" i="33" s="1"/>
  <c r="H157" i="36"/>
  <c r="H195" i="35"/>
  <c r="C189" i="34"/>
  <c r="G189" i="34" s="1"/>
  <c r="F189" i="34" s="1"/>
  <c r="H189" i="34" s="1"/>
  <c r="I188" i="34"/>
  <c r="C190" i="34" l="1"/>
  <c r="G190" i="34" s="1"/>
  <c r="F190" i="34" s="1"/>
  <c r="H190" i="34" s="1"/>
  <c r="I189" i="34"/>
  <c r="I195" i="35"/>
  <c r="C196" i="35"/>
  <c r="G196" i="35" s="1"/>
  <c r="F196" i="35" s="1"/>
  <c r="H196" i="35" s="1"/>
  <c r="I157" i="36"/>
  <c r="C158" i="36"/>
  <c r="E158" i="36"/>
  <c r="H212" i="33"/>
  <c r="E197" i="35" l="1"/>
  <c r="I196" i="35"/>
  <c r="C197" i="35"/>
  <c r="G158" i="36"/>
  <c r="F158" i="36" s="1"/>
  <c r="E191" i="34"/>
  <c r="I190" i="34"/>
  <c r="C191" i="34"/>
  <c r="I212" i="33"/>
  <c r="C213" i="33"/>
  <c r="G213" i="33" s="1"/>
  <c r="F213" i="33" s="1"/>
  <c r="G191" i="34" l="1"/>
  <c r="F191" i="34" s="1"/>
  <c r="G197" i="35"/>
  <c r="F197" i="35" s="1"/>
  <c r="H158" i="36"/>
  <c r="H213" i="33"/>
  <c r="N31" i="35"/>
  <c r="P31" i="35" l="1"/>
  <c r="I213" i="33"/>
  <c r="C214" i="33"/>
  <c r="G214" i="33" s="1"/>
  <c r="F214" i="33" s="1"/>
  <c r="H197" i="35"/>
  <c r="C159" i="36"/>
  <c r="I158" i="36"/>
  <c r="E159" i="36"/>
  <c r="H191" i="34"/>
  <c r="O31" i="35"/>
  <c r="M31" i="35" l="1"/>
  <c r="C198" i="35"/>
  <c r="G198" i="35" s="1"/>
  <c r="F198" i="35" s="1"/>
  <c r="D197" i="35"/>
  <c r="I197" i="35" s="1"/>
  <c r="I191" i="34"/>
  <c r="C192" i="34"/>
  <c r="G192" i="34" s="1"/>
  <c r="F192" i="34" s="1"/>
  <c r="G159" i="36"/>
  <c r="F159" i="36" s="1"/>
  <c r="H214" i="33"/>
  <c r="C215" i="33" l="1"/>
  <c r="G215" i="33" s="1"/>
  <c r="F215" i="33" s="1"/>
  <c r="I214" i="33"/>
  <c r="H198" i="35"/>
  <c r="H192" i="34"/>
  <c r="H159" i="36"/>
  <c r="I192" i="34" l="1"/>
  <c r="C193" i="34"/>
  <c r="G193" i="34" s="1"/>
  <c r="F193" i="34" s="1"/>
  <c r="H193" i="34" s="1"/>
  <c r="C160" i="36"/>
  <c r="I159" i="36"/>
  <c r="E160" i="36"/>
  <c r="C199" i="35"/>
  <c r="G199" i="35" s="1"/>
  <c r="F199" i="35" s="1"/>
  <c r="I198" i="35"/>
  <c r="H215" i="33"/>
  <c r="E194" i="34" l="1"/>
  <c r="C194" i="34"/>
  <c r="I193" i="34"/>
  <c r="H199" i="35"/>
  <c r="G160" i="36"/>
  <c r="F160" i="36" s="1"/>
  <c r="H160" i="36" s="1"/>
  <c r="C216" i="33"/>
  <c r="G216" i="33" s="1"/>
  <c r="F216" i="33" s="1"/>
  <c r="I215" i="33"/>
  <c r="E161" i="36" l="1"/>
  <c r="C161" i="36"/>
  <c r="I160" i="36"/>
  <c r="H216" i="33"/>
  <c r="C200" i="35"/>
  <c r="G200" i="35" s="1"/>
  <c r="F200" i="35" s="1"/>
  <c r="I199" i="35"/>
  <c r="G194" i="34"/>
  <c r="F194" i="34" s="1"/>
  <c r="H194" i="34" s="1"/>
  <c r="C195" i="34" l="1"/>
  <c r="G195" i="34" s="1"/>
  <c r="F195" i="34" s="1"/>
  <c r="H195" i="34" s="1"/>
  <c r="I194" i="34"/>
  <c r="C217" i="33"/>
  <c r="G217" i="33" s="1"/>
  <c r="F217" i="33" s="1"/>
  <c r="I216" i="33"/>
  <c r="H200" i="35"/>
  <c r="G161" i="36"/>
  <c r="F161" i="36" s="1"/>
  <c r="N28" i="36"/>
  <c r="P28" i="36" l="1"/>
  <c r="C201" i="35"/>
  <c r="G201" i="35" s="1"/>
  <c r="F201" i="35" s="1"/>
  <c r="I200" i="35"/>
  <c r="I195" i="34"/>
  <c r="C196" i="34"/>
  <c r="G196" i="34" s="1"/>
  <c r="F196" i="34" s="1"/>
  <c r="H196" i="34" s="1"/>
  <c r="H161" i="36"/>
  <c r="H217" i="33"/>
  <c r="O28" i="36"/>
  <c r="M28" i="36" l="1"/>
  <c r="E197" i="34"/>
  <c r="C197" i="34"/>
  <c r="I196" i="34"/>
  <c r="H201" i="35"/>
  <c r="C218" i="33"/>
  <c r="G218" i="33" s="1"/>
  <c r="F218" i="33" s="1"/>
  <c r="I217" i="33"/>
  <c r="D161" i="36"/>
  <c r="C162" i="36"/>
  <c r="G162" i="36" s="1"/>
  <c r="F162" i="36" s="1"/>
  <c r="H218" i="33" l="1"/>
  <c r="H162" i="36"/>
  <c r="I161" i="36"/>
  <c r="E163" i="36"/>
  <c r="I201" i="35"/>
  <c r="C202" i="35"/>
  <c r="G202" i="35" s="1"/>
  <c r="F202" i="35" s="1"/>
  <c r="G197" i="34"/>
  <c r="F197" i="34" s="1"/>
  <c r="N31" i="34"/>
  <c r="P31" i="34" l="1"/>
  <c r="H202" i="35"/>
  <c r="H197" i="34"/>
  <c r="I162" i="36"/>
  <c r="C163" i="36"/>
  <c r="G163" i="36" s="1"/>
  <c r="F163" i="36" s="1"/>
  <c r="H163" i="36" s="1"/>
  <c r="C219" i="33"/>
  <c r="G219" i="33" s="1"/>
  <c r="F219" i="33" s="1"/>
  <c r="I218" i="33"/>
  <c r="O31" i="34"/>
  <c r="M31" i="34" l="1"/>
  <c r="I163" i="36"/>
  <c r="C164" i="36"/>
  <c r="E164" i="36"/>
  <c r="D197" i="34"/>
  <c r="I197" i="34" s="1"/>
  <c r="C198" i="34"/>
  <c r="G198" i="34" s="1"/>
  <c r="F198" i="34" s="1"/>
  <c r="E203" i="35"/>
  <c r="C203" i="35"/>
  <c r="I202" i="35"/>
  <c r="H219" i="33"/>
  <c r="I219" i="33" l="1"/>
  <c r="C220" i="33"/>
  <c r="G220" i="33" s="1"/>
  <c r="F220" i="33" s="1"/>
  <c r="G164" i="36"/>
  <c r="F164" i="36" s="1"/>
  <c r="H198" i="34"/>
  <c r="G203" i="35"/>
  <c r="F203" i="35" s="1"/>
  <c r="H203" i="35" l="1"/>
  <c r="H164" i="36"/>
  <c r="H220" i="33"/>
  <c r="C199" i="34"/>
  <c r="G199" i="34" s="1"/>
  <c r="F199" i="34" s="1"/>
  <c r="I198" i="34"/>
  <c r="H199" i="34" l="1"/>
  <c r="E221" i="33"/>
  <c r="I220" i="33"/>
  <c r="C221" i="33"/>
  <c r="C165" i="36"/>
  <c r="I164" i="36"/>
  <c r="E165" i="36"/>
  <c r="I203" i="35"/>
  <c r="C204" i="35"/>
  <c r="G204" i="35" s="1"/>
  <c r="F204" i="35" s="1"/>
  <c r="H204" i="35" s="1"/>
  <c r="I204" i="35" l="1"/>
  <c r="C205" i="35"/>
  <c r="G205" i="35" s="1"/>
  <c r="F205" i="35" s="1"/>
  <c r="G221" i="33"/>
  <c r="F221" i="33" s="1"/>
  <c r="G165" i="36"/>
  <c r="F165" i="36" s="1"/>
  <c r="E200" i="34"/>
  <c r="C200" i="34"/>
  <c r="I199" i="34"/>
  <c r="N33" i="33"/>
  <c r="G200" i="34" l="1"/>
  <c r="F200" i="34" s="1"/>
  <c r="H221" i="33"/>
  <c r="H165" i="36"/>
  <c r="H205" i="35"/>
  <c r="O33" i="33"/>
  <c r="M33" i="33" l="1"/>
  <c r="P33" i="33" s="1"/>
  <c r="C222" i="33"/>
  <c r="G222" i="33" s="1"/>
  <c r="F222" i="33" s="1"/>
  <c r="H222" i="33" s="1"/>
  <c r="D221" i="33"/>
  <c r="I221" i="33" s="1"/>
  <c r="C166" i="36"/>
  <c r="I165" i="36"/>
  <c r="E166" i="36"/>
  <c r="C206" i="35"/>
  <c r="G206" i="35" s="1"/>
  <c r="F206" i="35" s="1"/>
  <c r="H206" i="35" s="1"/>
  <c r="I205" i="35"/>
  <c r="H200" i="34"/>
  <c r="I206" i="35" l="1"/>
  <c r="C207" i="35"/>
  <c r="G207" i="35" s="1"/>
  <c r="F207" i="35" s="1"/>
  <c r="I222" i="33"/>
  <c r="C223" i="33"/>
  <c r="G223" i="33" s="1"/>
  <c r="F223" i="33" s="1"/>
  <c r="G166" i="36"/>
  <c r="F166" i="36" s="1"/>
  <c r="C201" i="34"/>
  <c r="G201" i="34" s="1"/>
  <c r="F201" i="34" s="1"/>
  <c r="I200" i="34"/>
  <c r="H223" i="33" l="1"/>
  <c r="H207" i="35"/>
  <c r="H166" i="36"/>
  <c r="H201" i="34"/>
  <c r="I166" i="36" l="1"/>
  <c r="C167" i="36"/>
  <c r="E167" i="36"/>
  <c r="C208" i="35"/>
  <c r="G208" i="35" s="1"/>
  <c r="F208" i="35" s="1"/>
  <c r="I207" i="35"/>
  <c r="C202" i="34"/>
  <c r="G202" i="34" s="1"/>
  <c r="F202" i="34" s="1"/>
  <c r="I201" i="34"/>
  <c r="C224" i="33"/>
  <c r="G224" i="33" s="1"/>
  <c r="F224" i="33" s="1"/>
  <c r="I223" i="33"/>
  <c r="H202" i="34" l="1"/>
  <c r="H224" i="33"/>
  <c r="G167" i="36"/>
  <c r="F167" i="36" s="1"/>
  <c r="H167" i="36" s="1"/>
  <c r="H208" i="35"/>
  <c r="C168" i="36" l="1"/>
  <c r="I167" i="36"/>
  <c r="E168" i="36"/>
  <c r="I224" i="33"/>
  <c r="C225" i="33"/>
  <c r="G225" i="33" s="1"/>
  <c r="F225" i="33" s="1"/>
  <c r="H225" i="33" s="1"/>
  <c r="E209" i="35"/>
  <c r="I208" i="35"/>
  <c r="C209" i="35"/>
  <c r="E203" i="34"/>
  <c r="C203" i="34"/>
  <c r="I202" i="34"/>
  <c r="C226" i="33" l="1"/>
  <c r="G226" i="33" s="1"/>
  <c r="F226" i="33" s="1"/>
  <c r="I225" i="33"/>
  <c r="G203" i="34"/>
  <c r="F203" i="34" s="1"/>
  <c r="G209" i="35"/>
  <c r="F209" i="35" s="1"/>
  <c r="G168" i="36"/>
  <c r="F168" i="36" s="1"/>
  <c r="N32" i="35"/>
  <c r="P32" i="35" l="1"/>
  <c r="H209" i="35"/>
  <c r="H168" i="36"/>
  <c r="H203" i="34"/>
  <c r="H226" i="33"/>
  <c r="O32" i="35"/>
  <c r="M32" i="35" l="1"/>
  <c r="I226" i="33"/>
  <c r="C227" i="33"/>
  <c r="G227" i="33" s="1"/>
  <c r="F227" i="33" s="1"/>
  <c r="C169" i="36"/>
  <c r="I168" i="36"/>
  <c r="E169" i="36"/>
  <c r="C204" i="34"/>
  <c r="G204" i="34" s="1"/>
  <c r="F204" i="34" s="1"/>
  <c r="I203" i="34"/>
  <c r="D209" i="35"/>
  <c r="I209" i="35" s="1"/>
  <c r="C210" i="35"/>
  <c r="G210" i="35" s="1"/>
  <c r="F210" i="35" s="1"/>
  <c r="H210" i="35" s="1"/>
  <c r="C211" i="35" l="1"/>
  <c r="G211" i="35" s="1"/>
  <c r="F211" i="35" s="1"/>
  <c r="H211" i="35" s="1"/>
  <c r="I210" i="35"/>
  <c r="G169" i="36"/>
  <c r="F169" i="36" s="1"/>
  <c r="H227" i="33"/>
  <c r="H204" i="34"/>
  <c r="C205" i="34" l="1"/>
  <c r="G205" i="34" s="1"/>
  <c r="F205" i="34" s="1"/>
  <c r="H205" i="34" s="1"/>
  <c r="I204" i="34"/>
  <c r="C212" i="35"/>
  <c r="G212" i="35" s="1"/>
  <c r="F212" i="35" s="1"/>
  <c r="I211" i="35"/>
  <c r="I227" i="33"/>
  <c r="C228" i="33"/>
  <c r="G228" i="33" s="1"/>
  <c r="F228" i="33" s="1"/>
  <c r="H169" i="36"/>
  <c r="C170" i="36" l="1"/>
  <c r="I169" i="36"/>
  <c r="E170" i="36"/>
  <c r="H212" i="35"/>
  <c r="H228" i="33"/>
  <c r="E206" i="34"/>
  <c r="C206" i="34"/>
  <c r="I205" i="34"/>
  <c r="G206" i="34" l="1"/>
  <c r="F206" i="34" s="1"/>
  <c r="H206" i="34" s="1"/>
  <c r="C213" i="35"/>
  <c r="G213" i="35" s="1"/>
  <c r="F213" i="35" s="1"/>
  <c r="I212" i="35"/>
  <c r="C229" i="33"/>
  <c r="G229" i="33" s="1"/>
  <c r="F229" i="33" s="1"/>
  <c r="I228" i="33"/>
  <c r="G170" i="36"/>
  <c r="F170" i="36" s="1"/>
  <c r="H170" i="36" l="1"/>
  <c r="H229" i="33"/>
  <c r="C207" i="34"/>
  <c r="G207" i="34" s="1"/>
  <c r="F207" i="34" s="1"/>
  <c r="I206" i="34"/>
  <c r="H213" i="35"/>
  <c r="I213" i="35" l="1"/>
  <c r="C214" i="35"/>
  <c r="G214" i="35" s="1"/>
  <c r="F214" i="35" s="1"/>
  <c r="I229" i="33"/>
  <c r="C230" i="33"/>
  <c r="G230" i="33" s="1"/>
  <c r="F230" i="33" s="1"/>
  <c r="H207" i="34"/>
  <c r="I170" i="36"/>
  <c r="C171" i="36"/>
  <c r="E171" i="36"/>
  <c r="G171" i="36" l="1"/>
  <c r="F171" i="36" s="1"/>
  <c r="H230" i="33"/>
  <c r="I207" i="34"/>
  <c r="C208" i="34"/>
  <c r="G208" i="34" s="1"/>
  <c r="F208" i="34" s="1"/>
  <c r="H214" i="35"/>
  <c r="H208" i="34" l="1"/>
  <c r="E215" i="35"/>
  <c r="I214" i="35"/>
  <c r="C215" i="35"/>
  <c r="I230" i="33"/>
  <c r="C231" i="33"/>
  <c r="G231" i="33" s="1"/>
  <c r="F231" i="33" s="1"/>
  <c r="H171" i="36"/>
  <c r="C172" i="36" l="1"/>
  <c r="I171" i="36"/>
  <c r="E172" i="36"/>
  <c r="H231" i="33"/>
  <c r="G215" i="35"/>
  <c r="F215" i="35" s="1"/>
  <c r="E209" i="34"/>
  <c r="C209" i="34"/>
  <c r="I208" i="34"/>
  <c r="G209" i="34" l="1"/>
  <c r="F209" i="34" s="1"/>
  <c r="H215" i="35"/>
  <c r="C232" i="33"/>
  <c r="G232" i="33" s="1"/>
  <c r="F232" i="33" s="1"/>
  <c r="I231" i="33"/>
  <c r="G172" i="36"/>
  <c r="F172" i="36" s="1"/>
  <c r="N32" i="34"/>
  <c r="P32" i="34" l="1"/>
  <c r="C216" i="35"/>
  <c r="G216" i="35" s="1"/>
  <c r="F216" i="35" s="1"/>
  <c r="I215" i="35"/>
  <c r="H172" i="36"/>
  <c r="H232" i="33"/>
  <c r="H209" i="34"/>
  <c r="O32" i="34"/>
  <c r="M32" i="34" l="1"/>
  <c r="E173" i="36"/>
  <c r="C173" i="36"/>
  <c r="I172" i="36"/>
  <c r="E233" i="33"/>
  <c r="C233" i="33"/>
  <c r="I232" i="33"/>
  <c r="H216" i="35"/>
  <c r="D209" i="34"/>
  <c r="I209" i="34" s="1"/>
  <c r="C210" i="34"/>
  <c r="G210" i="34" s="1"/>
  <c r="F210" i="34" s="1"/>
  <c r="H210" i="34" s="1"/>
  <c r="C211" i="34" l="1"/>
  <c r="G211" i="34" s="1"/>
  <c r="F211" i="34" s="1"/>
  <c r="H211" i="34" s="1"/>
  <c r="I210" i="34"/>
  <c r="C217" i="35"/>
  <c r="G217" i="35" s="1"/>
  <c r="F217" i="35" s="1"/>
  <c r="I216" i="35"/>
  <c r="G233" i="33"/>
  <c r="F233" i="33" s="1"/>
  <c r="G173" i="36"/>
  <c r="F173" i="36" s="1"/>
  <c r="N34" i="33"/>
  <c r="N29" i="36"/>
  <c r="P29" i="36" l="1"/>
  <c r="E212" i="34"/>
  <c r="I211" i="34"/>
  <c r="C212" i="34"/>
  <c r="H233" i="33"/>
  <c r="H173" i="36"/>
  <c r="H217" i="35"/>
  <c r="O29" i="36"/>
  <c r="O34" i="33"/>
  <c r="M29" i="36" l="1"/>
  <c r="M34" i="33"/>
  <c r="P34" i="33" s="1"/>
  <c r="I217" i="35"/>
  <c r="C218" i="35"/>
  <c r="G218" i="35" s="1"/>
  <c r="F218" i="35" s="1"/>
  <c r="G212" i="34"/>
  <c r="F212" i="34" s="1"/>
  <c r="C174" i="36"/>
  <c r="G174" i="36" s="1"/>
  <c r="F174" i="36" s="1"/>
  <c r="H174" i="36" s="1"/>
  <c r="D173" i="36"/>
  <c r="C234" i="33"/>
  <c r="G234" i="33" s="1"/>
  <c r="F234" i="33" s="1"/>
  <c r="H234" i="33" s="1"/>
  <c r="D233" i="33"/>
  <c r="I233" i="33" s="1"/>
  <c r="C175" i="36" l="1"/>
  <c r="I174" i="36"/>
  <c r="H212" i="34"/>
  <c r="I173" i="36"/>
  <c r="E175" i="36"/>
  <c r="H218" i="35"/>
  <c r="I234" i="33"/>
  <c r="C235" i="33"/>
  <c r="G235" i="33" s="1"/>
  <c r="F235" i="33" s="1"/>
  <c r="I218" i="35" l="1"/>
  <c r="C219" i="35"/>
  <c r="G219" i="35" s="1"/>
  <c r="F219" i="35" s="1"/>
  <c r="I212" i="34"/>
  <c r="C213" i="34"/>
  <c r="G213" i="34" s="1"/>
  <c r="F213" i="34" s="1"/>
  <c r="H213" i="34" s="1"/>
  <c r="H235" i="33"/>
  <c r="G175" i="36"/>
  <c r="F175" i="36" s="1"/>
  <c r="C214" i="34" l="1"/>
  <c r="G214" i="34" s="1"/>
  <c r="F214" i="34" s="1"/>
  <c r="I213" i="34"/>
  <c r="C236" i="33"/>
  <c r="G236" i="33" s="1"/>
  <c r="F236" i="33" s="1"/>
  <c r="I235" i="33"/>
  <c r="H175" i="36"/>
  <c r="H219" i="35"/>
  <c r="C176" i="36" l="1"/>
  <c r="I175" i="36"/>
  <c r="E176" i="36"/>
  <c r="H236" i="33"/>
  <c r="C220" i="35"/>
  <c r="G220" i="35" s="1"/>
  <c r="F220" i="35" s="1"/>
  <c r="I219" i="35"/>
  <c r="H214" i="34"/>
  <c r="E215" i="34" l="1"/>
  <c r="C215" i="34"/>
  <c r="I214" i="34"/>
  <c r="H220" i="35"/>
  <c r="C237" i="33"/>
  <c r="G237" i="33" s="1"/>
  <c r="F237" i="33" s="1"/>
  <c r="I236" i="33"/>
  <c r="G176" i="36"/>
  <c r="F176" i="36" s="1"/>
  <c r="H237" i="33" l="1"/>
  <c r="E221" i="35"/>
  <c r="C221" i="35"/>
  <c r="I220" i="35"/>
  <c r="H176" i="36"/>
  <c r="G215" i="34"/>
  <c r="F215" i="34" s="1"/>
  <c r="H215" i="34" s="1"/>
  <c r="C216" i="34" l="1"/>
  <c r="G216" i="34" s="1"/>
  <c r="F216" i="34" s="1"/>
  <c r="H216" i="34" s="1"/>
  <c r="I215" i="34"/>
  <c r="C177" i="36"/>
  <c r="I176" i="36"/>
  <c r="E177" i="36"/>
  <c r="G221" i="35"/>
  <c r="F221" i="35" s="1"/>
  <c r="C238" i="33"/>
  <c r="G238" i="33" s="1"/>
  <c r="F238" i="33" s="1"/>
  <c r="H238" i="33" s="1"/>
  <c r="I237" i="33"/>
  <c r="N33" i="35"/>
  <c r="P33" i="35" l="1"/>
  <c r="C239" i="33"/>
  <c r="G239" i="33" s="1"/>
  <c r="F239" i="33" s="1"/>
  <c r="I238" i="33"/>
  <c r="I216" i="34"/>
  <c r="C217" i="34"/>
  <c r="G217" i="34" s="1"/>
  <c r="F217" i="34" s="1"/>
  <c r="G177" i="36"/>
  <c r="F177" i="36" s="1"/>
  <c r="H177" i="36" s="1"/>
  <c r="H221" i="35"/>
  <c r="O33" i="35"/>
  <c r="M33" i="35" l="1"/>
  <c r="C178" i="36"/>
  <c r="I177" i="36"/>
  <c r="E178" i="36"/>
  <c r="C222" i="35"/>
  <c r="G222" i="35" s="1"/>
  <c r="F222" i="35" s="1"/>
  <c r="D221" i="35"/>
  <c r="I221" i="35" s="1"/>
  <c r="H217" i="34"/>
  <c r="H239" i="33"/>
  <c r="H222" i="35" l="1"/>
  <c r="I239" i="33"/>
  <c r="C240" i="33"/>
  <c r="G240" i="33" s="1"/>
  <c r="F240" i="33" s="1"/>
  <c r="E218" i="34"/>
  <c r="C218" i="34"/>
  <c r="I217" i="34"/>
  <c r="G178" i="36"/>
  <c r="F178" i="36" s="1"/>
  <c r="H178" i="36" s="1"/>
  <c r="C179" i="36" l="1"/>
  <c r="I178" i="36"/>
  <c r="E179" i="36"/>
  <c r="H240" i="33"/>
  <c r="G218" i="34"/>
  <c r="F218" i="34" s="1"/>
  <c r="C223" i="35"/>
  <c r="G223" i="35" s="1"/>
  <c r="F223" i="35" s="1"/>
  <c r="I222" i="35"/>
  <c r="I240" i="33" l="1"/>
  <c r="C241" i="33"/>
  <c r="G241" i="33" s="1"/>
  <c r="F241" i="33" s="1"/>
  <c r="H223" i="35"/>
  <c r="H218" i="34"/>
  <c r="G179" i="36"/>
  <c r="F179" i="36" s="1"/>
  <c r="I218" i="34" l="1"/>
  <c r="C219" i="34"/>
  <c r="G219" i="34" s="1"/>
  <c r="F219" i="34" s="1"/>
  <c r="H219" i="34" s="1"/>
  <c r="I223" i="35"/>
  <c r="C224" i="35"/>
  <c r="G224" i="35" s="1"/>
  <c r="F224" i="35" s="1"/>
  <c r="H241" i="33"/>
  <c r="H179" i="36"/>
  <c r="I219" i="34" l="1"/>
  <c r="C220" i="34"/>
  <c r="G220" i="34" s="1"/>
  <c r="F220" i="34" s="1"/>
  <c r="H220" i="34" s="1"/>
  <c r="I179" i="36"/>
  <c r="C180" i="36"/>
  <c r="E180" i="36"/>
  <c r="H224" i="35"/>
  <c r="I241" i="33"/>
  <c r="C242" i="33"/>
  <c r="G242" i="33" s="1"/>
  <c r="F242" i="33" s="1"/>
  <c r="E221" i="34" l="1"/>
  <c r="C221" i="34"/>
  <c r="I220" i="34"/>
  <c r="C225" i="35"/>
  <c r="G225" i="35" s="1"/>
  <c r="F225" i="35" s="1"/>
  <c r="I224" i="35"/>
  <c r="G180" i="36"/>
  <c r="F180" i="36" s="1"/>
  <c r="H242" i="33"/>
  <c r="H180" i="36" l="1"/>
  <c r="H225" i="35"/>
  <c r="I242" i="33"/>
  <c r="C243" i="33"/>
  <c r="G243" i="33" s="1"/>
  <c r="F243" i="33" s="1"/>
  <c r="H243" i="33" s="1"/>
  <c r="G221" i="34"/>
  <c r="F221" i="34" s="1"/>
  <c r="N33" i="34"/>
  <c r="P33" i="34" l="1"/>
  <c r="I243" i="33"/>
  <c r="C244" i="33"/>
  <c r="G244" i="33" s="1"/>
  <c r="F244" i="33" s="1"/>
  <c r="C226" i="35"/>
  <c r="G226" i="35" s="1"/>
  <c r="F226" i="35" s="1"/>
  <c r="I225" i="35"/>
  <c r="H221" i="34"/>
  <c r="I180" i="36"/>
  <c r="C181" i="36"/>
  <c r="E181" i="36"/>
  <c r="O33" i="34"/>
  <c r="M33" i="34" l="1"/>
  <c r="H244" i="33"/>
  <c r="H226" i="35"/>
  <c r="G181" i="36"/>
  <c r="F181" i="36" s="1"/>
  <c r="C222" i="34"/>
  <c r="G222" i="34" s="1"/>
  <c r="F222" i="34" s="1"/>
  <c r="H222" i="34" s="1"/>
  <c r="D221" i="34"/>
  <c r="I221" i="34" s="1"/>
  <c r="I222" i="34" l="1"/>
  <c r="C223" i="34"/>
  <c r="G223" i="34" s="1"/>
  <c r="F223" i="34" s="1"/>
  <c r="E227" i="35"/>
  <c r="C227" i="35"/>
  <c r="I226" i="35"/>
  <c r="E245" i="33"/>
  <c r="C245" i="33"/>
  <c r="I244" i="33"/>
  <c r="H181" i="36"/>
  <c r="G227" i="35" l="1"/>
  <c r="F227" i="35" s="1"/>
  <c r="H227" i="35" s="1"/>
  <c r="H223" i="34"/>
  <c r="G245" i="33"/>
  <c r="F245" i="33" s="1"/>
  <c r="I181" i="36"/>
  <c r="C182" i="36"/>
  <c r="E182" i="36"/>
  <c r="N35" i="33"/>
  <c r="G182" i="36" l="1"/>
  <c r="F182" i="36" s="1"/>
  <c r="E224" i="34"/>
  <c r="C224" i="34"/>
  <c r="I223" i="34"/>
  <c r="C228" i="35"/>
  <c r="G228" i="35" s="1"/>
  <c r="F228" i="35" s="1"/>
  <c r="I227" i="35"/>
  <c r="H245" i="33"/>
  <c r="O35" i="33"/>
  <c r="M35" i="33" l="1"/>
  <c r="P35" i="33" s="1"/>
  <c r="G224" i="34"/>
  <c r="F224" i="34" s="1"/>
  <c r="H182" i="36"/>
  <c r="D245" i="33"/>
  <c r="I245" i="33" s="1"/>
  <c r="C246" i="33"/>
  <c r="G246" i="33" s="1"/>
  <c r="F246" i="33" s="1"/>
  <c r="H228" i="35"/>
  <c r="H246" i="33" l="1"/>
  <c r="C183" i="36"/>
  <c r="I182" i="36"/>
  <c r="E183" i="36"/>
  <c r="H224" i="34"/>
  <c r="C229" i="35"/>
  <c r="G229" i="35" s="1"/>
  <c r="F229" i="35" s="1"/>
  <c r="I228" i="35"/>
  <c r="C225" i="34" l="1"/>
  <c r="G225" i="34" s="1"/>
  <c r="F225" i="34" s="1"/>
  <c r="H225" i="34" s="1"/>
  <c r="I224" i="34"/>
  <c r="H229" i="35"/>
  <c r="G183" i="36"/>
  <c r="F183" i="36" s="1"/>
  <c r="I246" i="33"/>
  <c r="C247" i="33"/>
  <c r="G247" i="33" s="1"/>
  <c r="F247" i="33" s="1"/>
  <c r="I225" i="34" l="1"/>
  <c r="C226" i="34"/>
  <c r="G226" i="34" s="1"/>
  <c r="F226" i="34" s="1"/>
  <c r="H226" i="34" s="1"/>
  <c r="C230" i="35"/>
  <c r="G230" i="35" s="1"/>
  <c r="F230" i="35" s="1"/>
  <c r="I229" i="35"/>
  <c r="H247" i="33"/>
  <c r="H183" i="36"/>
  <c r="E227" i="34" l="1"/>
  <c r="I226" i="34"/>
  <c r="C227" i="34"/>
  <c r="C248" i="33"/>
  <c r="G248" i="33" s="1"/>
  <c r="F248" i="33" s="1"/>
  <c r="I247" i="33"/>
  <c r="H230" i="35"/>
  <c r="C184" i="36"/>
  <c r="I183" i="36"/>
  <c r="E184" i="36"/>
  <c r="G184" i="36" l="1"/>
  <c r="F184" i="36" s="1"/>
  <c r="H184" i="36" s="1"/>
  <c r="I230" i="35"/>
  <c r="C231" i="35"/>
  <c r="G231" i="35" s="1"/>
  <c r="F231" i="35" s="1"/>
  <c r="H248" i="33"/>
  <c r="G227" i="34"/>
  <c r="F227" i="34" s="1"/>
  <c r="C249" i="33" l="1"/>
  <c r="G249" i="33" s="1"/>
  <c r="F249" i="33" s="1"/>
  <c r="I248" i="33"/>
  <c r="H231" i="35"/>
  <c r="H227" i="34"/>
  <c r="E185" i="36"/>
  <c r="I184" i="36"/>
  <c r="C185" i="36"/>
  <c r="C232" i="35" l="1"/>
  <c r="G232" i="35" s="1"/>
  <c r="F232" i="35" s="1"/>
  <c r="H232" i="35" s="1"/>
  <c r="I231" i="35"/>
  <c r="G185" i="36"/>
  <c r="F185" i="36" s="1"/>
  <c r="C228" i="34"/>
  <c r="G228" i="34" s="1"/>
  <c r="F228" i="34" s="1"/>
  <c r="H228" i="34" s="1"/>
  <c r="I227" i="34"/>
  <c r="H249" i="33"/>
  <c r="N30" i="36"/>
  <c r="P30" i="36" l="1"/>
  <c r="I228" i="34"/>
  <c r="C229" i="34"/>
  <c r="G229" i="34" s="1"/>
  <c r="F229" i="34" s="1"/>
  <c r="E233" i="35"/>
  <c r="C233" i="35"/>
  <c r="I232" i="35"/>
  <c r="H185" i="36"/>
  <c r="C250" i="33"/>
  <c r="G250" i="33" s="1"/>
  <c r="F250" i="33" s="1"/>
  <c r="I249" i="33"/>
  <c r="O30" i="36"/>
  <c r="M30" i="36" l="1"/>
  <c r="H229" i="34"/>
  <c r="G233" i="35"/>
  <c r="F233" i="35" s="1"/>
  <c r="H250" i="33"/>
  <c r="C186" i="36"/>
  <c r="G186" i="36" s="1"/>
  <c r="F186" i="36" s="1"/>
  <c r="D185" i="36"/>
  <c r="N34" i="35"/>
  <c r="P34" i="35" l="1"/>
  <c r="I185" i="36"/>
  <c r="H186" i="36"/>
  <c r="H233" i="35"/>
  <c r="C251" i="33"/>
  <c r="G251" i="33" s="1"/>
  <c r="F251" i="33" s="1"/>
  <c r="H251" i="33" s="1"/>
  <c r="I250" i="33"/>
  <c r="E230" i="34"/>
  <c r="C230" i="34"/>
  <c r="I229" i="34"/>
  <c r="O34" i="35"/>
  <c r="M34" i="35" l="1"/>
  <c r="C234" i="35"/>
  <c r="G234" i="35" s="1"/>
  <c r="F234" i="35" s="1"/>
  <c r="H234" i="35" s="1"/>
  <c r="D233" i="35"/>
  <c r="I233" i="35" s="1"/>
  <c r="C187" i="36"/>
  <c r="I186" i="36"/>
  <c r="E187" i="36"/>
  <c r="G230" i="34"/>
  <c r="F230" i="34" s="1"/>
  <c r="C252" i="33"/>
  <c r="G252" i="33" s="1"/>
  <c r="F252" i="33" s="1"/>
  <c r="I251" i="33"/>
  <c r="C235" i="35" l="1"/>
  <c r="G235" i="35" s="1"/>
  <c r="F235" i="35" s="1"/>
  <c r="I234" i="35"/>
  <c r="H230" i="34"/>
  <c r="G187" i="36"/>
  <c r="F187" i="36" s="1"/>
  <c r="H252" i="33"/>
  <c r="H187" i="36" l="1"/>
  <c r="I230" i="34"/>
  <c r="C231" i="34"/>
  <c r="G231" i="34" s="1"/>
  <c r="F231" i="34" s="1"/>
  <c r="H231" i="34" s="1"/>
  <c r="I252" i="33"/>
  <c r="C253" i="33"/>
  <c r="G253" i="33" s="1"/>
  <c r="F253" i="33" s="1"/>
  <c r="H253" i="33" s="1"/>
  <c r="H235" i="35"/>
  <c r="I253" i="33" l="1"/>
  <c r="C254" i="33"/>
  <c r="G254" i="33" s="1"/>
  <c r="F254" i="33" s="1"/>
  <c r="C232" i="34"/>
  <c r="G232" i="34" s="1"/>
  <c r="F232" i="34" s="1"/>
  <c r="I231" i="34"/>
  <c r="I235" i="35"/>
  <c r="C236" i="35"/>
  <c r="G236" i="35" s="1"/>
  <c r="F236" i="35" s="1"/>
  <c r="H236" i="35" s="1"/>
  <c r="I187" i="36"/>
  <c r="C188" i="36"/>
  <c r="E188" i="36"/>
  <c r="I236" i="35" l="1"/>
  <c r="C237" i="35"/>
  <c r="G237" i="35" s="1"/>
  <c r="F237" i="35" s="1"/>
  <c r="H237" i="35" s="1"/>
  <c r="H232" i="34"/>
  <c r="H254" i="33"/>
  <c r="G188" i="36"/>
  <c r="F188" i="36" s="1"/>
  <c r="H188" i="36" s="1"/>
  <c r="I188" i="36" l="1"/>
  <c r="C189" i="36"/>
  <c r="E189" i="36"/>
  <c r="I237" i="35"/>
  <c r="C238" i="35"/>
  <c r="G238" i="35" s="1"/>
  <c r="F238" i="35" s="1"/>
  <c r="E233" i="34"/>
  <c r="I232" i="34"/>
  <c r="C233" i="34"/>
  <c r="I254" i="33"/>
  <c r="C255" i="33"/>
  <c r="G255" i="33" s="1"/>
  <c r="F255" i="33" s="1"/>
  <c r="H255" i="33" s="1"/>
  <c r="G233" i="34" l="1"/>
  <c r="F233" i="34" s="1"/>
  <c r="I255" i="33"/>
  <c r="C256" i="33"/>
  <c r="G256" i="33" s="1"/>
  <c r="F256" i="33" s="1"/>
  <c r="G189" i="36"/>
  <c r="F189" i="36" s="1"/>
  <c r="H238" i="35"/>
  <c r="N34" i="34"/>
  <c r="P34" i="34" l="1"/>
  <c r="E239" i="35"/>
  <c r="I238" i="35"/>
  <c r="C239" i="35"/>
  <c r="H233" i="34"/>
  <c r="H256" i="33"/>
  <c r="H189" i="36"/>
  <c r="O34" i="34"/>
  <c r="M34" i="34" l="1"/>
  <c r="G239" i="35"/>
  <c r="F239" i="35" s="1"/>
  <c r="H239" i="35" s="1"/>
  <c r="E257" i="33"/>
  <c r="C257" i="33"/>
  <c r="I256" i="33"/>
  <c r="C234" i="34"/>
  <c r="G234" i="34" s="1"/>
  <c r="F234" i="34" s="1"/>
  <c r="D233" i="34"/>
  <c r="I233" i="34" s="1"/>
  <c r="C190" i="36"/>
  <c r="I189" i="36"/>
  <c r="E190" i="36"/>
  <c r="C240" i="35" l="1"/>
  <c r="G240" i="35" s="1"/>
  <c r="F240" i="35" s="1"/>
  <c r="H240" i="35" s="1"/>
  <c r="I239" i="35"/>
  <c r="G257" i="33"/>
  <c r="F257" i="33" s="1"/>
  <c r="H257" i="33" s="1"/>
  <c r="G190" i="36"/>
  <c r="F190" i="36" s="1"/>
  <c r="H190" i="36" s="1"/>
  <c r="H234" i="34"/>
  <c r="N36" i="33"/>
  <c r="I190" i="36" l="1"/>
  <c r="C191" i="36"/>
  <c r="E191" i="36"/>
  <c r="C258" i="33"/>
  <c r="G258" i="33" s="1"/>
  <c r="F258" i="33" s="1"/>
  <c r="H258" i="33" s="1"/>
  <c r="D257" i="33"/>
  <c r="I257" i="33" s="1"/>
  <c r="C241" i="35"/>
  <c r="G241" i="35" s="1"/>
  <c r="F241" i="35" s="1"/>
  <c r="I240" i="35"/>
  <c r="I234" i="34"/>
  <c r="C235" i="34"/>
  <c r="G235" i="34" s="1"/>
  <c r="F235" i="34" s="1"/>
  <c r="O36" i="33"/>
  <c r="M36" i="33" l="1"/>
  <c r="P36" i="33" s="1"/>
  <c r="I258" i="33"/>
  <c r="C259" i="33"/>
  <c r="G259" i="33" s="1"/>
  <c r="F259" i="33" s="1"/>
  <c r="H235" i="34"/>
  <c r="G191" i="36"/>
  <c r="F191" i="36" s="1"/>
  <c r="H241" i="35"/>
  <c r="E236" i="34" l="1"/>
  <c r="C236" i="34"/>
  <c r="I235" i="34"/>
  <c r="H259" i="33"/>
  <c r="H191" i="36"/>
  <c r="I241" i="35"/>
  <c r="C242" i="35"/>
  <c r="G242" i="35" s="1"/>
  <c r="F242" i="35" s="1"/>
  <c r="C192" i="36" l="1"/>
  <c r="I191" i="36"/>
  <c r="E192" i="36"/>
  <c r="H242" i="35"/>
  <c r="C260" i="33"/>
  <c r="G260" i="33" s="1"/>
  <c r="F260" i="33" s="1"/>
  <c r="I259" i="33"/>
  <c r="G236" i="34"/>
  <c r="F236" i="34" s="1"/>
  <c r="I242" i="35" l="1"/>
  <c r="C243" i="35"/>
  <c r="G243" i="35" s="1"/>
  <c r="F243" i="35" s="1"/>
  <c r="H236" i="34"/>
  <c r="H260" i="33"/>
  <c r="G192" i="36"/>
  <c r="F192" i="36" s="1"/>
  <c r="I260" i="33" l="1"/>
  <c r="C261" i="33"/>
  <c r="G261" i="33" s="1"/>
  <c r="F261" i="33" s="1"/>
  <c r="H261" i="33" s="1"/>
  <c r="H243" i="35"/>
  <c r="H192" i="36"/>
  <c r="I236" i="34"/>
  <c r="C237" i="34"/>
  <c r="G237" i="34" s="1"/>
  <c r="F237" i="34" s="1"/>
  <c r="H237" i="34" s="1"/>
  <c r="I237" i="34" l="1"/>
  <c r="C238" i="34"/>
  <c r="G238" i="34" s="1"/>
  <c r="F238" i="34" s="1"/>
  <c r="C193" i="36"/>
  <c r="I192" i="36"/>
  <c r="E193" i="36"/>
  <c r="I261" i="33"/>
  <c r="C262" i="33"/>
  <c r="G262" i="33" s="1"/>
  <c r="F262" i="33" s="1"/>
  <c r="I243" i="35"/>
  <c r="C244" i="35"/>
  <c r="G244" i="35" s="1"/>
  <c r="F244" i="35" s="1"/>
  <c r="H244" i="35" s="1"/>
  <c r="G193" i="36" l="1"/>
  <c r="F193" i="36" s="1"/>
  <c r="H238" i="34"/>
  <c r="H262" i="33"/>
  <c r="E245" i="35"/>
  <c r="I244" i="35"/>
  <c r="C245" i="35"/>
  <c r="G245" i="35" l="1"/>
  <c r="F245" i="35" s="1"/>
  <c r="I262" i="33"/>
  <c r="C263" i="33"/>
  <c r="G263" i="33" s="1"/>
  <c r="F263" i="33" s="1"/>
  <c r="E239" i="34"/>
  <c r="C239" i="34"/>
  <c r="I238" i="34"/>
  <c r="H193" i="36"/>
  <c r="N35" i="35"/>
  <c r="P35" i="35" l="1"/>
  <c r="H263" i="33"/>
  <c r="I193" i="36"/>
  <c r="C194" i="36"/>
  <c r="E194" i="36"/>
  <c r="G239" i="34"/>
  <c r="F239" i="34" s="1"/>
  <c r="H239" i="34" s="1"/>
  <c r="H245" i="35"/>
  <c r="O35" i="35"/>
  <c r="M35" i="35" l="1"/>
  <c r="I239" i="34"/>
  <c r="C240" i="34"/>
  <c r="G240" i="34" s="1"/>
  <c r="F240" i="34" s="1"/>
  <c r="H240" i="34" s="1"/>
  <c r="G194" i="36"/>
  <c r="F194" i="36" s="1"/>
  <c r="C264" i="33"/>
  <c r="G264" i="33" s="1"/>
  <c r="F264" i="33" s="1"/>
  <c r="I263" i="33"/>
  <c r="D245" i="35"/>
  <c r="I245" i="35" s="1"/>
  <c r="C246" i="35"/>
  <c r="G246" i="35" s="1"/>
  <c r="F246" i="35" s="1"/>
  <c r="H246" i="35" s="1"/>
  <c r="I240" i="34" l="1"/>
  <c r="C241" i="34"/>
  <c r="G241" i="34" s="1"/>
  <c r="F241" i="34" s="1"/>
  <c r="H194" i="36"/>
  <c r="I246" i="35"/>
  <c r="C247" i="35"/>
  <c r="G247" i="35" s="1"/>
  <c r="F247" i="35" s="1"/>
  <c r="H264" i="33"/>
  <c r="I264" i="33" l="1"/>
  <c r="C265" i="33"/>
  <c r="G265" i="33" s="1"/>
  <c r="F265" i="33" s="1"/>
  <c r="H247" i="35"/>
  <c r="C195" i="36"/>
  <c r="I194" i="36"/>
  <c r="E195" i="36"/>
  <c r="H241" i="34"/>
  <c r="I247" i="35" l="1"/>
  <c r="C248" i="35"/>
  <c r="G248" i="35" s="1"/>
  <c r="F248" i="35" s="1"/>
  <c r="E242" i="34"/>
  <c r="I241" i="34"/>
  <c r="C242" i="34"/>
  <c r="H265" i="33"/>
  <c r="G195" i="36"/>
  <c r="F195" i="36" s="1"/>
  <c r="I265" i="33" l="1"/>
  <c r="C266" i="33"/>
  <c r="G266" i="33" s="1"/>
  <c r="F266" i="33" s="1"/>
  <c r="H248" i="35"/>
  <c r="G242" i="34"/>
  <c r="F242" i="34" s="1"/>
  <c r="H195" i="36"/>
  <c r="C196" i="36" l="1"/>
  <c r="I195" i="36"/>
  <c r="E196" i="36"/>
  <c r="C249" i="35"/>
  <c r="G249" i="35" s="1"/>
  <c r="F249" i="35" s="1"/>
  <c r="I248" i="35"/>
  <c r="H266" i="33"/>
  <c r="H242" i="34"/>
  <c r="I242" i="34" l="1"/>
  <c r="C243" i="34"/>
  <c r="G243" i="34" s="1"/>
  <c r="F243" i="34" s="1"/>
  <c r="H243" i="34" s="1"/>
  <c r="C267" i="33"/>
  <c r="G267" i="33" s="1"/>
  <c r="F267" i="33" s="1"/>
  <c r="H267" i="33" s="1"/>
  <c r="I266" i="33"/>
  <c r="H249" i="35"/>
  <c r="G196" i="36"/>
  <c r="F196" i="36" s="1"/>
  <c r="H196" i="36" s="1"/>
  <c r="C244" i="34" l="1"/>
  <c r="G244" i="34" s="1"/>
  <c r="F244" i="34" s="1"/>
  <c r="I243" i="34"/>
  <c r="I267" i="33"/>
  <c r="C268" i="33"/>
  <c r="G268" i="33" s="1"/>
  <c r="F268" i="33" s="1"/>
  <c r="I249" i="35"/>
  <c r="C250" i="35"/>
  <c r="G250" i="35" s="1"/>
  <c r="F250" i="35" s="1"/>
  <c r="E197" i="36"/>
  <c r="I196" i="36"/>
  <c r="C197" i="36"/>
  <c r="H268" i="33" l="1"/>
  <c r="H250" i="35"/>
  <c r="G197" i="36"/>
  <c r="F197" i="36" s="1"/>
  <c r="H244" i="34"/>
  <c r="N31" i="36"/>
  <c r="P31" i="36" l="1"/>
  <c r="E245" i="34"/>
  <c r="I244" i="34"/>
  <c r="C245" i="34"/>
  <c r="E251" i="35"/>
  <c r="C251" i="35"/>
  <c r="I250" i="35"/>
  <c r="H197" i="36"/>
  <c r="E269" i="33"/>
  <c r="C269" i="33"/>
  <c r="I268" i="33"/>
  <c r="O31" i="36"/>
  <c r="M31" i="36" l="1"/>
  <c r="G269" i="33"/>
  <c r="F269" i="33" s="1"/>
  <c r="G251" i="35"/>
  <c r="F251" i="35" s="1"/>
  <c r="G245" i="34"/>
  <c r="F245" i="34" s="1"/>
  <c r="C198" i="36"/>
  <c r="G198" i="36" s="1"/>
  <c r="F198" i="36" s="1"/>
  <c r="H198" i="36" s="1"/>
  <c r="D197" i="36"/>
  <c r="N37" i="33"/>
  <c r="N35" i="34"/>
  <c r="P35" i="34" l="1"/>
  <c r="I198" i="36"/>
  <c r="C199" i="36"/>
  <c r="H245" i="34"/>
  <c r="H251" i="35"/>
  <c r="I197" i="36"/>
  <c r="E199" i="36"/>
  <c r="H269" i="33"/>
  <c r="O37" i="33"/>
  <c r="O35" i="34"/>
  <c r="G199" i="36" l="1"/>
  <c r="F199" i="36" s="1"/>
  <c r="H199" i="36" s="1"/>
  <c r="M37" i="33"/>
  <c r="P37" i="33" s="1"/>
  <c r="M35" i="34"/>
  <c r="C270" i="33"/>
  <c r="G270" i="33" s="1"/>
  <c r="F270" i="33" s="1"/>
  <c r="H270" i="33" s="1"/>
  <c r="D269" i="33"/>
  <c r="I269" i="33" s="1"/>
  <c r="C246" i="34"/>
  <c r="G246" i="34" s="1"/>
  <c r="F246" i="34" s="1"/>
  <c r="D245" i="34"/>
  <c r="I245" i="34" s="1"/>
  <c r="I251" i="35"/>
  <c r="C252" i="35"/>
  <c r="G252" i="35" s="1"/>
  <c r="F252" i="35" s="1"/>
  <c r="H252" i="35" s="1"/>
  <c r="C253" i="35" l="1"/>
  <c r="G253" i="35" s="1"/>
  <c r="F253" i="35" s="1"/>
  <c r="H253" i="35" s="1"/>
  <c r="I252" i="35"/>
  <c r="I270" i="33"/>
  <c r="C271" i="33"/>
  <c r="G271" i="33" s="1"/>
  <c r="F271" i="33" s="1"/>
  <c r="C200" i="36"/>
  <c r="I199" i="36"/>
  <c r="E200" i="36"/>
  <c r="H246" i="34"/>
  <c r="H271" i="33" l="1"/>
  <c r="C254" i="35"/>
  <c r="G254" i="35" s="1"/>
  <c r="F254" i="35" s="1"/>
  <c r="I253" i="35"/>
  <c r="G200" i="36"/>
  <c r="F200" i="36" s="1"/>
  <c r="I246" i="34"/>
  <c r="C247" i="34"/>
  <c r="G247" i="34" s="1"/>
  <c r="F247" i="34" s="1"/>
  <c r="H247" i="34" l="1"/>
  <c r="H254" i="35"/>
  <c r="H200" i="36"/>
  <c r="C272" i="33"/>
  <c r="G272" i="33" s="1"/>
  <c r="F272" i="33" s="1"/>
  <c r="I271" i="33"/>
  <c r="I200" i="36" l="1"/>
  <c r="C201" i="36"/>
  <c r="E201" i="36"/>
  <c r="H272" i="33"/>
  <c r="C255" i="35"/>
  <c r="G255" i="35" s="1"/>
  <c r="F255" i="35" s="1"/>
  <c r="I254" i="35"/>
  <c r="E248" i="34"/>
  <c r="C248" i="34"/>
  <c r="I247" i="34"/>
  <c r="G248" i="34" l="1"/>
  <c r="F248" i="34" s="1"/>
  <c r="I272" i="33"/>
  <c r="C273" i="33"/>
  <c r="G273" i="33" s="1"/>
  <c r="F273" i="33" s="1"/>
  <c r="H273" i="33" s="1"/>
  <c r="G201" i="36"/>
  <c r="F201" i="36" s="1"/>
  <c r="H255" i="35"/>
  <c r="C274" i="33" l="1"/>
  <c r="G274" i="33" s="1"/>
  <c r="F274" i="33" s="1"/>
  <c r="I273" i="33"/>
  <c r="H201" i="36"/>
  <c r="C256" i="35"/>
  <c r="G256" i="35" s="1"/>
  <c r="F256" i="35" s="1"/>
  <c r="I255" i="35"/>
  <c r="H248" i="34"/>
  <c r="I248" i="34" l="1"/>
  <c r="C249" i="34"/>
  <c r="G249" i="34" s="1"/>
  <c r="F249" i="34" s="1"/>
  <c r="H256" i="35"/>
  <c r="C202" i="36"/>
  <c r="I201" i="36"/>
  <c r="E202" i="36"/>
  <c r="H274" i="33"/>
  <c r="G202" i="36" l="1"/>
  <c r="F202" i="36" s="1"/>
  <c r="C275" i="33"/>
  <c r="G275" i="33" s="1"/>
  <c r="F275" i="33" s="1"/>
  <c r="I274" i="33"/>
  <c r="H249" i="34"/>
  <c r="E257" i="35"/>
  <c r="I256" i="35"/>
  <c r="C257" i="35"/>
  <c r="G257" i="35" l="1"/>
  <c r="F257" i="35" s="1"/>
  <c r="C250" i="34"/>
  <c r="G250" i="34" s="1"/>
  <c r="F250" i="34" s="1"/>
  <c r="I249" i="34"/>
  <c r="H275" i="33"/>
  <c r="H202" i="36"/>
  <c r="N36" i="35"/>
  <c r="P36" i="35" l="1"/>
  <c r="C276" i="33"/>
  <c r="G276" i="33" s="1"/>
  <c r="F276" i="33" s="1"/>
  <c r="I275" i="33"/>
  <c r="H250" i="34"/>
  <c r="I202" i="36"/>
  <c r="C203" i="36"/>
  <c r="E203" i="36"/>
  <c r="H257" i="35"/>
  <c r="O36" i="35"/>
  <c r="M36" i="35" l="1"/>
  <c r="E251" i="34"/>
  <c r="C251" i="34"/>
  <c r="I250" i="34"/>
  <c r="H276" i="33"/>
  <c r="G203" i="36"/>
  <c r="F203" i="36" s="1"/>
  <c r="D257" i="35"/>
  <c r="I257" i="35" s="1"/>
  <c r="C258" i="35"/>
  <c r="G258" i="35" s="1"/>
  <c r="F258" i="35" s="1"/>
  <c r="H203" i="36" l="1"/>
  <c r="C277" i="33"/>
  <c r="G277" i="33" s="1"/>
  <c r="F277" i="33" s="1"/>
  <c r="I276" i="33"/>
  <c r="G251" i="34"/>
  <c r="F251" i="34" s="1"/>
  <c r="H258" i="35"/>
  <c r="I258" i="35" l="1"/>
  <c r="C259" i="35"/>
  <c r="G259" i="35" s="1"/>
  <c r="F259" i="35" s="1"/>
  <c r="H251" i="34"/>
  <c r="H277" i="33"/>
  <c r="I203" i="36"/>
  <c r="C204" i="36"/>
  <c r="E204" i="36"/>
  <c r="C252" i="34" l="1"/>
  <c r="G252" i="34" s="1"/>
  <c r="F252" i="34" s="1"/>
  <c r="H252" i="34" s="1"/>
  <c r="I251" i="34"/>
  <c r="H259" i="35"/>
  <c r="G204" i="36"/>
  <c r="F204" i="36" s="1"/>
  <c r="I277" i="33"/>
  <c r="C278" i="33"/>
  <c r="G278" i="33" s="1"/>
  <c r="F278" i="33" s="1"/>
  <c r="C253" i="34" l="1"/>
  <c r="G253" i="34" s="1"/>
  <c r="F253" i="34" s="1"/>
  <c r="H253" i="34" s="1"/>
  <c r="I252" i="34"/>
  <c r="H278" i="33"/>
  <c r="C260" i="35"/>
  <c r="G260" i="35" s="1"/>
  <c r="F260" i="35" s="1"/>
  <c r="I259" i="35"/>
  <c r="H204" i="36"/>
  <c r="E254" i="34" l="1"/>
  <c r="I253" i="34"/>
  <c r="C254" i="34"/>
  <c r="H260" i="35"/>
  <c r="C279" i="33"/>
  <c r="G279" i="33" s="1"/>
  <c r="F279" i="33" s="1"/>
  <c r="H279" i="33" s="1"/>
  <c r="I278" i="33"/>
  <c r="I204" i="36"/>
  <c r="C205" i="36"/>
  <c r="E205" i="36"/>
  <c r="C280" i="33" l="1"/>
  <c r="G280" i="33" s="1"/>
  <c r="F280" i="33" s="1"/>
  <c r="I279" i="33"/>
  <c r="G205" i="36"/>
  <c r="F205" i="36" s="1"/>
  <c r="C261" i="35"/>
  <c r="G261" i="35" s="1"/>
  <c r="F261" i="35" s="1"/>
  <c r="I260" i="35"/>
  <c r="G254" i="34"/>
  <c r="F254" i="34" s="1"/>
  <c r="H254" i="34" l="1"/>
  <c r="H205" i="36"/>
  <c r="H261" i="35"/>
  <c r="H280" i="33"/>
  <c r="C262" i="35" l="1"/>
  <c r="G262" i="35" s="1"/>
  <c r="F262" i="35" s="1"/>
  <c r="I261" i="35"/>
  <c r="C206" i="36"/>
  <c r="I205" i="36"/>
  <c r="E206" i="36"/>
  <c r="E281" i="33"/>
  <c r="C281" i="33"/>
  <c r="I280" i="33"/>
  <c r="C255" i="34"/>
  <c r="G255" i="34" s="1"/>
  <c r="F255" i="34" s="1"/>
  <c r="I254" i="34"/>
  <c r="G281" i="33" l="1"/>
  <c r="F281" i="33" s="1"/>
  <c r="G206" i="36"/>
  <c r="F206" i="36" s="1"/>
  <c r="H206" i="36" s="1"/>
  <c r="H255" i="34"/>
  <c r="H262" i="35"/>
  <c r="N38" i="33"/>
  <c r="I206" i="36" l="1"/>
  <c r="C207" i="36"/>
  <c r="E207" i="36"/>
  <c r="C256" i="34"/>
  <c r="G256" i="34" s="1"/>
  <c r="F256" i="34" s="1"/>
  <c r="H256" i="34" s="1"/>
  <c r="I255" i="34"/>
  <c r="E263" i="35"/>
  <c r="C263" i="35"/>
  <c r="I262" i="35"/>
  <c r="H281" i="33"/>
  <c r="O38" i="33"/>
  <c r="M38" i="33" l="1"/>
  <c r="P38" i="33" s="1"/>
  <c r="E257" i="34"/>
  <c r="C257" i="34"/>
  <c r="I256" i="34"/>
  <c r="D281" i="33"/>
  <c r="I281" i="33" s="1"/>
  <c r="C282" i="33"/>
  <c r="G282" i="33" s="1"/>
  <c r="F282" i="33" s="1"/>
  <c r="H282" i="33" s="1"/>
  <c r="G207" i="36"/>
  <c r="F207" i="36" s="1"/>
  <c r="G263" i="35"/>
  <c r="F263" i="35" s="1"/>
  <c r="H263" i="35" s="1"/>
  <c r="C283" i="33" l="1"/>
  <c r="G283" i="33" s="1"/>
  <c r="F283" i="33" s="1"/>
  <c r="I282" i="33"/>
  <c r="H207" i="36"/>
  <c r="G257" i="34"/>
  <c r="F257" i="34" s="1"/>
  <c r="I263" i="35"/>
  <c r="C264" i="35"/>
  <c r="G264" i="35" s="1"/>
  <c r="F264" i="35" s="1"/>
  <c r="N36" i="34"/>
  <c r="P36" i="34" l="1"/>
  <c r="H257" i="34"/>
  <c r="H264" i="35"/>
  <c r="C208" i="36"/>
  <c r="I207" i="36"/>
  <c r="E208" i="36"/>
  <c r="H283" i="33"/>
  <c r="O36" i="34"/>
  <c r="M36" i="34" l="1"/>
  <c r="C265" i="35"/>
  <c r="G265" i="35" s="1"/>
  <c r="F265" i="35" s="1"/>
  <c r="I264" i="35"/>
  <c r="G208" i="36"/>
  <c r="F208" i="36" s="1"/>
  <c r="H208" i="36" s="1"/>
  <c r="C258" i="34"/>
  <c r="G258" i="34" s="1"/>
  <c r="F258" i="34" s="1"/>
  <c r="D257" i="34"/>
  <c r="I257" i="34" s="1"/>
  <c r="C284" i="33"/>
  <c r="G284" i="33" s="1"/>
  <c r="F284" i="33" s="1"/>
  <c r="I283" i="33"/>
  <c r="E209" i="36" l="1"/>
  <c r="C209" i="36"/>
  <c r="I208" i="36"/>
  <c r="H284" i="33"/>
  <c r="H265" i="35"/>
  <c r="H258" i="34"/>
  <c r="I265" i="35" l="1"/>
  <c r="C266" i="35"/>
  <c r="G266" i="35" s="1"/>
  <c r="F266" i="35" s="1"/>
  <c r="I258" i="34"/>
  <c r="C259" i="34"/>
  <c r="G259" i="34" s="1"/>
  <c r="F259" i="34" s="1"/>
  <c r="H259" i="34" s="1"/>
  <c r="I284" i="33"/>
  <c r="C285" i="33"/>
  <c r="G285" i="33" s="1"/>
  <c r="F285" i="33" s="1"/>
  <c r="G209" i="36"/>
  <c r="F209" i="36" s="1"/>
  <c r="N32" i="36"/>
  <c r="P32" i="36" l="1"/>
  <c r="E260" i="34"/>
  <c r="C260" i="34"/>
  <c r="I259" i="34"/>
  <c r="H285" i="33"/>
  <c r="H266" i="35"/>
  <c r="H209" i="36"/>
  <c r="O32" i="36"/>
  <c r="M32" i="36" l="1"/>
  <c r="C286" i="33"/>
  <c r="G286" i="33" s="1"/>
  <c r="F286" i="33" s="1"/>
  <c r="I285" i="33"/>
  <c r="C267" i="35"/>
  <c r="G267" i="35" s="1"/>
  <c r="F267" i="35" s="1"/>
  <c r="I266" i="35"/>
  <c r="G260" i="34"/>
  <c r="F260" i="34" s="1"/>
  <c r="C210" i="36"/>
  <c r="G210" i="36" s="1"/>
  <c r="F210" i="36" s="1"/>
  <c r="D209" i="36"/>
  <c r="H260" i="34" l="1"/>
  <c r="H286" i="33"/>
  <c r="H210" i="36"/>
  <c r="H267" i="35"/>
  <c r="I209" i="36"/>
  <c r="E211" i="36"/>
  <c r="I267" i="35" l="1"/>
  <c r="C268" i="35"/>
  <c r="G268" i="35" s="1"/>
  <c r="F268" i="35" s="1"/>
  <c r="C211" i="36"/>
  <c r="G211" i="36" s="1"/>
  <c r="F211" i="36" s="1"/>
  <c r="I210" i="36"/>
  <c r="I286" i="33"/>
  <c r="C287" i="33"/>
  <c r="G287" i="33" s="1"/>
  <c r="F287" i="33" s="1"/>
  <c r="C261" i="34"/>
  <c r="G261" i="34" s="1"/>
  <c r="F261" i="34" s="1"/>
  <c r="I260" i="34"/>
  <c r="H261" i="34" l="1"/>
  <c r="H268" i="35"/>
  <c r="H287" i="33"/>
  <c r="H211" i="36"/>
  <c r="E269" i="35" l="1"/>
  <c r="I268" i="35"/>
  <c r="C269" i="35"/>
  <c r="I211" i="36"/>
  <c r="C212" i="36"/>
  <c r="E212" i="36"/>
  <c r="I287" i="33"/>
  <c r="C288" i="33"/>
  <c r="G288" i="33" s="1"/>
  <c r="F288" i="33" s="1"/>
  <c r="C262" i="34"/>
  <c r="G262" i="34" s="1"/>
  <c r="F262" i="34" s="1"/>
  <c r="I261" i="34"/>
  <c r="H288" i="33" l="1"/>
  <c r="G212" i="36"/>
  <c r="F212" i="36" s="1"/>
  <c r="H212" i="36" s="1"/>
  <c r="G269" i="35"/>
  <c r="F269" i="35" s="1"/>
  <c r="H262" i="34"/>
  <c r="N37" i="35"/>
  <c r="P37" i="35" l="1"/>
  <c r="E263" i="34"/>
  <c r="C263" i="34"/>
  <c r="I262" i="34"/>
  <c r="H269" i="35"/>
  <c r="C213" i="36"/>
  <c r="I212" i="36"/>
  <c r="E213" i="36"/>
  <c r="C289" i="33"/>
  <c r="G289" i="33" s="1"/>
  <c r="F289" i="33" s="1"/>
  <c r="H289" i="33" s="1"/>
  <c r="I288" i="33"/>
  <c r="O37" i="35"/>
  <c r="M37" i="35" l="1"/>
  <c r="D269" i="35"/>
  <c r="I269" i="35" s="1"/>
  <c r="C270" i="35"/>
  <c r="G270" i="35" s="1"/>
  <c r="F270" i="35" s="1"/>
  <c r="H270" i="35" s="1"/>
  <c r="G263" i="34"/>
  <c r="F263" i="34" s="1"/>
  <c r="G213" i="36"/>
  <c r="F213" i="36" s="1"/>
  <c r="C290" i="33"/>
  <c r="G290" i="33" s="1"/>
  <c r="F290" i="33" s="1"/>
  <c r="I289" i="33"/>
  <c r="C271" i="35" l="1"/>
  <c r="G271" i="35" s="1"/>
  <c r="F271" i="35" s="1"/>
  <c r="I270" i="35"/>
  <c r="H213" i="36"/>
  <c r="H263" i="34"/>
  <c r="H290" i="33"/>
  <c r="C264" i="34" l="1"/>
  <c r="G264" i="34" s="1"/>
  <c r="F264" i="34" s="1"/>
  <c r="H264" i="34" s="1"/>
  <c r="I263" i="34"/>
  <c r="C291" i="33"/>
  <c r="G291" i="33" s="1"/>
  <c r="F291" i="33" s="1"/>
  <c r="H291" i="33" s="1"/>
  <c r="I290" i="33"/>
  <c r="I213" i="36"/>
  <c r="C214" i="36"/>
  <c r="E214" i="36"/>
  <c r="H271" i="35"/>
  <c r="C265" i="34" l="1"/>
  <c r="G265" i="34" s="1"/>
  <c r="F265" i="34" s="1"/>
  <c r="I264" i="34"/>
  <c r="I291" i="33"/>
  <c r="C292" i="33"/>
  <c r="G292" i="33" s="1"/>
  <c r="F292" i="33" s="1"/>
  <c r="G214" i="36"/>
  <c r="F214" i="36" s="1"/>
  <c r="I271" i="35"/>
  <c r="C272" i="35"/>
  <c r="G272" i="35" s="1"/>
  <c r="F272" i="35" s="1"/>
  <c r="H272" i="35" l="1"/>
  <c r="H292" i="33"/>
  <c r="H214" i="36"/>
  <c r="H265" i="34"/>
  <c r="E266" i="34" l="1"/>
  <c r="I265" i="34"/>
  <c r="C266" i="34"/>
  <c r="C215" i="36"/>
  <c r="I214" i="36"/>
  <c r="E215" i="36"/>
  <c r="E293" i="33"/>
  <c r="C293" i="33"/>
  <c r="I292" i="33"/>
  <c r="C273" i="35"/>
  <c r="G273" i="35" s="1"/>
  <c r="F273" i="35" s="1"/>
  <c r="I272" i="35"/>
  <c r="G293" i="33" l="1"/>
  <c r="F293" i="33" s="1"/>
  <c r="G215" i="36"/>
  <c r="F215" i="36" s="1"/>
  <c r="H215" i="36" s="1"/>
  <c r="G266" i="34"/>
  <c r="F266" i="34" s="1"/>
  <c r="H266" i="34" s="1"/>
  <c r="H273" i="35"/>
  <c r="N39" i="33"/>
  <c r="I215" i="36" l="1"/>
  <c r="C216" i="36"/>
  <c r="E216" i="36"/>
  <c r="I266" i="34"/>
  <c r="C267" i="34"/>
  <c r="G267" i="34" s="1"/>
  <c r="F267" i="34" s="1"/>
  <c r="C274" i="35"/>
  <c r="G274" i="35" s="1"/>
  <c r="F274" i="35" s="1"/>
  <c r="I273" i="35"/>
  <c r="H293" i="33"/>
  <c r="O39" i="33"/>
  <c r="M39" i="33" l="1"/>
  <c r="P39" i="33" s="1"/>
  <c r="G216" i="36"/>
  <c r="F216" i="36" s="1"/>
  <c r="H216" i="36" s="1"/>
  <c r="H267" i="34"/>
  <c r="H274" i="35"/>
  <c r="D293" i="33"/>
  <c r="I293" i="33" s="1"/>
  <c r="C294" i="33"/>
  <c r="G294" i="33" s="1"/>
  <c r="F294" i="33" s="1"/>
  <c r="H294" i="33" s="1"/>
  <c r="C295" i="33" l="1"/>
  <c r="G295" i="33" s="1"/>
  <c r="F295" i="33" s="1"/>
  <c r="I294" i="33"/>
  <c r="E275" i="35"/>
  <c r="I274" i="35"/>
  <c r="C275" i="35"/>
  <c r="C217" i="36"/>
  <c r="I216" i="36"/>
  <c r="E217" i="36"/>
  <c r="C268" i="34"/>
  <c r="G268" i="34" s="1"/>
  <c r="F268" i="34" s="1"/>
  <c r="I267" i="34"/>
  <c r="G275" i="35" l="1"/>
  <c r="F275" i="35" s="1"/>
  <c r="G217" i="36"/>
  <c r="F217" i="36" s="1"/>
  <c r="H268" i="34"/>
  <c r="H295" i="33"/>
  <c r="E269" i="34" l="1"/>
  <c r="I268" i="34"/>
  <c r="C269" i="34"/>
  <c r="C296" i="33"/>
  <c r="G296" i="33" s="1"/>
  <c r="F296" i="33" s="1"/>
  <c r="I295" i="33"/>
  <c r="H275" i="35"/>
  <c r="H217" i="36"/>
  <c r="I275" i="35" l="1"/>
  <c r="C276" i="35"/>
  <c r="G276" i="35" s="1"/>
  <c r="F276" i="35" s="1"/>
  <c r="C218" i="36"/>
  <c r="I217" i="36"/>
  <c r="E218" i="36"/>
  <c r="G269" i="34"/>
  <c r="F269" i="34" s="1"/>
  <c r="H296" i="33"/>
  <c r="N37" i="34"/>
  <c r="P37" i="34" l="1"/>
  <c r="H269" i="34"/>
  <c r="G218" i="36"/>
  <c r="F218" i="36" s="1"/>
  <c r="H218" i="36" s="1"/>
  <c r="I296" i="33"/>
  <c r="C297" i="33"/>
  <c r="G297" i="33" s="1"/>
  <c r="F297" i="33" s="1"/>
  <c r="H276" i="35"/>
  <c r="O37" i="34"/>
  <c r="M37" i="34" l="1"/>
  <c r="C219" i="36"/>
  <c r="I218" i="36"/>
  <c r="E219" i="36"/>
  <c r="D269" i="34"/>
  <c r="I269" i="34" s="1"/>
  <c r="C270" i="34"/>
  <c r="G270" i="34" s="1"/>
  <c r="F270" i="34" s="1"/>
  <c r="H297" i="33"/>
  <c r="C277" i="35"/>
  <c r="G277" i="35" s="1"/>
  <c r="F277" i="35" s="1"/>
  <c r="I276" i="35"/>
  <c r="C298" i="33" l="1"/>
  <c r="G298" i="33" s="1"/>
  <c r="F298" i="33" s="1"/>
  <c r="H298" i="33" s="1"/>
  <c r="I297" i="33"/>
  <c r="G219" i="36"/>
  <c r="F219" i="36" s="1"/>
  <c r="H219" i="36" s="1"/>
  <c r="H270" i="34"/>
  <c r="H277" i="35"/>
  <c r="C220" i="36" l="1"/>
  <c r="I219" i="36"/>
  <c r="E220" i="36"/>
  <c r="I277" i="35"/>
  <c r="C278" i="35"/>
  <c r="G278" i="35" s="1"/>
  <c r="F278" i="35" s="1"/>
  <c r="I270" i="34"/>
  <c r="C271" i="34"/>
  <c r="G271" i="34" s="1"/>
  <c r="F271" i="34" s="1"/>
  <c r="C299" i="33"/>
  <c r="G299" i="33" s="1"/>
  <c r="F299" i="33" s="1"/>
  <c r="I298" i="33"/>
  <c r="H271" i="34" l="1"/>
  <c r="H278" i="35"/>
  <c r="H299" i="33"/>
  <c r="G220" i="36"/>
  <c r="F220" i="36" s="1"/>
  <c r="H220" i="36" l="1"/>
  <c r="I278" i="35"/>
  <c r="C279" i="35"/>
  <c r="G279" i="35" s="1"/>
  <c r="F279" i="35" s="1"/>
  <c r="H279" i="35" s="1"/>
  <c r="C300" i="33"/>
  <c r="G300" i="33" s="1"/>
  <c r="F300" i="33" s="1"/>
  <c r="I299" i="33"/>
  <c r="E272" i="34"/>
  <c r="C272" i="34"/>
  <c r="I271" i="34"/>
  <c r="I279" i="35" l="1"/>
  <c r="C280" i="35"/>
  <c r="G280" i="35" s="1"/>
  <c r="F280" i="35" s="1"/>
  <c r="H300" i="33"/>
  <c r="G272" i="34"/>
  <c r="F272" i="34" s="1"/>
  <c r="E221" i="36"/>
  <c r="C221" i="36"/>
  <c r="I220" i="36"/>
  <c r="G221" i="36" l="1"/>
  <c r="F221" i="36" s="1"/>
  <c r="H272" i="34"/>
  <c r="C301" i="33"/>
  <c r="G301" i="33" s="1"/>
  <c r="F301" i="33" s="1"/>
  <c r="I300" i="33"/>
  <c r="H280" i="35"/>
  <c r="N33" i="36"/>
  <c r="P33" i="36" l="1"/>
  <c r="E281" i="35"/>
  <c r="C281" i="35"/>
  <c r="I280" i="35"/>
  <c r="I272" i="34"/>
  <c r="C273" i="34"/>
  <c r="G273" i="34" s="1"/>
  <c r="F273" i="34" s="1"/>
  <c r="H301" i="33"/>
  <c r="H221" i="36"/>
  <c r="O33" i="36"/>
  <c r="M33" i="36" l="1"/>
  <c r="C222" i="36"/>
  <c r="G222" i="36" s="1"/>
  <c r="F222" i="36" s="1"/>
  <c r="H222" i="36" s="1"/>
  <c r="D221" i="36"/>
  <c r="G281" i="35"/>
  <c r="F281" i="35" s="1"/>
  <c r="C302" i="33"/>
  <c r="G302" i="33" s="1"/>
  <c r="F302" i="33" s="1"/>
  <c r="I301" i="33"/>
  <c r="H273" i="34"/>
  <c r="N38" i="35"/>
  <c r="P38" i="35" l="1"/>
  <c r="I222" i="36"/>
  <c r="C223" i="36"/>
  <c r="H281" i="35"/>
  <c r="H302" i="33"/>
  <c r="I221" i="36"/>
  <c r="E223" i="36"/>
  <c r="C274" i="34"/>
  <c r="G274" i="34" s="1"/>
  <c r="F274" i="34" s="1"/>
  <c r="I273" i="34"/>
  <c r="O38" i="35"/>
  <c r="M38" i="35" l="1"/>
  <c r="I302" i="33"/>
  <c r="C303" i="33"/>
  <c r="G303" i="33" s="1"/>
  <c r="F303" i="33" s="1"/>
  <c r="C282" i="35"/>
  <c r="G282" i="35" s="1"/>
  <c r="F282" i="35" s="1"/>
  <c r="D281" i="35"/>
  <c r="I281" i="35" s="1"/>
  <c r="G223" i="36"/>
  <c r="F223" i="36" s="1"/>
  <c r="H274" i="34"/>
  <c r="H282" i="35" l="1"/>
  <c r="E275" i="34"/>
  <c r="I274" i="34"/>
  <c r="C275" i="34"/>
  <c r="H303" i="33"/>
  <c r="H223" i="36"/>
  <c r="G275" i="34" l="1"/>
  <c r="F275" i="34" s="1"/>
  <c r="C224" i="36"/>
  <c r="I223" i="36"/>
  <c r="E224" i="36"/>
  <c r="I303" i="33"/>
  <c r="C304" i="33"/>
  <c r="G304" i="33" s="1"/>
  <c r="F304" i="33" s="1"/>
  <c r="H304" i="33" s="1"/>
  <c r="I282" i="35"/>
  <c r="C283" i="35"/>
  <c r="G283" i="35" s="1"/>
  <c r="F283" i="35" s="1"/>
  <c r="H283" i="35" s="1"/>
  <c r="C284" i="35" l="1"/>
  <c r="G284" i="35" s="1"/>
  <c r="F284" i="35" s="1"/>
  <c r="H284" i="35" s="1"/>
  <c r="I283" i="35"/>
  <c r="E305" i="33"/>
  <c r="I304" i="33"/>
  <c r="C305" i="33"/>
  <c r="G224" i="36"/>
  <c r="F224" i="36" s="1"/>
  <c r="H224" i="36" s="1"/>
  <c r="H275" i="34"/>
  <c r="I224" i="36" l="1"/>
  <c r="C225" i="36"/>
  <c r="E225" i="36"/>
  <c r="C285" i="35"/>
  <c r="G285" i="35" s="1"/>
  <c r="F285" i="35" s="1"/>
  <c r="I284" i="35"/>
  <c r="G305" i="33"/>
  <c r="F305" i="33" s="1"/>
  <c r="C276" i="34"/>
  <c r="G276" i="34" s="1"/>
  <c r="F276" i="34" s="1"/>
  <c r="I275" i="34"/>
  <c r="N40" i="33"/>
  <c r="G225" i="36" l="1"/>
  <c r="F225" i="36" s="1"/>
  <c r="H305" i="33"/>
  <c r="H285" i="35"/>
  <c r="H276" i="34"/>
  <c r="O40" i="33"/>
  <c r="M40" i="33" l="1"/>
  <c r="P40" i="33" s="1"/>
  <c r="C306" i="33"/>
  <c r="G306" i="33" s="1"/>
  <c r="F306" i="33" s="1"/>
  <c r="H306" i="33" s="1"/>
  <c r="D305" i="33"/>
  <c r="I305" i="33" s="1"/>
  <c r="C286" i="35"/>
  <c r="G286" i="35" s="1"/>
  <c r="F286" i="35" s="1"/>
  <c r="I285" i="35"/>
  <c r="I276" i="34"/>
  <c r="C277" i="34"/>
  <c r="G277" i="34" s="1"/>
  <c r="F277" i="34" s="1"/>
  <c r="H225" i="36"/>
  <c r="C307" i="33" l="1"/>
  <c r="G307" i="33" s="1"/>
  <c r="F307" i="33" s="1"/>
  <c r="I306" i="33"/>
  <c r="H286" i="35"/>
  <c r="I225" i="36"/>
  <c r="C226" i="36"/>
  <c r="E226" i="36"/>
  <c r="H277" i="34"/>
  <c r="E278" i="34" l="1"/>
  <c r="C278" i="34"/>
  <c r="I277" i="34"/>
  <c r="E287" i="35"/>
  <c r="I286" i="35"/>
  <c r="C287" i="35"/>
  <c r="G226" i="36"/>
  <c r="F226" i="36" s="1"/>
  <c r="H307" i="33"/>
  <c r="C308" i="33" l="1"/>
  <c r="G308" i="33" s="1"/>
  <c r="F308" i="33" s="1"/>
  <c r="I307" i="33"/>
  <c r="G287" i="35"/>
  <c r="F287" i="35" s="1"/>
  <c r="H226" i="36"/>
  <c r="G278" i="34"/>
  <c r="F278" i="34" s="1"/>
  <c r="C227" i="36" l="1"/>
  <c r="I226" i="36"/>
  <c r="E227" i="36"/>
  <c r="H278" i="34"/>
  <c r="H287" i="35"/>
  <c r="H308" i="33"/>
  <c r="I308" i="33" l="1"/>
  <c r="C309" i="33"/>
  <c r="G309" i="33" s="1"/>
  <c r="F309" i="33" s="1"/>
  <c r="H309" i="33" s="1"/>
  <c r="C279" i="34"/>
  <c r="G279" i="34" s="1"/>
  <c r="F279" i="34" s="1"/>
  <c r="I278" i="34"/>
  <c r="I287" i="35"/>
  <c r="C288" i="35"/>
  <c r="G288" i="35" s="1"/>
  <c r="F288" i="35" s="1"/>
  <c r="G227" i="36"/>
  <c r="F227" i="36" s="1"/>
  <c r="C310" i="33" l="1"/>
  <c r="G310" i="33" s="1"/>
  <c r="F310" i="33" s="1"/>
  <c r="I309" i="33"/>
  <c r="H288" i="35"/>
  <c r="H279" i="34"/>
  <c r="H227" i="36"/>
  <c r="C280" i="34" l="1"/>
  <c r="G280" i="34" s="1"/>
  <c r="F280" i="34" s="1"/>
  <c r="I279" i="34"/>
  <c r="C228" i="36"/>
  <c r="I227" i="36"/>
  <c r="E228" i="36"/>
  <c r="C289" i="35"/>
  <c r="G289" i="35" s="1"/>
  <c r="F289" i="35" s="1"/>
  <c r="I288" i="35"/>
  <c r="H310" i="33"/>
  <c r="I310" i="33" l="1"/>
  <c r="C311" i="33"/>
  <c r="G311" i="33" s="1"/>
  <c r="F311" i="33" s="1"/>
  <c r="H289" i="35"/>
  <c r="G228" i="36"/>
  <c r="F228" i="36" s="1"/>
  <c r="H280" i="34"/>
  <c r="H311" i="33" l="1"/>
  <c r="E281" i="34"/>
  <c r="C281" i="34"/>
  <c r="I280" i="34"/>
  <c r="I289" i="35"/>
  <c r="C290" i="35"/>
  <c r="G290" i="35" s="1"/>
  <c r="F290" i="35" s="1"/>
  <c r="H228" i="36"/>
  <c r="H290" i="35" l="1"/>
  <c r="C229" i="36"/>
  <c r="I228" i="36"/>
  <c r="E229" i="36"/>
  <c r="G281" i="34"/>
  <c r="F281" i="34" s="1"/>
  <c r="C312" i="33"/>
  <c r="G312" i="33" s="1"/>
  <c r="F312" i="33" s="1"/>
  <c r="I311" i="33"/>
  <c r="N38" i="34"/>
  <c r="P38" i="34" l="1"/>
  <c r="H281" i="34"/>
  <c r="H312" i="33"/>
  <c r="G229" i="36"/>
  <c r="F229" i="36" s="1"/>
  <c r="C291" i="35"/>
  <c r="G291" i="35" s="1"/>
  <c r="F291" i="35" s="1"/>
  <c r="I290" i="35"/>
  <c r="O38" i="34"/>
  <c r="M38" i="34" l="1"/>
  <c r="C313" i="33"/>
  <c r="G313" i="33" s="1"/>
  <c r="F313" i="33" s="1"/>
  <c r="I312" i="33"/>
  <c r="H229" i="36"/>
  <c r="D281" i="34"/>
  <c r="I281" i="34" s="1"/>
  <c r="C282" i="34"/>
  <c r="G282" i="34" s="1"/>
  <c r="F282" i="34" s="1"/>
  <c r="H291" i="35"/>
  <c r="C292" i="35" l="1"/>
  <c r="G292" i="35" s="1"/>
  <c r="F292" i="35" s="1"/>
  <c r="H292" i="35" s="1"/>
  <c r="I291" i="35"/>
  <c r="C230" i="36"/>
  <c r="I229" i="36"/>
  <c r="E230" i="36"/>
  <c r="H282" i="34"/>
  <c r="H313" i="33"/>
  <c r="E293" i="35" l="1"/>
  <c r="I292" i="35"/>
  <c r="C293" i="35"/>
  <c r="C314" i="33"/>
  <c r="G314" i="33" s="1"/>
  <c r="F314" i="33" s="1"/>
  <c r="I313" i="33"/>
  <c r="G230" i="36"/>
  <c r="F230" i="36" s="1"/>
  <c r="I282" i="34"/>
  <c r="C283" i="34"/>
  <c r="G283" i="34" s="1"/>
  <c r="F283" i="34" s="1"/>
  <c r="H230" i="36" l="1"/>
  <c r="G293" i="35"/>
  <c r="F293" i="35" s="1"/>
  <c r="H293" i="35" s="1"/>
  <c r="H283" i="34"/>
  <c r="H314" i="33"/>
  <c r="N39" i="35"/>
  <c r="P39" i="35" l="1"/>
  <c r="I314" i="33"/>
  <c r="C315" i="33"/>
  <c r="G315" i="33" s="1"/>
  <c r="F315" i="33" s="1"/>
  <c r="H315" i="33" s="1"/>
  <c r="D293" i="35"/>
  <c r="I293" i="35" s="1"/>
  <c r="C294" i="35"/>
  <c r="G294" i="35" s="1"/>
  <c r="F294" i="35" s="1"/>
  <c r="E284" i="34"/>
  <c r="I283" i="34"/>
  <c r="C284" i="34"/>
  <c r="C231" i="36"/>
  <c r="I230" i="36"/>
  <c r="E231" i="36"/>
  <c r="O39" i="35"/>
  <c r="M39" i="35" l="1"/>
  <c r="C316" i="33"/>
  <c r="G316" i="33" s="1"/>
  <c r="F316" i="33" s="1"/>
  <c r="H316" i="33" s="1"/>
  <c r="I315" i="33"/>
  <c r="G284" i="34"/>
  <c r="F284" i="34" s="1"/>
  <c r="H284" i="34" s="1"/>
  <c r="G231" i="36"/>
  <c r="F231" i="36" s="1"/>
  <c r="H294" i="35"/>
  <c r="E317" i="33" l="1"/>
  <c r="I316" i="33"/>
  <c r="C317" i="33"/>
  <c r="C285" i="34"/>
  <c r="G285" i="34" s="1"/>
  <c r="F285" i="34" s="1"/>
  <c r="I284" i="34"/>
  <c r="H231" i="36"/>
  <c r="C295" i="35"/>
  <c r="G295" i="35" s="1"/>
  <c r="F295" i="35" s="1"/>
  <c r="I294" i="35"/>
  <c r="G317" i="33" l="1"/>
  <c r="F317" i="33" s="1"/>
  <c r="H317" i="33" s="1"/>
  <c r="I231" i="36"/>
  <c r="C232" i="36"/>
  <c r="E232" i="36"/>
  <c r="H285" i="34"/>
  <c r="H295" i="35"/>
  <c r="N41" i="33"/>
  <c r="C286" i="34" l="1"/>
  <c r="G286" i="34" s="1"/>
  <c r="F286" i="34" s="1"/>
  <c r="I285" i="34"/>
  <c r="I295" i="35"/>
  <c r="C296" i="35"/>
  <c r="G296" i="35" s="1"/>
  <c r="F296" i="35" s="1"/>
  <c r="G232" i="36"/>
  <c r="F232" i="36" s="1"/>
  <c r="H232" i="36" s="1"/>
  <c r="C318" i="33"/>
  <c r="G318" i="33" s="1"/>
  <c r="F318" i="33" s="1"/>
  <c r="D317" i="33"/>
  <c r="I317" i="33" s="1"/>
  <c r="O41" i="33"/>
  <c r="M41" i="33" l="1"/>
  <c r="P41" i="33" s="1"/>
  <c r="E233" i="36"/>
  <c r="I232" i="36"/>
  <c r="C233" i="36"/>
  <c r="H318" i="33"/>
  <c r="H296" i="35"/>
  <c r="H286" i="34"/>
  <c r="C297" i="35" l="1"/>
  <c r="G297" i="35" s="1"/>
  <c r="F297" i="35" s="1"/>
  <c r="H297" i="35" s="1"/>
  <c r="I296" i="35"/>
  <c r="G233" i="36"/>
  <c r="F233" i="36" s="1"/>
  <c r="E287" i="34"/>
  <c r="C287" i="34"/>
  <c r="I286" i="34"/>
  <c r="C319" i="33"/>
  <c r="G319" i="33" s="1"/>
  <c r="F319" i="33" s="1"/>
  <c r="I318" i="33"/>
  <c r="N34" i="36"/>
  <c r="P34" i="36" l="1"/>
  <c r="H319" i="33"/>
  <c r="H233" i="36"/>
  <c r="G287" i="34"/>
  <c r="F287" i="34" s="1"/>
  <c r="C298" i="35"/>
  <c r="G298" i="35" s="1"/>
  <c r="F298" i="35" s="1"/>
  <c r="I297" i="35"/>
  <c r="O34" i="36"/>
  <c r="M34" i="36" l="1"/>
  <c r="D233" i="36"/>
  <c r="C234" i="36"/>
  <c r="G234" i="36" s="1"/>
  <c r="F234" i="36" s="1"/>
  <c r="H287" i="34"/>
  <c r="I319" i="33"/>
  <c r="C320" i="33"/>
  <c r="G320" i="33" s="1"/>
  <c r="F320" i="33" s="1"/>
  <c r="H298" i="35"/>
  <c r="I233" i="36" l="1"/>
  <c r="H320" i="33"/>
  <c r="I287" i="34"/>
  <c r="C288" i="34"/>
  <c r="G288" i="34" s="1"/>
  <c r="F288" i="34" s="1"/>
  <c r="H288" i="34" s="1"/>
  <c r="H234" i="36"/>
  <c r="E299" i="35"/>
  <c r="C299" i="35"/>
  <c r="I298" i="35"/>
  <c r="G299" i="35" l="1"/>
  <c r="F299" i="35" s="1"/>
  <c r="H299" i="35" s="1"/>
  <c r="C289" i="34"/>
  <c r="G289" i="34" s="1"/>
  <c r="F289" i="34" s="1"/>
  <c r="I288" i="34"/>
  <c r="I234" i="36"/>
  <c r="C235" i="36"/>
  <c r="I320" i="33"/>
  <c r="C321" i="33"/>
  <c r="G321" i="33" s="1"/>
  <c r="F321" i="33" s="1"/>
  <c r="E235" i="36"/>
  <c r="H321" i="33" l="1"/>
  <c r="C300" i="35"/>
  <c r="G300" i="35" s="1"/>
  <c r="F300" i="35" s="1"/>
  <c r="I299" i="35"/>
  <c r="G235" i="36"/>
  <c r="F235" i="36" s="1"/>
  <c r="H289" i="34"/>
  <c r="E290" i="34" l="1"/>
  <c r="C290" i="34"/>
  <c r="I289" i="34"/>
  <c r="H235" i="36"/>
  <c r="H300" i="35"/>
  <c r="I321" i="33"/>
  <c r="C322" i="33"/>
  <c r="G322" i="33" s="1"/>
  <c r="F322" i="33" s="1"/>
  <c r="C301" i="35" l="1"/>
  <c r="G301" i="35" s="1"/>
  <c r="F301" i="35" s="1"/>
  <c r="I300" i="35"/>
  <c r="H322" i="33"/>
  <c r="C236" i="36"/>
  <c r="I235" i="36"/>
  <c r="E236" i="36"/>
  <c r="G290" i="34"/>
  <c r="F290" i="34" s="1"/>
  <c r="H290" i="34" l="1"/>
  <c r="G236" i="36"/>
  <c r="F236" i="36" s="1"/>
  <c r="H236" i="36" s="1"/>
  <c r="I322" i="33"/>
  <c r="C323" i="33"/>
  <c r="G323" i="33" s="1"/>
  <c r="F323" i="33" s="1"/>
  <c r="H301" i="35"/>
  <c r="I236" i="36" l="1"/>
  <c r="C237" i="36"/>
  <c r="E237" i="36"/>
  <c r="C302" i="35"/>
  <c r="G302" i="35" s="1"/>
  <c r="F302" i="35" s="1"/>
  <c r="I301" i="35"/>
  <c r="H323" i="33"/>
  <c r="C291" i="34"/>
  <c r="G291" i="34" s="1"/>
  <c r="F291" i="34" s="1"/>
  <c r="I290" i="34"/>
  <c r="C324" i="33" l="1"/>
  <c r="G324" i="33" s="1"/>
  <c r="F324" i="33" s="1"/>
  <c r="I323" i="33"/>
  <c r="G237" i="36"/>
  <c r="F237" i="36" s="1"/>
  <c r="H302" i="35"/>
  <c r="H291" i="34"/>
  <c r="I291" i="34" l="1"/>
  <c r="C292" i="34"/>
  <c r="G292" i="34" s="1"/>
  <c r="F292" i="34" s="1"/>
  <c r="C303" i="35"/>
  <c r="G303" i="35" s="1"/>
  <c r="F303" i="35" s="1"/>
  <c r="I302" i="35"/>
  <c r="H237" i="36"/>
  <c r="H324" i="33"/>
  <c r="H303" i="35" l="1"/>
  <c r="I324" i="33"/>
  <c r="C325" i="33"/>
  <c r="G325" i="33" s="1"/>
  <c r="F325" i="33" s="1"/>
  <c r="C238" i="36"/>
  <c r="I237" i="36"/>
  <c r="E238" i="36"/>
  <c r="H292" i="34"/>
  <c r="E293" i="34" l="1"/>
  <c r="I292" i="34"/>
  <c r="C293" i="34"/>
  <c r="G238" i="36"/>
  <c r="F238" i="36" s="1"/>
  <c r="H325" i="33"/>
  <c r="C304" i="35"/>
  <c r="G304" i="35" s="1"/>
  <c r="F304" i="35" s="1"/>
  <c r="I303" i="35"/>
  <c r="H304" i="35" l="1"/>
  <c r="G293" i="34"/>
  <c r="F293" i="34" s="1"/>
  <c r="C326" i="33"/>
  <c r="G326" i="33" s="1"/>
  <c r="F326" i="33" s="1"/>
  <c r="H326" i="33" s="1"/>
  <c r="I325" i="33"/>
  <c r="H238" i="36"/>
  <c r="N39" i="34"/>
  <c r="P39" i="34" l="1"/>
  <c r="H293" i="34"/>
  <c r="C239" i="36"/>
  <c r="I238" i="36"/>
  <c r="E239" i="36"/>
  <c r="C327" i="33"/>
  <c r="G327" i="33" s="1"/>
  <c r="F327" i="33" s="1"/>
  <c r="I326" i="33"/>
  <c r="E305" i="35"/>
  <c r="C305" i="35"/>
  <c r="I304" i="35"/>
  <c r="O39" i="34"/>
  <c r="M39" i="34" l="1"/>
  <c r="H327" i="33"/>
  <c r="D293" i="34"/>
  <c r="I293" i="34" s="1"/>
  <c r="C294" i="34"/>
  <c r="G294" i="34" s="1"/>
  <c r="F294" i="34" s="1"/>
  <c r="G305" i="35"/>
  <c r="F305" i="35" s="1"/>
  <c r="G239" i="36"/>
  <c r="F239" i="36" s="1"/>
  <c r="N40" i="35"/>
  <c r="P40" i="35" l="1"/>
  <c r="H305" i="35"/>
  <c r="H294" i="34"/>
  <c r="C328" i="33"/>
  <c r="G328" i="33" s="1"/>
  <c r="F328" i="33" s="1"/>
  <c r="I327" i="33"/>
  <c r="H239" i="36"/>
  <c r="O40" i="35"/>
  <c r="M40" i="35" l="1"/>
  <c r="I239" i="36"/>
  <c r="C240" i="36"/>
  <c r="E240" i="36"/>
  <c r="H328" i="33"/>
  <c r="I294" i="34"/>
  <c r="C295" i="34"/>
  <c r="G295" i="34" s="1"/>
  <c r="F295" i="34" s="1"/>
  <c r="H295" i="34" s="1"/>
  <c r="D305" i="35"/>
  <c r="I305" i="35" s="1"/>
  <c r="C306" i="35"/>
  <c r="G306" i="35" s="1"/>
  <c r="F306" i="35" s="1"/>
  <c r="H306" i="35" s="1"/>
  <c r="E296" i="34" l="1"/>
  <c r="C296" i="34"/>
  <c r="I295" i="34"/>
  <c r="I306" i="35"/>
  <c r="C307" i="35"/>
  <c r="G307" i="35" s="1"/>
  <c r="F307" i="35" s="1"/>
  <c r="E329" i="33"/>
  <c r="I328" i="33"/>
  <c r="C329" i="33"/>
  <c r="G240" i="36"/>
  <c r="F240" i="36" s="1"/>
  <c r="H240" i="36" s="1"/>
  <c r="H307" i="35" l="1"/>
  <c r="G329" i="33"/>
  <c r="F329" i="33" s="1"/>
  <c r="H329" i="33" s="1"/>
  <c r="C241" i="36"/>
  <c r="I240" i="36"/>
  <c r="E241" i="36"/>
  <c r="G296" i="34"/>
  <c r="F296" i="34" s="1"/>
  <c r="H296" i="34" s="1"/>
  <c r="N42" i="33"/>
  <c r="I296" i="34" l="1"/>
  <c r="C297" i="34"/>
  <c r="G297" i="34" s="1"/>
  <c r="F297" i="34" s="1"/>
  <c r="C330" i="33"/>
  <c r="D329" i="33"/>
  <c r="G241" i="36"/>
  <c r="F241" i="36" s="1"/>
  <c r="H241" i="36" s="1"/>
  <c r="I307" i="35"/>
  <c r="C308" i="35"/>
  <c r="G308" i="35" s="1"/>
  <c r="F308" i="35" s="1"/>
  <c r="O42" i="33"/>
  <c r="M42" i="33" l="1"/>
  <c r="P42" i="33" s="1"/>
  <c r="H297" i="34"/>
  <c r="I241" i="36"/>
  <c r="C242" i="36"/>
  <c r="E242" i="36"/>
  <c r="E330" i="33"/>
  <c r="G330" i="33" s="1"/>
  <c r="F330" i="33" s="1"/>
  <c r="I329" i="33"/>
  <c r="H308" i="35"/>
  <c r="H330" i="33" l="1"/>
  <c r="I330" i="33" s="1"/>
  <c r="C298" i="34"/>
  <c r="G298" i="34" s="1"/>
  <c r="F298" i="34" s="1"/>
  <c r="I297" i="34"/>
  <c r="G242" i="36"/>
  <c r="F242" i="36" s="1"/>
  <c r="I308" i="35"/>
  <c r="C309" i="35"/>
  <c r="G309" i="35" s="1"/>
  <c r="F309" i="35" s="1"/>
  <c r="C331" i="33" l="1"/>
  <c r="G331" i="33" s="1"/>
  <c r="F331" i="33" s="1"/>
  <c r="H331" i="33" s="1"/>
  <c r="H309" i="35"/>
  <c r="H242" i="36"/>
  <c r="H298" i="34"/>
  <c r="C243" i="36" l="1"/>
  <c r="I242" i="36"/>
  <c r="E243" i="36"/>
  <c r="E299" i="34"/>
  <c r="C299" i="34"/>
  <c r="I298" i="34"/>
  <c r="I331" i="33"/>
  <c r="C332" i="33"/>
  <c r="G332" i="33" s="1"/>
  <c r="F332" i="33" s="1"/>
  <c r="I309" i="35"/>
  <c r="C310" i="35"/>
  <c r="G310" i="35" s="1"/>
  <c r="F310" i="35" s="1"/>
  <c r="G299" i="34" l="1"/>
  <c r="F299" i="34" s="1"/>
  <c r="H310" i="35"/>
  <c r="H332" i="33"/>
  <c r="G243" i="36"/>
  <c r="F243" i="36" s="1"/>
  <c r="C333" i="33" l="1"/>
  <c r="G333" i="33" s="1"/>
  <c r="F333" i="33" s="1"/>
  <c r="I332" i="33"/>
  <c r="E311" i="35"/>
  <c r="I310" i="35"/>
  <c r="C311" i="35"/>
  <c r="H243" i="36"/>
  <c r="H299" i="34"/>
  <c r="I243" i="36" l="1"/>
  <c r="C244" i="36"/>
  <c r="E244" i="36"/>
  <c r="C300" i="34"/>
  <c r="G300" i="34" s="1"/>
  <c r="F300" i="34" s="1"/>
  <c r="H300" i="34" s="1"/>
  <c r="I299" i="34"/>
  <c r="G311" i="35"/>
  <c r="F311" i="35" s="1"/>
  <c r="H311" i="35" s="1"/>
  <c r="H333" i="33"/>
  <c r="I311" i="35" l="1"/>
  <c r="C312" i="35"/>
  <c r="G312" i="35" s="1"/>
  <c r="F312" i="35" s="1"/>
  <c r="H312" i="35" s="1"/>
  <c r="I300" i="34"/>
  <c r="C301" i="34"/>
  <c r="G301" i="34" s="1"/>
  <c r="F301" i="34" s="1"/>
  <c r="H301" i="34" s="1"/>
  <c r="G244" i="36"/>
  <c r="F244" i="36" s="1"/>
  <c r="C334" i="33"/>
  <c r="G334" i="33" s="1"/>
  <c r="F334" i="33" s="1"/>
  <c r="I333" i="33"/>
  <c r="E302" i="34" l="1"/>
  <c r="I301" i="34"/>
  <c r="C302" i="34"/>
  <c r="I312" i="35"/>
  <c r="C313" i="35"/>
  <c r="G313" i="35" s="1"/>
  <c r="F313" i="35" s="1"/>
  <c r="H244" i="36"/>
  <c r="H334" i="33"/>
  <c r="I334" i="33" l="1"/>
  <c r="C335" i="33"/>
  <c r="G335" i="33" s="1"/>
  <c r="F335" i="33" s="1"/>
  <c r="E245" i="36"/>
  <c r="C245" i="36"/>
  <c r="I244" i="36"/>
  <c r="G302" i="34"/>
  <c r="F302" i="34" s="1"/>
  <c r="H313" i="35"/>
  <c r="I313" i="35" l="1"/>
  <c r="C314" i="35"/>
  <c r="G314" i="35" s="1"/>
  <c r="F314" i="35" s="1"/>
  <c r="H335" i="33"/>
  <c r="H302" i="34"/>
  <c r="G245" i="36"/>
  <c r="F245" i="36" s="1"/>
  <c r="N35" i="36"/>
  <c r="P35" i="36" l="1"/>
  <c r="I302" i="34"/>
  <c r="C303" i="34"/>
  <c r="G303" i="34" s="1"/>
  <c r="F303" i="34" s="1"/>
  <c r="H314" i="35"/>
  <c r="C336" i="33"/>
  <c r="G336" i="33" s="1"/>
  <c r="F336" i="33" s="1"/>
  <c r="I335" i="33"/>
  <c r="H245" i="36"/>
  <c r="O35" i="36"/>
  <c r="M35" i="36" l="1"/>
  <c r="H336" i="33"/>
  <c r="H303" i="34"/>
  <c r="I314" i="35"/>
  <c r="C315" i="35"/>
  <c r="G315" i="35" s="1"/>
  <c r="F315" i="35" s="1"/>
  <c r="H315" i="35" s="1"/>
  <c r="D245" i="36"/>
  <c r="C246" i="36"/>
  <c r="G246" i="36" s="1"/>
  <c r="F246" i="36" s="1"/>
  <c r="I315" i="35" l="1"/>
  <c r="C316" i="35"/>
  <c r="G316" i="35" s="1"/>
  <c r="F316" i="35" s="1"/>
  <c r="H316" i="35" s="1"/>
  <c r="H246" i="36"/>
  <c r="I245" i="36"/>
  <c r="E247" i="36"/>
  <c r="C304" i="34"/>
  <c r="G304" i="34" s="1"/>
  <c r="F304" i="34" s="1"/>
  <c r="I303" i="34"/>
  <c r="I336" i="33"/>
  <c r="C337" i="33"/>
  <c r="G337" i="33" s="1"/>
  <c r="F337" i="33" s="1"/>
  <c r="H337" i="33" s="1"/>
  <c r="E317" i="35" l="1"/>
  <c r="C317" i="35"/>
  <c r="I316" i="35"/>
  <c r="C338" i="33"/>
  <c r="G338" i="33" s="1"/>
  <c r="F338" i="33" s="1"/>
  <c r="I337" i="33"/>
  <c r="C247" i="36"/>
  <c r="G247" i="36" s="1"/>
  <c r="F247" i="36" s="1"/>
  <c r="H247" i="36" s="1"/>
  <c r="I246" i="36"/>
  <c r="H304" i="34"/>
  <c r="C248" i="36" l="1"/>
  <c r="I247" i="36"/>
  <c r="E248" i="36"/>
  <c r="H338" i="33"/>
  <c r="G317" i="35"/>
  <c r="F317" i="35" s="1"/>
  <c r="E305" i="34"/>
  <c r="C305" i="34"/>
  <c r="I304" i="34"/>
  <c r="N41" i="35"/>
  <c r="P41" i="35" l="1"/>
  <c r="G305" i="34"/>
  <c r="F305" i="34" s="1"/>
  <c r="I338" i="33"/>
  <c r="C339" i="33"/>
  <c r="G339" i="33" s="1"/>
  <c r="F339" i="33" s="1"/>
  <c r="H317" i="35"/>
  <c r="G248" i="36"/>
  <c r="F248" i="36" s="1"/>
  <c r="N40" i="34"/>
  <c r="O41" i="35"/>
  <c r="P40" i="34" l="1"/>
  <c r="M41" i="35"/>
  <c r="H339" i="33"/>
  <c r="D317" i="35"/>
  <c r="I317" i="35" s="1"/>
  <c r="C318" i="35"/>
  <c r="G318" i="35" s="1"/>
  <c r="F318" i="35" s="1"/>
  <c r="H318" i="35" s="1"/>
  <c r="H248" i="36"/>
  <c r="H305" i="34"/>
  <c r="O40" i="34"/>
  <c r="M40" i="34" l="1"/>
  <c r="I318" i="35"/>
  <c r="C319" i="35"/>
  <c r="G319" i="35" s="1"/>
  <c r="F319" i="35" s="1"/>
  <c r="H319" i="35" s="1"/>
  <c r="C340" i="33"/>
  <c r="G340" i="33" s="1"/>
  <c r="F340" i="33" s="1"/>
  <c r="I339" i="33"/>
  <c r="C306" i="34"/>
  <c r="G306" i="34" s="1"/>
  <c r="F306" i="34" s="1"/>
  <c r="H306" i="34" s="1"/>
  <c r="D305" i="34"/>
  <c r="I305" i="34" s="1"/>
  <c r="C249" i="36"/>
  <c r="I248" i="36"/>
  <c r="E249" i="36"/>
  <c r="C320" i="35" l="1"/>
  <c r="G320" i="35" s="1"/>
  <c r="F320" i="35" s="1"/>
  <c r="I319" i="35"/>
  <c r="H340" i="33"/>
  <c r="C307" i="34"/>
  <c r="G307" i="34" s="1"/>
  <c r="F307" i="34" s="1"/>
  <c r="I306" i="34"/>
  <c r="G249" i="36"/>
  <c r="F249" i="36" s="1"/>
  <c r="H249" i="36" s="1"/>
  <c r="C250" i="36" l="1"/>
  <c r="I249" i="36"/>
  <c r="E250" i="36"/>
  <c r="H307" i="34"/>
  <c r="E341" i="33"/>
  <c r="C341" i="33"/>
  <c r="I340" i="33"/>
  <c r="H320" i="35"/>
  <c r="I320" i="35" l="1"/>
  <c r="C321" i="35"/>
  <c r="G321" i="35" s="1"/>
  <c r="F321" i="35" s="1"/>
  <c r="G341" i="33"/>
  <c r="F341" i="33" s="1"/>
  <c r="E308" i="34"/>
  <c r="C308" i="34"/>
  <c r="I307" i="34"/>
  <c r="G250" i="36"/>
  <c r="F250" i="36" s="1"/>
  <c r="N43" i="33"/>
  <c r="G308" i="34" l="1"/>
  <c r="F308" i="34" s="1"/>
  <c r="H321" i="35"/>
  <c r="H250" i="36"/>
  <c r="H341" i="33"/>
  <c r="O43" i="33"/>
  <c r="M43" i="33" l="1"/>
  <c r="P43" i="33" s="1"/>
  <c r="C322" i="35"/>
  <c r="G322" i="35" s="1"/>
  <c r="F322" i="35" s="1"/>
  <c r="I321" i="35"/>
  <c r="C342" i="33"/>
  <c r="G342" i="33" s="1"/>
  <c r="F342" i="33" s="1"/>
  <c r="D341" i="33"/>
  <c r="I341" i="33" s="1"/>
  <c r="I250" i="36"/>
  <c r="C251" i="36"/>
  <c r="E251" i="36"/>
  <c r="H308" i="34"/>
  <c r="H342" i="33" l="1"/>
  <c r="G251" i="36"/>
  <c r="F251" i="36" s="1"/>
  <c r="H251" i="36" s="1"/>
  <c r="H322" i="35"/>
  <c r="C309" i="34"/>
  <c r="G309" i="34" s="1"/>
  <c r="F309" i="34" s="1"/>
  <c r="H309" i="34" s="1"/>
  <c r="I308" i="34"/>
  <c r="C310" i="34" l="1"/>
  <c r="G310" i="34" s="1"/>
  <c r="F310" i="34" s="1"/>
  <c r="I309" i="34"/>
  <c r="E323" i="35"/>
  <c r="C323" i="35"/>
  <c r="I322" i="35"/>
  <c r="I251" i="36"/>
  <c r="C252" i="36"/>
  <c r="E252" i="36"/>
  <c r="I342" i="33"/>
  <c r="C343" i="33"/>
  <c r="G343" i="33" s="1"/>
  <c r="F343" i="33" s="1"/>
  <c r="G252" i="36" l="1"/>
  <c r="F252" i="36" s="1"/>
  <c r="H252" i="36" s="1"/>
  <c r="G323" i="35"/>
  <c r="F323" i="35" s="1"/>
  <c r="H323" i="35" s="1"/>
  <c r="H343" i="33"/>
  <c r="H310" i="34"/>
  <c r="E324" i="35" l="1"/>
  <c r="I323" i="35"/>
  <c r="C324" i="35"/>
  <c r="C253" i="36"/>
  <c r="I252" i="36"/>
  <c r="E253" i="36"/>
  <c r="I343" i="33"/>
  <c r="C344" i="33"/>
  <c r="G344" i="33" s="1"/>
  <c r="F344" i="33" s="1"/>
  <c r="E311" i="34"/>
  <c r="I310" i="34"/>
  <c r="C311" i="34"/>
  <c r="G324" i="35" l="1"/>
  <c r="F324" i="35" s="1"/>
  <c r="H324" i="35" s="1"/>
  <c r="G253" i="36"/>
  <c r="F253" i="36" s="1"/>
  <c r="H344" i="33"/>
  <c r="G311" i="34"/>
  <c r="F311" i="34" s="1"/>
  <c r="H311" i="34" l="1"/>
  <c r="I324" i="35"/>
  <c r="C325" i="35"/>
  <c r="G325" i="35" s="1"/>
  <c r="F325" i="35" s="1"/>
  <c r="I344" i="33"/>
  <c r="C345" i="33"/>
  <c r="G345" i="33" s="1"/>
  <c r="F345" i="33" s="1"/>
  <c r="H253" i="36"/>
  <c r="H345" i="33" l="1"/>
  <c r="H325" i="35"/>
  <c r="I253" i="36"/>
  <c r="C254" i="36"/>
  <c r="E254" i="36"/>
  <c r="C312" i="34"/>
  <c r="G312" i="34" s="1"/>
  <c r="F312" i="34" s="1"/>
  <c r="I311" i="34"/>
  <c r="G254" i="36" l="1"/>
  <c r="F254" i="36" s="1"/>
  <c r="H254" i="36" s="1"/>
  <c r="H312" i="34"/>
  <c r="I325" i="35"/>
  <c r="C326" i="35"/>
  <c r="G326" i="35" s="1"/>
  <c r="F326" i="35" s="1"/>
  <c r="I345" i="33"/>
  <c r="C346" i="33"/>
  <c r="G346" i="33" s="1"/>
  <c r="F346" i="33" s="1"/>
  <c r="H346" i="33" s="1"/>
  <c r="C347" i="33" l="1"/>
  <c r="G347" i="33" s="1"/>
  <c r="F347" i="33" s="1"/>
  <c r="I346" i="33"/>
  <c r="C255" i="36"/>
  <c r="I254" i="36"/>
  <c r="E255" i="36"/>
  <c r="C313" i="34"/>
  <c r="G313" i="34" s="1"/>
  <c r="F313" i="34" s="1"/>
  <c r="I312" i="34"/>
  <c r="H326" i="35"/>
  <c r="C327" i="35" l="1"/>
  <c r="G327" i="35" s="1"/>
  <c r="F327" i="35" s="1"/>
  <c r="I326" i="35"/>
  <c r="G255" i="36"/>
  <c r="F255" i="36" s="1"/>
  <c r="H313" i="34"/>
  <c r="H347" i="33"/>
  <c r="H255" i="36" l="1"/>
  <c r="E314" i="34"/>
  <c r="I313" i="34"/>
  <c r="C314" i="34"/>
  <c r="C348" i="33"/>
  <c r="G348" i="33" s="1"/>
  <c r="F348" i="33" s="1"/>
  <c r="I347" i="33"/>
  <c r="H327" i="35"/>
  <c r="H348" i="33" l="1"/>
  <c r="I327" i="35"/>
  <c r="C328" i="35"/>
  <c r="G328" i="35" s="1"/>
  <c r="F328" i="35" s="1"/>
  <c r="G314" i="34"/>
  <c r="F314" i="34" s="1"/>
  <c r="I255" i="36"/>
  <c r="C256" i="36"/>
  <c r="E256" i="36"/>
  <c r="H314" i="34" l="1"/>
  <c r="G256" i="36"/>
  <c r="F256" i="36" s="1"/>
  <c r="H256" i="36" s="1"/>
  <c r="H328" i="35"/>
  <c r="I348" i="33"/>
  <c r="C349" i="33"/>
  <c r="G349" i="33" s="1"/>
  <c r="F349" i="33" s="1"/>
  <c r="H349" i="33" s="1"/>
  <c r="C350" i="33" l="1"/>
  <c r="G350" i="33" s="1"/>
  <c r="F350" i="33" s="1"/>
  <c r="I349" i="33"/>
  <c r="E329" i="35"/>
  <c r="I328" i="35"/>
  <c r="C329" i="35"/>
  <c r="E257" i="36"/>
  <c r="I256" i="36"/>
  <c r="C257" i="36"/>
  <c r="C315" i="34"/>
  <c r="G315" i="34" s="1"/>
  <c r="F315" i="34" s="1"/>
  <c r="H315" i="34" s="1"/>
  <c r="I314" i="34"/>
  <c r="G257" i="36" l="1"/>
  <c r="F257" i="36" s="1"/>
  <c r="H257" i="36" s="1"/>
  <c r="G329" i="35"/>
  <c r="F329" i="35" s="1"/>
  <c r="C316" i="34"/>
  <c r="G316" i="34" s="1"/>
  <c r="F316" i="34" s="1"/>
  <c r="I315" i="34"/>
  <c r="H350" i="33"/>
  <c r="N36" i="36"/>
  <c r="N42" i="35"/>
  <c r="P42" i="35" l="1"/>
  <c r="P36" i="36"/>
  <c r="I350" i="33"/>
  <c r="C351" i="33"/>
  <c r="G351" i="33" s="1"/>
  <c r="F351" i="33" s="1"/>
  <c r="H329" i="35"/>
  <c r="H316" i="34"/>
  <c r="C258" i="36"/>
  <c r="G258" i="36" s="1"/>
  <c r="F258" i="36" s="1"/>
  <c r="H258" i="36" s="1"/>
  <c r="D257" i="36"/>
  <c r="O42" i="35"/>
  <c r="O36" i="36"/>
  <c r="M36" i="36" l="1"/>
  <c r="M42" i="35"/>
  <c r="I257" i="36"/>
  <c r="E259" i="36"/>
  <c r="E317" i="34"/>
  <c r="C317" i="34"/>
  <c r="I316" i="34"/>
  <c r="C259" i="36"/>
  <c r="I258" i="36"/>
  <c r="D329" i="35"/>
  <c r="I329" i="35" s="1"/>
  <c r="C330" i="35"/>
  <c r="G330" i="35" s="1"/>
  <c r="F330" i="35" s="1"/>
  <c r="H330" i="35" s="1"/>
  <c r="H351" i="33"/>
  <c r="I330" i="35" l="1"/>
  <c r="C331" i="35"/>
  <c r="G331" i="35" s="1"/>
  <c r="F331" i="35" s="1"/>
  <c r="H331" i="35" s="1"/>
  <c r="C352" i="33"/>
  <c r="G352" i="33" s="1"/>
  <c r="F352" i="33" s="1"/>
  <c r="I351" i="33"/>
  <c r="G317" i="34"/>
  <c r="F317" i="34" s="1"/>
  <c r="G259" i="36"/>
  <c r="F259" i="36" s="1"/>
  <c r="N41" i="34"/>
  <c r="P41" i="34" l="1"/>
  <c r="H352" i="33"/>
  <c r="H259" i="36"/>
  <c r="C332" i="35"/>
  <c r="G332" i="35" s="1"/>
  <c r="F332" i="35" s="1"/>
  <c r="I331" i="35"/>
  <c r="H317" i="34"/>
  <c r="O41" i="34"/>
  <c r="M41" i="34" l="1"/>
  <c r="D317" i="34"/>
  <c r="I317" i="34" s="1"/>
  <c r="C318" i="34"/>
  <c r="G318" i="34" s="1"/>
  <c r="F318" i="34" s="1"/>
  <c r="H318" i="34" s="1"/>
  <c r="E353" i="33"/>
  <c r="C353" i="33"/>
  <c r="I352" i="33"/>
  <c r="H332" i="35"/>
  <c r="I259" i="36"/>
  <c r="C260" i="36"/>
  <c r="E260" i="36"/>
  <c r="C333" i="35" l="1"/>
  <c r="G333" i="35" s="1"/>
  <c r="F333" i="35" s="1"/>
  <c r="I332" i="35"/>
  <c r="C319" i="34"/>
  <c r="G319" i="34" s="1"/>
  <c r="F319" i="34" s="1"/>
  <c r="I318" i="34"/>
  <c r="G353" i="33"/>
  <c r="F353" i="33" s="1"/>
  <c r="G260" i="36"/>
  <c r="F260" i="36" s="1"/>
  <c r="N44" i="33"/>
  <c r="H319" i="34" l="1"/>
  <c r="H260" i="36"/>
  <c r="H353" i="33"/>
  <c r="H333" i="35"/>
  <c r="O44" i="33"/>
  <c r="M44" i="33" l="1"/>
  <c r="P44" i="33" s="1"/>
  <c r="C261" i="36"/>
  <c r="I260" i="36"/>
  <c r="E261" i="36"/>
  <c r="I333" i="35"/>
  <c r="C334" i="35"/>
  <c r="G334" i="35" s="1"/>
  <c r="F334" i="35" s="1"/>
  <c r="D353" i="33"/>
  <c r="I353" i="33" s="1"/>
  <c r="C354" i="33"/>
  <c r="G354" i="33" s="1"/>
  <c r="F354" i="33" s="1"/>
  <c r="E320" i="34"/>
  <c r="C320" i="34"/>
  <c r="I319" i="34"/>
  <c r="H334" i="35" l="1"/>
  <c r="H354" i="33"/>
  <c r="G320" i="34"/>
  <c r="F320" i="34" s="1"/>
  <c r="G261" i="36"/>
  <c r="F261" i="36" s="1"/>
  <c r="I354" i="33" l="1"/>
  <c r="C355" i="33"/>
  <c r="G355" i="33" s="1"/>
  <c r="F355" i="33" s="1"/>
  <c r="H355" i="33" s="1"/>
  <c r="H320" i="34"/>
  <c r="H261" i="36"/>
  <c r="E335" i="35"/>
  <c r="I334" i="35"/>
  <c r="C335" i="35"/>
  <c r="I355" i="33" l="1"/>
  <c r="C356" i="33"/>
  <c r="G356" i="33" s="1"/>
  <c r="F356" i="33" s="1"/>
  <c r="C262" i="36"/>
  <c r="I261" i="36"/>
  <c r="E262" i="36"/>
  <c r="G335" i="35"/>
  <c r="F335" i="35" s="1"/>
  <c r="I320" i="34"/>
  <c r="C321" i="34"/>
  <c r="G321" i="34" s="1"/>
  <c r="F321" i="34" s="1"/>
  <c r="H356" i="33" l="1"/>
  <c r="G262" i="36"/>
  <c r="F262" i="36" s="1"/>
  <c r="H321" i="34"/>
  <c r="H335" i="35"/>
  <c r="I321" i="34" l="1"/>
  <c r="C322" i="34"/>
  <c r="G322" i="34" s="1"/>
  <c r="F322" i="34" s="1"/>
  <c r="H322" i="34" s="1"/>
  <c r="E336" i="35"/>
  <c r="C336" i="35"/>
  <c r="I335" i="35"/>
  <c r="H262" i="36"/>
  <c r="I356" i="33"/>
  <c r="C357" i="33"/>
  <c r="G357" i="33" s="1"/>
  <c r="F357" i="33" s="1"/>
  <c r="H357" i="33" s="1"/>
  <c r="G336" i="35" l="1"/>
  <c r="F336" i="35" s="1"/>
  <c r="H336" i="35" s="1"/>
  <c r="E323" i="34"/>
  <c r="I322" i="34"/>
  <c r="C323" i="34"/>
  <c r="C263" i="36"/>
  <c r="I262" i="36"/>
  <c r="E263" i="36"/>
  <c r="C358" i="33"/>
  <c r="G358" i="33" s="1"/>
  <c r="F358" i="33" s="1"/>
  <c r="I357" i="33"/>
  <c r="G263" i="36" l="1"/>
  <c r="F263" i="36" s="1"/>
  <c r="H263" i="36" s="1"/>
  <c r="I336" i="35"/>
  <c r="C337" i="35"/>
  <c r="G337" i="35" s="1"/>
  <c r="F337" i="35" s="1"/>
  <c r="H337" i="35" s="1"/>
  <c r="G323" i="34"/>
  <c r="F323" i="34" s="1"/>
  <c r="H358" i="33"/>
  <c r="I337" i="35" l="1"/>
  <c r="C338" i="35"/>
  <c r="G338" i="35" s="1"/>
  <c r="F338" i="35" s="1"/>
  <c r="H323" i="34"/>
  <c r="C264" i="36"/>
  <c r="I263" i="36"/>
  <c r="E264" i="36"/>
  <c r="C359" i="33"/>
  <c r="G359" i="33" s="1"/>
  <c r="F359" i="33" s="1"/>
  <c r="I358" i="33"/>
  <c r="G264" i="36" l="1"/>
  <c r="F264" i="36" s="1"/>
  <c r="H264" i="36" s="1"/>
  <c r="H359" i="33"/>
  <c r="C324" i="34"/>
  <c r="G324" i="34" s="1"/>
  <c r="F324" i="34" s="1"/>
  <c r="H324" i="34" s="1"/>
  <c r="I323" i="34"/>
  <c r="H338" i="35"/>
  <c r="I324" i="34" l="1"/>
  <c r="C325" i="34"/>
  <c r="G325" i="34" s="1"/>
  <c r="F325" i="34" s="1"/>
  <c r="I264" i="36"/>
  <c r="C265" i="36"/>
  <c r="E265" i="36"/>
  <c r="C360" i="33"/>
  <c r="G360" i="33" s="1"/>
  <c r="F360" i="33" s="1"/>
  <c r="I359" i="33"/>
  <c r="I338" i="35"/>
  <c r="C339" i="35"/>
  <c r="G339" i="35" s="1"/>
  <c r="F339" i="35" s="1"/>
  <c r="H360" i="33" l="1"/>
  <c r="G265" i="36"/>
  <c r="F265" i="36" s="1"/>
  <c r="H265" i="36" s="1"/>
  <c r="H325" i="34"/>
  <c r="H339" i="35"/>
  <c r="C340" i="35" l="1"/>
  <c r="G340" i="35" s="1"/>
  <c r="F340" i="35" s="1"/>
  <c r="H340" i="35" s="1"/>
  <c r="I339" i="35"/>
  <c r="E326" i="34"/>
  <c r="C326" i="34"/>
  <c r="I325" i="34"/>
  <c r="I265" i="36"/>
  <c r="C266" i="36"/>
  <c r="E266" i="36"/>
  <c r="C361" i="33"/>
  <c r="G361" i="33" s="1"/>
  <c r="F361" i="33" s="1"/>
  <c r="I360" i="33"/>
  <c r="E341" i="35" l="1"/>
  <c r="I340" i="35"/>
  <c r="C341" i="35"/>
  <c r="G266" i="36"/>
  <c r="F266" i="36" s="1"/>
  <c r="G326" i="34"/>
  <c r="F326" i="34" s="1"/>
  <c r="H361" i="33"/>
  <c r="I361" i="33" l="1"/>
  <c r="C362" i="33"/>
  <c r="G362" i="33" s="1"/>
  <c r="F362" i="33" s="1"/>
  <c r="H326" i="34"/>
  <c r="G341" i="35"/>
  <c r="F341" i="35" s="1"/>
  <c r="H341" i="35" s="1"/>
  <c r="H266" i="36"/>
  <c r="N43" i="35"/>
  <c r="P43" i="35" l="1"/>
  <c r="I266" i="36"/>
  <c r="C267" i="36"/>
  <c r="E267" i="36"/>
  <c r="D341" i="35"/>
  <c r="I341" i="35" s="1"/>
  <c r="C342" i="35"/>
  <c r="G342" i="35" s="1"/>
  <c r="F342" i="35" s="1"/>
  <c r="C327" i="34"/>
  <c r="G327" i="34" s="1"/>
  <c r="F327" i="34" s="1"/>
  <c r="I326" i="34"/>
  <c r="H362" i="33"/>
  <c r="O43" i="35"/>
  <c r="M43" i="35" l="1"/>
  <c r="G267" i="36"/>
  <c r="F267" i="36" s="1"/>
  <c r="H267" i="36" s="1"/>
  <c r="C363" i="33"/>
  <c r="G363" i="33" s="1"/>
  <c r="F363" i="33" s="1"/>
  <c r="H363" i="33" s="1"/>
  <c r="I362" i="33"/>
  <c r="H327" i="34"/>
  <c r="H342" i="35"/>
  <c r="C343" i="35" l="1"/>
  <c r="G343" i="35" s="1"/>
  <c r="F343" i="35" s="1"/>
  <c r="I342" i="35"/>
  <c r="I363" i="33"/>
  <c r="C364" i="33"/>
  <c r="G364" i="33" s="1"/>
  <c r="F364" i="33" s="1"/>
  <c r="C328" i="34"/>
  <c r="G328" i="34" s="1"/>
  <c r="F328" i="34" s="1"/>
  <c r="I327" i="34"/>
  <c r="I267" i="36"/>
  <c r="C268" i="36"/>
  <c r="E268" i="36"/>
  <c r="H328" i="34" l="1"/>
  <c r="H364" i="33"/>
  <c r="G268" i="36"/>
  <c r="F268" i="36" s="1"/>
  <c r="H268" i="36" s="1"/>
  <c r="H343" i="35"/>
  <c r="E269" i="36" l="1"/>
  <c r="C269" i="36"/>
  <c r="I268" i="36"/>
  <c r="I343" i="35"/>
  <c r="C344" i="35"/>
  <c r="G344" i="35" s="1"/>
  <c r="F344" i="35" s="1"/>
  <c r="H344" i="35" s="1"/>
  <c r="E365" i="33"/>
  <c r="I364" i="33"/>
  <c r="C365" i="33"/>
  <c r="E329" i="34"/>
  <c r="C329" i="34"/>
  <c r="I328" i="34"/>
  <c r="I344" i="35" l="1"/>
  <c r="C345" i="35"/>
  <c r="G345" i="35" s="1"/>
  <c r="F345" i="35" s="1"/>
  <c r="G365" i="33"/>
  <c r="F365" i="33" s="1"/>
  <c r="G329" i="34"/>
  <c r="F329" i="34" s="1"/>
  <c r="G269" i="36"/>
  <c r="F269" i="36" s="1"/>
  <c r="N42" i="34"/>
  <c r="N45" i="33"/>
  <c r="N37" i="36"/>
  <c r="P42" i="34" l="1"/>
  <c r="P37" i="36"/>
  <c r="H329" i="34"/>
  <c r="H365" i="33"/>
  <c r="H345" i="35"/>
  <c r="H269" i="36"/>
  <c r="O45" i="33"/>
  <c r="O42" i="34"/>
  <c r="O37" i="36"/>
  <c r="M45" i="33" l="1"/>
  <c r="P45" i="33" s="1"/>
  <c r="M37" i="36"/>
  <c r="M42" i="34"/>
  <c r="C346" i="35"/>
  <c r="G346" i="35" s="1"/>
  <c r="F346" i="35" s="1"/>
  <c r="I345" i="35"/>
  <c r="C270" i="36"/>
  <c r="G270" i="36" s="1"/>
  <c r="F270" i="36" s="1"/>
  <c r="H270" i="36" s="1"/>
  <c r="D269" i="36"/>
  <c r="C366" i="33"/>
  <c r="G366" i="33" s="1"/>
  <c r="F366" i="33" s="1"/>
  <c r="H366" i="33" s="1"/>
  <c r="D365" i="33"/>
  <c r="I365" i="33" s="1"/>
  <c r="D329" i="34"/>
  <c r="I329" i="34" s="1"/>
  <c r="C330" i="34"/>
  <c r="G330" i="34" s="1"/>
  <c r="F330" i="34" s="1"/>
  <c r="H330" i="34" s="1"/>
  <c r="C367" i="33" l="1"/>
  <c r="G367" i="33" s="1"/>
  <c r="F367" i="33" s="1"/>
  <c r="H367" i="33" s="1"/>
  <c r="I366" i="33"/>
  <c r="C271" i="36"/>
  <c r="I270" i="36"/>
  <c r="I269" i="36"/>
  <c r="E271" i="36"/>
  <c r="H346" i="35"/>
  <c r="I330" i="34"/>
  <c r="C331" i="34"/>
  <c r="G331" i="34" s="1"/>
  <c r="F331" i="34" s="1"/>
  <c r="G271" i="36" l="1"/>
  <c r="F271" i="36" s="1"/>
  <c r="I367" i="33"/>
  <c r="C368" i="33"/>
  <c r="G368" i="33" s="1"/>
  <c r="F368" i="33" s="1"/>
  <c r="H331" i="34"/>
  <c r="E347" i="35"/>
  <c r="I346" i="35"/>
  <c r="C347" i="35"/>
  <c r="G347" i="35" l="1"/>
  <c r="F347" i="35" s="1"/>
  <c r="E332" i="34"/>
  <c r="I331" i="34"/>
  <c r="C332" i="34"/>
  <c r="H368" i="33"/>
  <c r="H271" i="36"/>
  <c r="C272" i="36" l="1"/>
  <c r="I271" i="36"/>
  <c r="E272" i="36"/>
  <c r="C369" i="33"/>
  <c r="G369" i="33" s="1"/>
  <c r="F369" i="33" s="1"/>
  <c r="H369" i="33" s="1"/>
  <c r="I368" i="33"/>
  <c r="G332" i="34"/>
  <c r="F332" i="34" s="1"/>
  <c r="H332" i="34" s="1"/>
  <c r="H347" i="35"/>
  <c r="I332" i="34" l="1"/>
  <c r="C333" i="34"/>
  <c r="G333" i="34" s="1"/>
  <c r="F333" i="34" s="1"/>
  <c r="C370" i="33"/>
  <c r="G370" i="33" s="1"/>
  <c r="F370" i="33" s="1"/>
  <c r="I369" i="33"/>
  <c r="E348" i="35"/>
  <c r="I347" i="35"/>
  <c r="C348" i="35"/>
  <c r="G272" i="36"/>
  <c r="F272" i="36" s="1"/>
  <c r="G348" i="35" l="1"/>
  <c r="F348" i="35" s="1"/>
  <c r="H348" i="35" s="1"/>
  <c r="H370" i="33"/>
  <c r="H333" i="34"/>
  <c r="H272" i="36"/>
  <c r="C273" i="36" l="1"/>
  <c r="I272" i="36"/>
  <c r="E273" i="36"/>
  <c r="I333" i="34"/>
  <c r="C334" i="34"/>
  <c r="G334" i="34" s="1"/>
  <c r="F334" i="34" s="1"/>
  <c r="H334" i="34" s="1"/>
  <c r="C349" i="35"/>
  <c r="G349" i="35" s="1"/>
  <c r="F349" i="35" s="1"/>
  <c r="I348" i="35"/>
  <c r="C371" i="33"/>
  <c r="G371" i="33" s="1"/>
  <c r="F371" i="33" s="1"/>
  <c r="I370" i="33"/>
  <c r="E335" i="34" l="1"/>
  <c r="C335" i="34"/>
  <c r="I334" i="34"/>
  <c r="H349" i="35"/>
  <c r="H371" i="33"/>
  <c r="G273" i="36"/>
  <c r="F273" i="36" s="1"/>
  <c r="H273" i="36" l="1"/>
  <c r="C350" i="35"/>
  <c r="G350" i="35" s="1"/>
  <c r="F350" i="35" s="1"/>
  <c r="I349" i="35"/>
  <c r="I371" i="33"/>
  <c r="C372" i="33"/>
  <c r="G372" i="33" s="1"/>
  <c r="F372" i="33" s="1"/>
  <c r="G335" i="34"/>
  <c r="F335" i="34" s="1"/>
  <c r="H335" i="34" l="1"/>
  <c r="H372" i="33"/>
  <c r="H350" i="35"/>
  <c r="I273" i="36"/>
  <c r="C274" i="36"/>
  <c r="E274" i="36"/>
  <c r="C351" i="35" l="1"/>
  <c r="G351" i="35" s="1"/>
  <c r="F351" i="35" s="1"/>
  <c r="I350" i="35"/>
  <c r="G274" i="36"/>
  <c r="F274" i="36" s="1"/>
  <c r="C373" i="33"/>
  <c r="G373" i="33" s="1"/>
  <c r="F373" i="33" s="1"/>
  <c r="I372" i="33"/>
  <c r="I335" i="34"/>
  <c r="C336" i="34"/>
  <c r="G336" i="34" s="1"/>
  <c r="F336" i="34" s="1"/>
  <c r="H373" i="33" l="1"/>
  <c r="H351" i="35"/>
  <c r="H336" i="34"/>
  <c r="H274" i="36"/>
  <c r="C352" i="35" l="1"/>
  <c r="G352" i="35" s="1"/>
  <c r="F352" i="35" s="1"/>
  <c r="I351" i="35"/>
  <c r="C275" i="36"/>
  <c r="I274" i="36"/>
  <c r="E275" i="36"/>
  <c r="I336" i="34"/>
  <c r="C337" i="34"/>
  <c r="G337" i="34" s="1"/>
  <c r="F337" i="34" s="1"/>
  <c r="I373" i="33"/>
  <c r="C374" i="33"/>
  <c r="G374" i="33" s="1"/>
  <c r="F374" i="33" s="1"/>
  <c r="G275" i="36" l="1"/>
  <c r="F275" i="36" s="1"/>
  <c r="H337" i="34"/>
  <c r="H374" i="33"/>
  <c r="H352" i="35"/>
  <c r="C375" i="33" l="1"/>
  <c r="G375" i="33" s="1"/>
  <c r="F375" i="33" s="1"/>
  <c r="I374" i="33"/>
  <c r="E353" i="35"/>
  <c r="I352" i="35"/>
  <c r="C353" i="35"/>
  <c r="E338" i="34"/>
  <c r="I337" i="34"/>
  <c r="C338" i="34"/>
  <c r="H275" i="36"/>
  <c r="G338" i="34" l="1"/>
  <c r="F338" i="34" s="1"/>
  <c r="H338" i="34" s="1"/>
  <c r="G353" i="35"/>
  <c r="F353" i="35" s="1"/>
  <c r="I275" i="36"/>
  <c r="C276" i="36"/>
  <c r="E276" i="36"/>
  <c r="H375" i="33"/>
  <c r="N44" i="35"/>
  <c r="P44" i="35" l="1"/>
  <c r="H353" i="35"/>
  <c r="C376" i="33"/>
  <c r="G376" i="33" s="1"/>
  <c r="F376" i="33" s="1"/>
  <c r="H376" i="33" s="1"/>
  <c r="I375" i="33"/>
  <c r="G276" i="36"/>
  <c r="F276" i="36" s="1"/>
  <c r="I338" i="34"/>
  <c r="C339" i="34"/>
  <c r="G339" i="34" s="1"/>
  <c r="F339" i="34" s="1"/>
  <c r="H339" i="34" s="1"/>
  <c r="O44" i="35"/>
  <c r="M44" i="35" l="1"/>
  <c r="E377" i="33"/>
  <c r="C377" i="33"/>
  <c r="I376" i="33"/>
  <c r="C340" i="34"/>
  <c r="G340" i="34" s="1"/>
  <c r="F340" i="34" s="1"/>
  <c r="I339" i="34"/>
  <c r="H276" i="36"/>
  <c r="D353" i="35"/>
  <c r="I353" i="35" s="1"/>
  <c r="C354" i="35"/>
  <c r="G354" i="35" s="1"/>
  <c r="F354" i="35" s="1"/>
  <c r="H354" i="35" s="1"/>
  <c r="G377" i="33" l="1"/>
  <c r="F377" i="33" s="1"/>
  <c r="C277" i="36"/>
  <c r="I276" i="36"/>
  <c r="E277" i="36"/>
  <c r="H340" i="34"/>
  <c r="I354" i="35"/>
  <c r="C355" i="35"/>
  <c r="G355" i="35" s="1"/>
  <c r="F355" i="35" s="1"/>
  <c r="N46" i="33"/>
  <c r="E341" i="34" l="1"/>
  <c r="C341" i="34"/>
  <c r="I340" i="34"/>
  <c r="G277" i="36"/>
  <c r="F277" i="36" s="1"/>
  <c r="H355" i="35"/>
  <c r="H377" i="33"/>
  <c r="O46" i="33"/>
  <c r="M46" i="33" l="1"/>
  <c r="P46" i="33" s="1"/>
  <c r="I355" i="35"/>
  <c r="C356" i="35"/>
  <c r="G356" i="35" s="1"/>
  <c r="F356" i="35" s="1"/>
  <c r="C378" i="33"/>
  <c r="G378" i="33" s="1"/>
  <c r="F378" i="33" s="1"/>
  <c r="D377" i="33"/>
  <c r="I377" i="33" s="1"/>
  <c r="G341" i="34"/>
  <c r="F341" i="34" s="1"/>
  <c r="H277" i="36"/>
  <c r="N43" i="34"/>
  <c r="P43" i="34" l="1"/>
  <c r="H356" i="35"/>
  <c r="H341" i="34"/>
  <c r="H378" i="33"/>
  <c r="I277" i="36"/>
  <c r="C278" i="36"/>
  <c r="E278" i="36"/>
  <c r="O43" i="34"/>
  <c r="M43" i="34" l="1"/>
  <c r="C379" i="33"/>
  <c r="G379" i="33" s="1"/>
  <c r="F379" i="33" s="1"/>
  <c r="I378" i="33"/>
  <c r="C357" i="35"/>
  <c r="G357" i="35" s="1"/>
  <c r="F357" i="35" s="1"/>
  <c r="I356" i="35"/>
  <c r="G278" i="36"/>
  <c r="F278" i="36" s="1"/>
  <c r="C342" i="34"/>
  <c r="G342" i="34" s="1"/>
  <c r="F342" i="34" s="1"/>
  <c r="D341" i="34"/>
  <c r="I341" i="34" s="1"/>
  <c r="H357" i="35" l="1"/>
  <c r="H342" i="34"/>
  <c r="H278" i="36"/>
  <c r="H379" i="33"/>
  <c r="C380" i="33" l="1"/>
  <c r="G380" i="33" s="1"/>
  <c r="F380" i="33" s="1"/>
  <c r="I379" i="33"/>
  <c r="C279" i="36"/>
  <c r="I278" i="36"/>
  <c r="E279" i="36"/>
  <c r="C343" i="34"/>
  <c r="G343" i="34" s="1"/>
  <c r="F343" i="34" s="1"/>
  <c r="I342" i="34"/>
  <c r="C358" i="35"/>
  <c r="G358" i="35" s="1"/>
  <c r="F358" i="35" s="1"/>
  <c r="I357" i="35"/>
  <c r="G279" i="36" l="1"/>
  <c r="F279" i="36" s="1"/>
  <c r="H343" i="34"/>
  <c r="H358" i="35"/>
  <c r="H380" i="33"/>
  <c r="E359" i="35" l="1"/>
  <c r="C359" i="35"/>
  <c r="I358" i="35"/>
  <c r="C381" i="33"/>
  <c r="G381" i="33" s="1"/>
  <c r="F381" i="33" s="1"/>
  <c r="I380" i="33"/>
  <c r="E344" i="34"/>
  <c r="C344" i="34"/>
  <c r="I343" i="34"/>
  <c r="H279" i="36"/>
  <c r="I279" i="36" l="1"/>
  <c r="C280" i="36"/>
  <c r="E280" i="36"/>
  <c r="G344" i="34"/>
  <c r="F344" i="34" s="1"/>
  <c r="H381" i="33"/>
  <c r="G359" i="35"/>
  <c r="F359" i="35" s="1"/>
  <c r="I381" i="33" l="1"/>
  <c r="C382" i="33"/>
  <c r="G382" i="33" s="1"/>
  <c r="F382" i="33" s="1"/>
  <c r="H344" i="34"/>
  <c r="G280" i="36"/>
  <c r="F280" i="36" s="1"/>
  <c r="H359" i="35"/>
  <c r="C345" i="34" l="1"/>
  <c r="G345" i="34" s="1"/>
  <c r="F345" i="34" s="1"/>
  <c r="H345" i="34" s="1"/>
  <c r="I344" i="34"/>
  <c r="E360" i="35"/>
  <c r="C360" i="35"/>
  <c r="I359" i="35"/>
  <c r="H382" i="33"/>
  <c r="H280" i="36"/>
  <c r="G360" i="35" l="1"/>
  <c r="F360" i="35" s="1"/>
  <c r="H360" i="35" s="1"/>
  <c r="C361" i="35" s="1"/>
  <c r="G361" i="35" s="1"/>
  <c r="F361" i="35" s="1"/>
  <c r="H361" i="35" s="1"/>
  <c r="C346" i="34"/>
  <c r="G346" i="34" s="1"/>
  <c r="F346" i="34" s="1"/>
  <c r="I345" i="34"/>
  <c r="C383" i="33"/>
  <c r="G383" i="33" s="1"/>
  <c r="F383" i="33" s="1"/>
  <c r="I382" i="33"/>
  <c r="E281" i="36"/>
  <c r="I280" i="36"/>
  <c r="C281" i="36"/>
  <c r="I360" i="35" l="1"/>
  <c r="I361" i="35"/>
  <c r="C362" i="35"/>
  <c r="G362" i="35" s="1"/>
  <c r="F362" i="35" s="1"/>
  <c r="H383" i="33"/>
  <c r="H346" i="34"/>
  <c r="G281" i="36"/>
  <c r="F281" i="36" s="1"/>
  <c r="N38" i="36"/>
  <c r="P38" i="36" l="1"/>
  <c r="H281" i="36"/>
  <c r="C384" i="33"/>
  <c r="G384" i="33" s="1"/>
  <c r="F384" i="33" s="1"/>
  <c r="I383" i="33"/>
  <c r="E347" i="34"/>
  <c r="C347" i="34"/>
  <c r="I346" i="34"/>
  <c r="H362" i="35"/>
  <c r="O38" i="36"/>
  <c r="M38" i="36" l="1"/>
  <c r="G347" i="34"/>
  <c r="F347" i="34" s="1"/>
  <c r="I362" i="35"/>
  <c r="C363" i="35"/>
  <c r="G363" i="35" s="1"/>
  <c r="F363" i="35" s="1"/>
  <c r="H363" i="35" s="1"/>
  <c r="H384" i="33"/>
  <c r="D281" i="36"/>
  <c r="C282" i="36"/>
  <c r="G282" i="36" s="1"/>
  <c r="F282" i="36" s="1"/>
  <c r="C364" i="35" l="1"/>
  <c r="G364" i="35" s="1"/>
  <c r="F364" i="35" s="1"/>
  <c r="H364" i="35" s="1"/>
  <c r="I363" i="35"/>
  <c r="H282" i="36"/>
  <c r="C385" i="33"/>
  <c r="G385" i="33" s="1"/>
  <c r="F385" i="33" s="1"/>
  <c r="H385" i="33" s="1"/>
  <c r="I384" i="33"/>
  <c r="I281" i="36"/>
  <c r="E283" i="36"/>
  <c r="H347" i="34"/>
  <c r="I385" i="33" l="1"/>
  <c r="C386" i="33"/>
  <c r="G386" i="33" s="1"/>
  <c r="F386" i="33" s="1"/>
  <c r="C283" i="36"/>
  <c r="G283" i="36" s="1"/>
  <c r="F283" i="36" s="1"/>
  <c r="I282" i="36"/>
  <c r="C348" i="34"/>
  <c r="G348" i="34" s="1"/>
  <c r="F348" i="34" s="1"/>
  <c r="I347" i="34"/>
  <c r="E365" i="35"/>
  <c r="I364" i="35"/>
  <c r="C365" i="35"/>
  <c r="H386" i="33" l="1"/>
  <c r="H348" i="34"/>
  <c r="H283" i="36"/>
  <c r="G365" i="35"/>
  <c r="F365" i="35" s="1"/>
  <c r="H365" i="35" s="1"/>
  <c r="N45" i="35"/>
  <c r="P45" i="35" l="1"/>
  <c r="D365" i="35"/>
  <c r="I365" i="35" s="1"/>
  <c r="C366" i="35"/>
  <c r="G366" i="35" s="1"/>
  <c r="F366" i="35" s="1"/>
  <c r="H366" i="35" s="1"/>
  <c r="I348" i="34"/>
  <c r="C349" i="34"/>
  <c r="G349" i="34" s="1"/>
  <c r="F349" i="34" s="1"/>
  <c r="C284" i="36"/>
  <c r="I283" i="36"/>
  <c r="E284" i="36"/>
  <c r="C387" i="33"/>
  <c r="G387" i="33" s="1"/>
  <c r="F387" i="33" s="1"/>
  <c r="I386" i="33"/>
  <c r="O45" i="35"/>
  <c r="M45" i="35" l="1"/>
  <c r="I366" i="35"/>
  <c r="C367" i="35"/>
  <c r="G367" i="35" s="1"/>
  <c r="F367" i="35" s="1"/>
  <c r="G284" i="36"/>
  <c r="F284" i="36" s="1"/>
  <c r="H284" i="36" s="1"/>
  <c r="H349" i="34"/>
  <c r="H387" i="33"/>
  <c r="C285" i="36" l="1"/>
  <c r="I284" i="36"/>
  <c r="E285" i="36"/>
  <c r="C388" i="33"/>
  <c r="G388" i="33" s="1"/>
  <c r="F388" i="33" s="1"/>
  <c r="I387" i="33"/>
  <c r="E350" i="34"/>
  <c r="I349" i="34"/>
  <c r="C350" i="34"/>
  <c r="H367" i="35"/>
  <c r="G350" i="34" l="1"/>
  <c r="F350" i="34" s="1"/>
  <c r="H350" i="34" s="1"/>
  <c r="G285" i="36"/>
  <c r="F285" i="36" s="1"/>
  <c r="C368" i="35"/>
  <c r="G368" i="35" s="1"/>
  <c r="F368" i="35" s="1"/>
  <c r="I367" i="35"/>
  <c r="H388" i="33"/>
  <c r="E389" i="33" l="1"/>
  <c r="I388" i="33"/>
  <c r="C389" i="33"/>
  <c r="H285" i="36"/>
  <c r="C351" i="34"/>
  <c r="G351" i="34" s="1"/>
  <c r="F351" i="34" s="1"/>
  <c r="I350" i="34"/>
  <c r="H368" i="35"/>
  <c r="H351" i="34" l="1"/>
  <c r="I368" i="35"/>
  <c r="C369" i="35"/>
  <c r="G369" i="35" s="1"/>
  <c r="F369" i="35" s="1"/>
  <c r="I285" i="36"/>
  <c r="C286" i="36"/>
  <c r="E286" i="36"/>
  <c r="G389" i="33"/>
  <c r="F389" i="33" s="1"/>
  <c r="H389" i="33" s="1"/>
  <c r="N47" i="33"/>
  <c r="D389" i="33" l="1"/>
  <c r="I389" i="33" s="1"/>
  <c r="C390" i="33"/>
  <c r="G390" i="33" s="1"/>
  <c r="F390" i="33" s="1"/>
  <c r="G286" i="36"/>
  <c r="F286" i="36" s="1"/>
  <c r="H369" i="35"/>
  <c r="I351" i="34"/>
  <c r="C352" i="34"/>
  <c r="G352" i="34" s="1"/>
  <c r="F352" i="34" s="1"/>
  <c r="O47" i="33"/>
  <c r="M47" i="33" l="1"/>
  <c r="P47" i="33" s="1"/>
  <c r="C370" i="35"/>
  <c r="G370" i="35" s="1"/>
  <c r="F370" i="35" s="1"/>
  <c r="I369" i="35"/>
  <c r="H286" i="36"/>
  <c r="H390" i="33"/>
  <c r="H352" i="34"/>
  <c r="C391" i="33" l="1"/>
  <c r="G391" i="33" s="1"/>
  <c r="F391" i="33" s="1"/>
  <c r="I390" i="33"/>
  <c r="I286" i="36"/>
  <c r="C287" i="36"/>
  <c r="E287" i="36"/>
  <c r="H370" i="35"/>
  <c r="E353" i="34"/>
  <c r="I352" i="34"/>
  <c r="C353" i="34"/>
  <c r="E371" i="35" l="1"/>
  <c r="I370" i="35"/>
  <c r="C371" i="35"/>
  <c r="G287" i="36"/>
  <c r="F287" i="36" s="1"/>
  <c r="H287" i="36" s="1"/>
  <c r="G353" i="34"/>
  <c r="F353" i="34" s="1"/>
  <c r="H391" i="33"/>
  <c r="N44" i="34"/>
  <c r="P44" i="34" l="1"/>
  <c r="I287" i="36"/>
  <c r="C288" i="36"/>
  <c r="E288" i="36"/>
  <c r="H353" i="34"/>
  <c r="G371" i="35"/>
  <c r="F371" i="35" s="1"/>
  <c r="C392" i="33"/>
  <c r="G392" i="33" s="1"/>
  <c r="F392" i="33" s="1"/>
  <c r="I391" i="33"/>
  <c r="O44" i="34"/>
  <c r="M44" i="34" l="1"/>
  <c r="G288" i="36"/>
  <c r="F288" i="36" s="1"/>
  <c r="H288" i="36" s="1"/>
  <c r="H371" i="35"/>
  <c r="D353" i="34"/>
  <c r="I353" i="34" s="1"/>
  <c r="C354" i="34"/>
  <c r="G354" i="34" s="1"/>
  <c r="F354" i="34" s="1"/>
  <c r="H392" i="33"/>
  <c r="I288" i="36" l="1"/>
  <c r="C289" i="36"/>
  <c r="E289" i="36"/>
  <c r="H354" i="34"/>
  <c r="E372" i="35"/>
  <c r="C372" i="35"/>
  <c r="I371" i="35"/>
  <c r="C393" i="33"/>
  <c r="G393" i="33" s="1"/>
  <c r="F393" i="33" s="1"/>
  <c r="H393" i="33" s="1"/>
  <c r="I392" i="33"/>
  <c r="G372" i="35" l="1"/>
  <c r="F372" i="35" s="1"/>
  <c r="H372" i="35" s="1"/>
  <c r="C355" i="34"/>
  <c r="G355" i="34" s="1"/>
  <c r="F355" i="34" s="1"/>
  <c r="I354" i="34"/>
  <c r="G289" i="36"/>
  <c r="F289" i="36" s="1"/>
  <c r="I393" i="33"/>
  <c r="C394" i="33"/>
  <c r="G394" i="33" s="1"/>
  <c r="F394" i="33" s="1"/>
  <c r="H394" i="33" l="1"/>
  <c r="C373" i="35"/>
  <c r="G373" i="35" s="1"/>
  <c r="F373" i="35" s="1"/>
  <c r="I372" i="35"/>
  <c r="H289" i="36"/>
  <c r="H355" i="34"/>
  <c r="E356" i="34" l="1"/>
  <c r="I355" i="34"/>
  <c r="C356" i="34"/>
  <c r="H373" i="35"/>
  <c r="I289" i="36"/>
  <c r="C290" i="36"/>
  <c r="E290" i="36"/>
  <c r="C395" i="33"/>
  <c r="G395" i="33" s="1"/>
  <c r="F395" i="33" s="1"/>
  <c r="I394" i="33"/>
  <c r="H395" i="33" l="1"/>
  <c r="G356" i="34"/>
  <c r="F356" i="34" s="1"/>
  <c r="G290" i="36"/>
  <c r="F290" i="36" s="1"/>
  <c r="H290" i="36" s="1"/>
  <c r="C374" i="35"/>
  <c r="G374" i="35" s="1"/>
  <c r="F374" i="35" s="1"/>
  <c r="I373" i="35"/>
  <c r="C291" i="36" l="1"/>
  <c r="I290" i="36"/>
  <c r="E291" i="36"/>
  <c r="H356" i="34"/>
  <c r="H374" i="35"/>
  <c r="I395" i="33"/>
  <c r="C396" i="33"/>
  <c r="G396" i="33" s="1"/>
  <c r="F396" i="33" s="1"/>
  <c r="H396" i="33" l="1"/>
  <c r="C375" i="35"/>
  <c r="G375" i="35" s="1"/>
  <c r="F375" i="35" s="1"/>
  <c r="I374" i="35"/>
  <c r="C357" i="34"/>
  <c r="G357" i="34" s="1"/>
  <c r="F357" i="34" s="1"/>
  <c r="H357" i="34" s="1"/>
  <c r="I356" i="34"/>
  <c r="G291" i="36"/>
  <c r="F291" i="36" s="1"/>
  <c r="I357" i="34" l="1"/>
  <c r="C358" i="34"/>
  <c r="G358" i="34" s="1"/>
  <c r="F358" i="34" s="1"/>
  <c r="H375" i="35"/>
  <c r="H291" i="36"/>
  <c r="I396" i="33"/>
  <c r="C397" i="33"/>
  <c r="G397" i="33" s="1"/>
  <c r="F397" i="33" s="1"/>
  <c r="C292" i="36" l="1"/>
  <c r="I291" i="36"/>
  <c r="E292" i="36"/>
  <c r="H397" i="33"/>
  <c r="I375" i="35"/>
  <c r="C376" i="35"/>
  <c r="G376" i="35" s="1"/>
  <c r="F376" i="35" s="1"/>
  <c r="H358" i="34"/>
  <c r="E359" i="34" l="1"/>
  <c r="C359" i="34"/>
  <c r="I358" i="34"/>
  <c r="H376" i="35"/>
  <c r="C398" i="33"/>
  <c r="G398" i="33" s="1"/>
  <c r="F398" i="33" s="1"/>
  <c r="I397" i="33"/>
  <c r="G292" i="36"/>
  <c r="F292" i="36" s="1"/>
  <c r="H292" i="36" l="1"/>
  <c r="E377" i="35"/>
  <c r="I376" i="35"/>
  <c r="C377" i="35"/>
  <c r="H398" i="33"/>
  <c r="G359" i="34"/>
  <c r="F359" i="34" s="1"/>
  <c r="G377" i="35" l="1"/>
  <c r="F377" i="35" s="1"/>
  <c r="H377" i="35" s="1"/>
  <c r="I398" i="33"/>
  <c r="C399" i="33"/>
  <c r="G399" i="33" s="1"/>
  <c r="F399" i="33" s="1"/>
  <c r="H359" i="34"/>
  <c r="E293" i="36"/>
  <c r="I292" i="36"/>
  <c r="C293" i="36"/>
  <c r="N46" i="35"/>
  <c r="P46" i="35" l="1"/>
  <c r="D377" i="35"/>
  <c r="I377" i="35" s="1"/>
  <c r="C378" i="35"/>
  <c r="G378" i="35" s="1"/>
  <c r="F378" i="35" s="1"/>
  <c r="H378" i="35" s="1"/>
  <c r="H399" i="33"/>
  <c r="I359" i="34"/>
  <c r="C360" i="34"/>
  <c r="G360" i="34" s="1"/>
  <c r="F360" i="34" s="1"/>
  <c r="H360" i="34" s="1"/>
  <c r="G293" i="36"/>
  <c r="F293" i="36" s="1"/>
  <c r="H293" i="36" s="1"/>
  <c r="N39" i="36"/>
  <c r="O46" i="35"/>
  <c r="P39" i="36" l="1"/>
  <c r="M46" i="35"/>
  <c r="D293" i="36"/>
  <c r="C294" i="36"/>
  <c r="G294" i="36" s="1"/>
  <c r="F294" i="36" s="1"/>
  <c r="H294" i="36" s="1"/>
  <c r="C361" i="34"/>
  <c r="G361" i="34" s="1"/>
  <c r="F361" i="34" s="1"/>
  <c r="I360" i="34"/>
  <c r="C379" i="35"/>
  <c r="G379" i="35" s="1"/>
  <c r="F379" i="35" s="1"/>
  <c r="I378" i="35"/>
  <c r="I399" i="33"/>
  <c r="C400" i="33"/>
  <c r="G400" i="33" s="1"/>
  <c r="F400" i="33" s="1"/>
  <c r="O39" i="36"/>
  <c r="M39" i="36" l="1"/>
  <c r="H400" i="33"/>
  <c r="I293" i="36"/>
  <c r="E295" i="36"/>
  <c r="I294" i="36"/>
  <c r="C295" i="36"/>
  <c r="H379" i="35"/>
  <c r="H361" i="34"/>
  <c r="G295" i="36" l="1"/>
  <c r="F295" i="36" s="1"/>
  <c r="H295" i="36" s="1"/>
  <c r="C380" i="35"/>
  <c r="G380" i="35" s="1"/>
  <c r="F380" i="35" s="1"/>
  <c r="I379" i="35"/>
  <c r="E401" i="33"/>
  <c r="I400" i="33"/>
  <c r="C401" i="33"/>
  <c r="E362" i="34"/>
  <c r="C362" i="34"/>
  <c r="I361" i="34"/>
  <c r="G362" i="34" l="1"/>
  <c r="F362" i="34" s="1"/>
  <c r="H380" i="35"/>
  <c r="G401" i="33"/>
  <c r="F401" i="33" s="1"/>
  <c r="C296" i="36"/>
  <c r="I295" i="36"/>
  <c r="E296" i="36"/>
  <c r="N48" i="33"/>
  <c r="H362" i="34" l="1"/>
  <c r="H401" i="33"/>
  <c r="G296" i="36"/>
  <c r="F296" i="36" s="1"/>
  <c r="C381" i="35"/>
  <c r="G381" i="35" s="1"/>
  <c r="F381" i="35" s="1"/>
  <c r="I380" i="35"/>
  <c r="O48" i="33"/>
  <c r="M48" i="33" l="1"/>
  <c r="P48" i="33" s="1"/>
  <c r="H381" i="35"/>
  <c r="C363" i="34"/>
  <c r="G363" i="34" s="1"/>
  <c r="F363" i="34" s="1"/>
  <c r="I362" i="34"/>
  <c r="H296" i="36"/>
  <c r="D401" i="33"/>
  <c r="I401" i="33" s="1"/>
  <c r="C402" i="33"/>
  <c r="G402" i="33" s="1"/>
  <c r="F402" i="33" s="1"/>
  <c r="I296" i="36" l="1"/>
  <c r="C297" i="36"/>
  <c r="E297" i="36"/>
  <c r="C382" i="35"/>
  <c r="G382" i="35" s="1"/>
  <c r="F382" i="35" s="1"/>
  <c r="I381" i="35"/>
  <c r="H363" i="34"/>
  <c r="H402" i="33"/>
  <c r="C403" i="33" l="1"/>
  <c r="G403" i="33" s="1"/>
  <c r="F403" i="33" s="1"/>
  <c r="I402" i="33"/>
  <c r="C364" i="34"/>
  <c r="G364" i="34" s="1"/>
  <c r="F364" i="34" s="1"/>
  <c r="I363" i="34"/>
  <c r="H382" i="35"/>
  <c r="G297" i="36"/>
  <c r="F297" i="36" s="1"/>
  <c r="E383" i="35" l="1"/>
  <c r="I382" i="35"/>
  <c r="C383" i="35"/>
  <c r="H364" i="34"/>
  <c r="H403" i="33"/>
  <c r="H297" i="36"/>
  <c r="C404" i="33" l="1"/>
  <c r="G404" i="33" s="1"/>
  <c r="F404" i="33" s="1"/>
  <c r="I403" i="33"/>
  <c r="G383" i="35"/>
  <c r="F383" i="35" s="1"/>
  <c r="C298" i="36"/>
  <c r="I297" i="36"/>
  <c r="E298" i="36"/>
  <c r="E365" i="34"/>
  <c r="I364" i="34"/>
  <c r="C365" i="34"/>
  <c r="G298" i="36" l="1"/>
  <c r="F298" i="36" s="1"/>
  <c r="H298" i="36" s="1"/>
  <c r="H383" i="35"/>
  <c r="G365" i="34"/>
  <c r="F365" i="34" s="1"/>
  <c r="H365" i="34" s="1"/>
  <c r="H404" i="33"/>
  <c r="N45" i="34"/>
  <c r="P45" i="34" l="1"/>
  <c r="C366" i="34"/>
  <c r="G366" i="34" s="1"/>
  <c r="F366" i="34" s="1"/>
  <c r="H366" i="34" s="1"/>
  <c r="D365" i="34"/>
  <c r="I365" i="34" s="1"/>
  <c r="C299" i="36"/>
  <c r="I298" i="36"/>
  <c r="E299" i="36"/>
  <c r="E384" i="35"/>
  <c r="C384" i="35"/>
  <c r="I383" i="35"/>
  <c r="C405" i="33"/>
  <c r="G405" i="33" s="1"/>
  <c r="F405" i="33" s="1"/>
  <c r="I404" i="33"/>
  <c r="O45" i="34"/>
  <c r="G384" i="35" l="1"/>
  <c r="F384" i="35" s="1"/>
  <c r="H384" i="35" s="1"/>
  <c r="M45" i="34"/>
  <c r="G299" i="36"/>
  <c r="F299" i="36" s="1"/>
  <c r="I366" i="34"/>
  <c r="C367" i="34"/>
  <c r="G367" i="34" s="1"/>
  <c r="F367" i="34" s="1"/>
  <c r="H405" i="33"/>
  <c r="I384" i="35" l="1"/>
  <c r="C385" i="35"/>
  <c r="G385" i="35" s="1"/>
  <c r="F385" i="35" s="1"/>
  <c r="H385" i="35" s="1"/>
  <c r="I385" i="35" s="1"/>
  <c r="H367" i="34"/>
  <c r="C406" i="33"/>
  <c r="G406" i="33" s="1"/>
  <c r="F406" i="33" s="1"/>
  <c r="I405" i="33"/>
  <c r="H299" i="36"/>
  <c r="C386" i="35" l="1"/>
  <c r="G386" i="35" s="1"/>
  <c r="F386" i="35" s="1"/>
  <c r="H386" i="35" s="1"/>
  <c r="C300" i="36"/>
  <c r="I299" i="36"/>
  <c r="E300" i="36"/>
  <c r="H406" i="33"/>
  <c r="E368" i="34"/>
  <c r="I367" i="34"/>
  <c r="C368" i="34"/>
  <c r="C387" i="35" l="1"/>
  <c r="G387" i="35" s="1"/>
  <c r="F387" i="35" s="1"/>
  <c r="H387" i="35" s="1"/>
  <c r="I386" i="35"/>
  <c r="C407" i="33"/>
  <c r="G407" i="33" s="1"/>
  <c r="F407" i="33" s="1"/>
  <c r="H407" i="33" s="1"/>
  <c r="I406" i="33"/>
  <c r="G300" i="36"/>
  <c r="F300" i="36" s="1"/>
  <c r="G368" i="34"/>
  <c r="F368" i="34" s="1"/>
  <c r="H300" i="36" l="1"/>
  <c r="C388" i="35"/>
  <c r="G388" i="35" s="1"/>
  <c r="F388" i="35" s="1"/>
  <c r="I387" i="35"/>
  <c r="I407" i="33"/>
  <c r="C408" i="33"/>
  <c r="G408" i="33" s="1"/>
  <c r="F408" i="33" s="1"/>
  <c r="H368" i="34"/>
  <c r="H388" i="35" l="1"/>
  <c r="I368" i="34"/>
  <c r="C369" i="34"/>
  <c r="G369" i="34" s="1"/>
  <c r="F369" i="34" s="1"/>
  <c r="H408" i="33"/>
  <c r="I300" i="36"/>
  <c r="C301" i="36"/>
  <c r="E301" i="36"/>
  <c r="G301" i="36" l="1"/>
  <c r="F301" i="36" s="1"/>
  <c r="H301" i="36" s="1"/>
  <c r="I408" i="33"/>
  <c r="C409" i="33"/>
  <c r="G409" i="33" s="1"/>
  <c r="F409" i="33" s="1"/>
  <c r="H369" i="34"/>
  <c r="E389" i="35"/>
  <c r="C389" i="35"/>
  <c r="I388" i="35"/>
  <c r="G389" i="35" l="1"/>
  <c r="F389" i="35" s="1"/>
  <c r="C302" i="36"/>
  <c r="I301" i="36"/>
  <c r="E302" i="36"/>
  <c r="I369" i="34"/>
  <c r="C370" i="34"/>
  <c r="G370" i="34" s="1"/>
  <c r="F370" i="34" s="1"/>
  <c r="H409" i="33"/>
  <c r="N47" i="35"/>
  <c r="P47" i="35" l="1"/>
  <c r="I409" i="33"/>
  <c r="C410" i="33"/>
  <c r="G410" i="33" s="1"/>
  <c r="F410" i="33" s="1"/>
  <c r="G302" i="36"/>
  <c r="F302" i="36" s="1"/>
  <c r="H370" i="34"/>
  <c r="H389" i="35"/>
  <c r="O47" i="35"/>
  <c r="M47" i="35" l="1"/>
  <c r="E371" i="34"/>
  <c r="I370" i="34"/>
  <c r="C371" i="34"/>
  <c r="H410" i="33"/>
  <c r="H302" i="36"/>
  <c r="D389" i="35"/>
  <c r="I389" i="35" s="1"/>
  <c r="C390" i="35"/>
  <c r="G390" i="35" s="1"/>
  <c r="F390" i="35" s="1"/>
  <c r="I410" i="33" l="1"/>
  <c r="C411" i="33"/>
  <c r="G411" i="33" s="1"/>
  <c r="F411" i="33" s="1"/>
  <c r="H411" i="33" s="1"/>
  <c r="C303" i="36"/>
  <c r="I302" i="36"/>
  <c r="E303" i="36"/>
  <c r="G371" i="34"/>
  <c r="F371" i="34" s="1"/>
  <c r="H390" i="35"/>
  <c r="H371" i="34" l="1"/>
  <c r="I411" i="33"/>
  <c r="C412" i="33"/>
  <c r="G412" i="33" s="1"/>
  <c r="F412" i="33" s="1"/>
  <c r="H412" i="33" s="1"/>
  <c r="C391" i="35"/>
  <c r="G391" i="35" s="1"/>
  <c r="F391" i="35" s="1"/>
  <c r="H391" i="35" s="1"/>
  <c r="I390" i="35"/>
  <c r="G303" i="36"/>
  <c r="F303" i="36" s="1"/>
  <c r="C392" i="35" l="1"/>
  <c r="G392" i="35" s="1"/>
  <c r="F392" i="35" s="1"/>
  <c r="I391" i="35"/>
  <c r="E413" i="33"/>
  <c r="I412" i="33"/>
  <c r="C413" i="33"/>
  <c r="C372" i="34"/>
  <c r="G372" i="34" s="1"/>
  <c r="F372" i="34" s="1"/>
  <c r="H372" i="34" s="1"/>
  <c r="I371" i="34"/>
  <c r="H303" i="36"/>
  <c r="I372" i="34" l="1"/>
  <c r="C373" i="34"/>
  <c r="G373" i="34" s="1"/>
  <c r="F373" i="34" s="1"/>
  <c r="G413" i="33"/>
  <c r="F413" i="33" s="1"/>
  <c r="C304" i="36"/>
  <c r="I303" i="36"/>
  <c r="E304" i="36"/>
  <c r="H392" i="35"/>
  <c r="N49" i="33"/>
  <c r="C393" i="35" l="1"/>
  <c r="G393" i="35" s="1"/>
  <c r="F393" i="35" s="1"/>
  <c r="I392" i="35"/>
  <c r="H413" i="33"/>
  <c r="H373" i="34"/>
  <c r="G304" i="36"/>
  <c r="F304" i="36" s="1"/>
  <c r="H304" i="36" s="1"/>
  <c r="O49" i="33"/>
  <c r="M49" i="33" l="1"/>
  <c r="P49" i="33" s="1"/>
  <c r="E305" i="36"/>
  <c r="C305" i="36"/>
  <c r="I304" i="36"/>
  <c r="C414" i="33"/>
  <c r="G414" i="33" s="1"/>
  <c r="F414" i="33" s="1"/>
  <c r="H414" i="33" s="1"/>
  <c r="D413" i="33"/>
  <c r="I413" i="33" s="1"/>
  <c r="E374" i="34"/>
  <c r="I373" i="34"/>
  <c r="C374" i="34"/>
  <c r="H393" i="35"/>
  <c r="I414" i="33" l="1"/>
  <c r="C415" i="33"/>
  <c r="G415" i="33" s="1"/>
  <c r="F415" i="33" s="1"/>
  <c r="C394" i="35"/>
  <c r="G394" i="35" s="1"/>
  <c r="F394" i="35" s="1"/>
  <c r="I393" i="35"/>
  <c r="G305" i="36"/>
  <c r="F305" i="36" s="1"/>
  <c r="G374" i="34"/>
  <c r="F374" i="34" s="1"/>
  <c r="N40" i="36"/>
  <c r="P40" i="36" l="1"/>
  <c r="H374" i="34"/>
  <c r="H394" i="35"/>
  <c r="H305" i="36"/>
  <c r="H415" i="33"/>
  <c r="O40" i="36"/>
  <c r="M40" i="36" l="1"/>
  <c r="C416" i="33"/>
  <c r="G416" i="33" s="1"/>
  <c r="F416" i="33" s="1"/>
  <c r="I415" i="33"/>
  <c r="C375" i="34"/>
  <c r="G375" i="34" s="1"/>
  <c r="F375" i="34" s="1"/>
  <c r="I374" i="34"/>
  <c r="C306" i="36"/>
  <c r="G306" i="36" s="1"/>
  <c r="F306" i="36" s="1"/>
  <c r="H306" i="36" s="1"/>
  <c r="D305" i="36"/>
  <c r="E395" i="35"/>
  <c r="C395" i="35"/>
  <c r="I394" i="35"/>
  <c r="I306" i="36" l="1"/>
  <c r="C307" i="36"/>
  <c r="H375" i="34"/>
  <c r="G395" i="35"/>
  <c r="F395" i="35" s="1"/>
  <c r="H416" i="33"/>
  <c r="I305" i="36"/>
  <c r="E307" i="36"/>
  <c r="I416" i="33" l="1"/>
  <c r="C417" i="33"/>
  <c r="G417" i="33" s="1"/>
  <c r="F417" i="33" s="1"/>
  <c r="H417" i="33" s="1"/>
  <c r="H395" i="35"/>
  <c r="I375" i="34"/>
  <c r="C376" i="34"/>
  <c r="G376" i="34" s="1"/>
  <c r="F376" i="34" s="1"/>
  <c r="G307" i="36"/>
  <c r="F307" i="36" s="1"/>
  <c r="C418" i="33" l="1"/>
  <c r="G418" i="33" s="1"/>
  <c r="F418" i="33" s="1"/>
  <c r="I417" i="33"/>
  <c r="E396" i="35"/>
  <c r="C396" i="35"/>
  <c r="I395" i="35"/>
  <c r="H307" i="36"/>
  <c r="H376" i="34"/>
  <c r="G396" i="35" l="1"/>
  <c r="F396" i="35" s="1"/>
  <c r="H396" i="35" s="1"/>
  <c r="C397" i="35" s="1"/>
  <c r="G397" i="35" s="1"/>
  <c r="F397" i="35" s="1"/>
  <c r="C308" i="36"/>
  <c r="I307" i="36"/>
  <c r="E308" i="36"/>
  <c r="E377" i="34"/>
  <c r="C377" i="34"/>
  <c r="I376" i="34"/>
  <c r="H418" i="33"/>
  <c r="I396" i="35" l="1"/>
  <c r="G377" i="34"/>
  <c r="F377" i="34" s="1"/>
  <c r="I418" i="33"/>
  <c r="C419" i="33"/>
  <c r="G419" i="33" s="1"/>
  <c r="F419" i="33" s="1"/>
  <c r="H397" i="35"/>
  <c r="G308" i="36"/>
  <c r="F308" i="36" s="1"/>
  <c r="N46" i="34"/>
  <c r="P46" i="34" l="1"/>
  <c r="H308" i="36"/>
  <c r="I397" i="35"/>
  <c r="C398" i="35"/>
  <c r="G398" i="35" s="1"/>
  <c r="F398" i="35" s="1"/>
  <c r="H419" i="33"/>
  <c r="H377" i="34"/>
  <c r="O46" i="34"/>
  <c r="M46" i="34" l="1"/>
  <c r="H398" i="35"/>
  <c r="I419" i="33"/>
  <c r="C420" i="33"/>
  <c r="G420" i="33" s="1"/>
  <c r="F420" i="33" s="1"/>
  <c r="D377" i="34"/>
  <c r="C378" i="34"/>
  <c r="I308" i="36"/>
  <c r="C309" i="36"/>
  <c r="E309" i="36"/>
  <c r="G309" i="36" l="1"/>
  <c r="F309" i="36" s="1"/>
  <c r="H309" i="36" s="1"/>
  <c r="E378" i="34"/>
  <c r="G378" i="34" s="1"/>
  <c r="F378" i="34" s="1"/>
  <c r="I377" i="34"/>
  <c r="H420" i="33"/>
  <c r="C399" i="35"/>
  <c r="G399" i="35" s="1"/>
  <c r="F399" i="35" s="1"/>
  <c r="I398" i="35"/>
  <c r="H378" i="34" l="1"/>
  <c r="C379" i="34" s="1"/>
  <c r="G379" i="34" s="1"/>
  <c r="F379" i="34" s="1"/>
  <c r="C310" i="36"/>
  <c r="I309" i="36"/>
  <c r="E310" i="36"/>
  <c r="H399" i="35"/>
  <c r="I420" i="33"/>
  <c r="C421" i="33"/>
  <c r="G421" i="33" s="1"/>
  <c r="F421" i="33" s="1"/>
  <c r="I378" i="34" l="1"/>
  <c r="I399" i="35"/>
  <c r="C400" i="35"/>
  <c r="G400" i="35" s="1"/>
  <c r="F400" i="35" s="1"/>
  <c r="H379" i="34"/>
  <c r="H421" i="33"/>
  <c r="G310" i="36"/>
  <c r="F310" i="36" s="1"/>
  <c r="E380" i="34" l="1"/>
  <c r="C380" i="34"/>
  <c r="I379" i="34"/>
  <c r="H310" i="36"/>
  <c r="C422" i="33"/>
  <c r="G422" i="33" s="1"/>
  <c r="F422" i="33" s="1"/>
  <c r="I421" i="33"/>
  <c r="H400" i="35"/>
  <c r="G380" i="34" l="1"/>
  <c r="F380" i="34" s="1"/>
  <c r="H380" i="34" s="1"/>
  <c r="I310" i="36"/>
  <c r="C311" i="36"/>
  <c r="E311" i="36"/>
  <c r="E401" i="35"/>
  <c r="C401" i="35"/>
  <c r="I400" i="35"/>
  <c r="H422" i="33"/>
  <c r="C381" i="34" l="1"/>
  <c r="G381" i="34" s="1"/>
  <c r="F381" i="34" s="1"/>
  <c r="H381" i="34" s="1"/>
  <c r="I380" i="34"/>
  <c r="C423" i="33"/>
  <c r="G423" i="33" s="1"/>
  <c r="F423" i="33" s="1"/>
  <c r="I422" i="33"/>
  <c r="G401" i="35"/>
  <c r="F401" i="35" s="1"/>
  <c r="G311" i="36"/>
  <c r="F311" i="36" s="1"/>
  <c r="N48" i="35"/>
  <c r="P48" i="35" l="1"/>
  <c r="H401" i="35"/>
  <c r="I381" i="34"/>
  <c r="C382" i="34"/>
  <c r="G382" i="34" s="1"/>
  <c r="F382" i="34" s="1"/>
  <c r="H382" i="34" s="1"/>
  <c r="H311" i="36"/>
  <c r="H423" i="33"/>
  <c r="O48" i="35"/>
  <c r="M48" i="35" l="1"/>
  <c r="E383" i="34"/>
  <c r="C383" i="34"/>
  <c r="I382" i="34"/>
  <c r="C312" i="36"/>
  <c r="I311" i="36"/>
  <c r="E312" i="36"/>
  <c r="D401" i="35"/>
  <c r="I401" i="35" s="1"/>
  <c r="C402" i="35"/>
  <c r="G402" i="35" s="1"/>
  <c r="F402" i="35" s="1"/>
  <c r="H402" i="35" s="1"/>
  <c r="C424" i="33"/>
  <c r="G424" i="33" s="1"/>
  <c r="F424" i="33" s="1"/>
  <c r="I423" i="33"/>
  <c r="G312" i="36" l="1"/>
  <c r="F312" i="36" s="1"/>
  <c r="G383" i="34"/>
  <c r="F383" i="34" s="1"/>
  <c r="H383" i="34" s="1"/>
  <c r="H424" i="33"/>
  <c r="I402" i="35"/>
  <c r="C403" i="35"/>
  <c r="G403" i="35" s="1"/>
  <c r="F403" i="35" s="1"/>
  <c r="I383" i="34" l="1"/>
  <c r="C384" i="34"/>
  <c r="G384" i="34" s="1"/>
  <c r="F384" i="34" s="1"/>
  <c r="H403" i="35"/>
  <c r="E425" i="33"/>
  <c r="C425" i="33"/>
  <c r="I424" i="33"/>
  <c r="H312" i="36"/>
  <c r="G425" i="33" l="1"/>
  <c r="F425" i="33" s="1"/>
  <c r="C313" i="36"/>
  <c r="I312" i="36"/>
  <c r="E313" i="36"/>
  <c r="H384" i="34"/>
  <c r="I403" i="35"/>
  <c r="C404" i="35"/>
  <c r="G404" i="35" s="1"/>
  <c r="F404" i="35" s="1"/>
  <c r="N50" i="33"/>
  <c r="H404" i="35" l="1"/>
  <c r="I384" i="34"/>
  <c r="C385" i="34"/>
  <c r="G385" i="34" s="1"/>
  <c r="F385" i="34" s="1"/>
  <c r="G313" i="36"/>
  <c r="F313" i="36" s="1"/>
  <c r="H425" i="33"/>
  <c r="O50" i="33"/>
  <c r="M50" i="33" l="1"/>
  <c r="P50" i="33" s="1"/>
  <c r="D425" i="33"/>
  <c r="I425" i="33" s="1"/>
  <c r="C426" i="33"/>
  <c r="G426" i="33" s="1"/>
  <c r="F426" i="33" s="1"/>
  <c r="H313" i="36"/>
  <c r="H385" i="34"/>
  <c r="C405" i="35"/>
  <c r="G405" i="35" s="1"/>
  <c r="F405" i="35" s="1"/>
  <c r="I404" i="35"/>
  <c r="E386" i="34" l="1"/>
  <c r="C386" i="34"/>
  <c r="I385" i="34"/>
  <c r="H405" i="35"/>
  <c r="C314" i="36"/>
  <c r="I313" i="36"/>
  <c r="E314" i="36"/>
  <c r="H426" i="33"/>
  <c r="G314" i="36" l="1"/>
  <c r="F314" i="36" s="1"/>
  <c r="C427" i="33"/>
  <c r="G427" i="33" s="1"/>
  <c r="F427" i="33" s="1"/>
  <c r="I426" i="33"/>
  <c r="I405" i="35"/>
  <c r="C406" i="35"/>
  <c r="G406" i="35" s="1"/>
  <c r="F406" i="35" s="1"/>
  <c r="G386" i="34"/>
  <c r="F386" i="34" s="1"/>
  <c r="H386" i="34" s="1"/>
  <c r="I386" i="34" l="1"/>
  <c r="C387" i="34"/>
  <c r="G387" i="34" s="1"/>
  <c r="F387" i="34" s="1"/>
  <c r="H406" i="35"/>
  <c r="H427" i="33"/>
  <c r="H314" i="36"/>
  <c r="C315" i="36" l="1"/>
  <c r="I314" i="36"/>
  <c r="E315" i="36"/>
  <c r="E407" i="35"/>
  <c r="C407" i="35"/>
  <c r="I406" i="35"/>
  <c r="H387" i="34"/>
  <c r="C428" i="33"/>
  <c r="G428" i="33" s="1"/>
  <c r="F428" i="33" s="1"/>
  <c r="I427" i="33"/>
  <c r="G315" i="36" l="1"/>
  <c r="F315" i="36" s="1"/>
  <c r="H315" i="36" s="1"/>
  <c r="C388" i="34"/>
  <c r="G388" i="34" s="1"/>
  <c r="F388" i="34" s="1"/>
  <c r="H388" i="34" s="1"/>
  <c r="I387" i="34"/>
  <c r="H428" i="33"/>
  <c r="G407" i="35"/>
  <c r="F407" i="35" s="1"/>
  <c r="C316" i="36" l="1"/>
  <c r="I315" i="36"/>
  <c r="E316" i="36"/>
  <c r="E389" i="34"/>
  <c r="C389" i="34"/>
  <c r="I388" i="34"/>
  <c r="I428" i="33"/>
  <c r="C429" i="33"/>
  <c r="G429" i="33" s="1"/>
  <c r="F429" i="33" s="1"/>
  <c r="H407" i="35"/>
  <c r="E408" i="35" l="1"/>
  <c r="C408" i="35"/>
  <c r="I407" i="35"/>
  <c r="H429" i="33"/>
  <c r="G316" i="36"/>
  <c r="F316" i="36" s="1"/>
  <c r="G389" i="34"/>
  <c r="F389" i="34" s="1"/>
  <c r="N47" i="34"/>
  <c r="G408" i="35" l="1"/>
  <c r="F408" i="35" s="1"/>
  <c r="H408" i="35" s="1"/>
  <c r="C409" i="35" s="1"/>
  <c r="G409" i="35" s="1"/>
  <c r="F409" i="35" s="1"/>
  <c r="P47" i="34"/>
  <c r="C430" i="33"/>
  <c r="G430" i="33" s="1"/>
  <c r="F430" i="33" s="1"/>
  <c r="I429" i="33"/>
  <c r="H316" i="36"/>
  <c r="H389" i="34"/>
  <c r="O47" i="34"/>
  <c r="I408" i="35" l="1"/>
  <c r="M47" i="34"/>
  <c r="E317" i="36"/>
  <c r="I316" i="36"/>
  <c r="C317" i="36"/>
  <c r="H409" i="35"/>
  <c r="H430" i="33"/>
  <c r="D389" i="34"/>
  <c r="C390" i="34"/>
  <c r="E390" i="34" l="1"/>
  <c r="G390" i="34" s="1"/>
  <c r="F390" i="34" s="1"/>
  <c r="I389" i="34"/>
  <c r="C431" i="33"/>
  <c r="G431" i="33" s="1"/>
  <c r="F431" i="33" s="1"/>
  <c r="I430" i="33"/>
  <c r="G317" i="36"/>
  <c r="F317" i="36" s="1"/>
  <c r="C410" i="35"/>
  <c r="G410" i="35" s="1"/>
  <c r="F410" i="35" s="1"/>
  <c r="I409" i="35"/>
  <c r="N41" i="36"/>
  <c r="H390" i="34" l="1"/>
  <c r="C391" i="34" s="1"/>
  <c r="G391" i="34" s="1"/>
  <c r="F391" i="34" s="1"/>
  <c r="H391" i="34" s="1"/>
  <c r="P41" i="36"/>
  <c r="H410" i="35"/>
  <c r="H317" i="36"/>
  <c r="H431" i="33"/>
  <c r="O41" i="36"/>
  <c r="I390" i="34" l="1"/>
  <c r="M41" i="36"/>
  <c r="I431" i="33"/>
  <c r="C432" i="33"/>
  <c r="G432" i="33" s="1"/>
  <c r="F432" i="33" s="1"/>
  <c r="H432" i="33" s="1"/>
  <c r="C318" i="36"/>
  <c r="G318" i="36" s="1"/>
  <c r="F318" i="36" s="1"/>
  <c r="H318" i="36" s="1"/>
  <c r="D317" i="36"/>
  <c r="E392" i="34"/>
  <c r="I391" i="34"/>
  <c r="C392" i="34"/>
  <c r="I410" i="35"/>
  <c r="C411" i="35"/>
  <c r="G411" i="35" s="1"/>
  <c r="F411" i="35" s="1"/>
  <c r="C433" i="33" l="1"/>
  <c r="G433" i="33" s="1"/>
  <c r="F433" i="33" s="1"/>
  <c r="I432" i="33"/>
  <c r="I317" i="36"/>
  <c r="E319" i="36"/>
  <c r="C319" i="36"/>
  <c r="I318" i="36"/>
  <c r="H411" i="35"/>
  <c r="G392" i="34"/>
  <c r="F392" i="34" s="1"/>
  <c r="G319" i="36" l="1"/>
  <c r="F319" i="36" s="1"/>
  <c r="H319" i="36" s="1"/>
  <c r="H392" i="34"/>
  <c r="C412" i="35"/>
  <c r="G412" i="35" s="1"/>
  <c r="F412" i="35" s="1"/>
  <c r="I411" i="35"/>
  <c r="H433" i="33"/>
  <c r="C320" i="36" l="1"/>
  <c r="I319" i="36"/>
  <c r="E320" i="36"/>
  <c r="I433" i="33"/>
  <c r="C434" i="33"/>
  <c r="G434" i="33" s="1"/>
  <c r="F434" i="33" s="1"/>
  <c r="H412" i="35"/>
  <c r="C393" i="34"/>
  <c r="G393" i="34" s="1"/>
  <c r="F393" i="34" s="1"/>
  <c r="I392" i="34"/>
  <c r="E413" i="35" l="1"/>
  <c r="C413" i="35"/>
  <c r="I412" i="35"/>
  <c r="H434" i="33"/>
  <c r="H393" i="34"/>
  <c r="G320" i="36"/>
  <c r="F320" i="36" s="1"/>
  <c r="I393" i="34" l="1"/>
  <c r="C394" i="34"/>
  <c r="G394" i="34" s="1"/>
  <c r="F394" i="34" s="1"/>
  <c r="C435" i="33"/>
  <c r="G435" i="33" s="1"/>
  <c r="F435" i="33" s="1"/>
  <c r="I434" i="33"/>
  <c r="H320" i="36"/>
  <c r="G413" i="35"/>
  <c r="F413" i="35" s="1"/>
  <c r="N49" i="35"/>
  <c r="P49" i="35" l="1"/>
  <c r="H413" i="35"/>
  <c r="H435" i="33"/>
  <c r="C321" i="36"/>
  <c r="I320" i="36"/>
  <c r="E321" i="36"/>
  <c r="H394" i="34"/>
  <c r="O49" i="35"/>
  <c r="M49" i="35" l="1"/>
  <c r="E395" i="34"/>
  <c r="I394" i="34"/>
  <c r="C395" i="34"/>
  <c r="G321" i="36"/>
  <c r="F321" i="36" s="1"/>
  <c r="C436" i="33"/>
  <c r="G436" i="33" s="1"/>
  <c r="F436" i="33" s="1"/>
  <c r="H436" i="33" s="1"/>
  <c r="I435" i="33"/>
  <c r="D413" i="35"/>
  <c r="I413" i="35" s="1"/>
  <c r="C414" i="35"/>
  <c r="G414" i="35" s="1"/>
  <c r="F414" i="35" s="1"/>
  <c r="E437" i="33" l="1"/>
  <c r="C437" i="33"/>
  <c r="I436" i="33"/>
  <c r="G395" i="34"/>
  <c r="F395" i="34" s="1"/>
  <c r="H395" i="34" s="1"/>
  <c r="H414" i="35"/>
  <c r="H321" i="36"/>
  <c r="I395" i="34" l="1"/>
  <c r="C396" i="34"/>
  <c r="G396" i="34" s="1"/>
  <c r="F396" i="34" s="1"/>
  <c r="I414" i="35"/>
  <c r="C415" i="35"/>
  <c r="G415" i="35" s="1"/>
  <c r="F415" i="35" s="1"/>
  <c r="C322" i="36"/>
  <c r="I321" i="36"/>
  <c r="E322" i="36"/>
  <c r="G437" i="33"/>
  <c r="F437" i="33" s="1"/>
  <c r="N51" i="33"/>
  <c r="H437" i="33" l="1"/>
  <c r="G322" i="36"/>
  <c r="F322" i="36" s="1"/>
  <c r="H396" i="34"/>
  <c r="H415" i="35"/>
  <c r="O51" i="33"/>
  <c r="M51" i="33" l="1"/>
  <c r="P51" i="33" s="1"/>
  <c r="I415" i="35"/>
  <c r="C416" i="35"/>
  <c r="G416" i="35" s="1"/>
  <c r="F416" i="35" s="1"/>
  <c r="C438" i="33"/>
  <c r="G438" i="33" s="1"/>
  <c r="F438" i="33" s="1"/>
  <c r="D437" i="33"/>
  <c r="I437" i="33" s="1"/>
  <c r="I396" i="34"/>
  <c r="C397" i="34"/>
  <c r="G397" i="34" s="1"/>
  <c r="F397" i="34" s="1"/>
  <c r="H397" i="34" s="1"/>
  <c r="H322" i="36"/>
  <c r="E398" i="34" l="1"/>
  <c r="C398" i="34"/>
  <c r="I397" i="34"/>
  <c r="H416" i="35"/>
  <c r="H438" i="33"/>
  <c r="C323" i="36"/>
  <c r="I322" i="36"/>
  <c r="E323" i="36"/>
  <c r="I438" i="33" l="1"/>
  <c r="C439" i="33"/>
  <c r="G439" i="33" s="1"/>
  <c r="F439" i="33" s="1"/>
  <c r="G323" i="36"/>
  <c r="F323" i="36" s="1"/>
  <c r="C417" i="35"/>
  <c r="G417" i="35" s="1"/>
  <c r="F417" i="35" s="1"/>
  <c r="I416" i="35"/>
  <c r="G398" i="34"/>
  <c r="F398" i="34" s="1"/>
  <c r="H398" i="34" l="1"/>
  <c r="H417" i="35"/>
  <c r="H439" i="33"/>
  <c r="H323" i="36"/>
  <c r="C440" i="33" l="1"/>
  <c r="G440" i="33" s="1"/>
  <c r="F440" i="33" s="1"/>
  <c r="I439" i="33"/>
  <c r="I417" i="35"/>
  <c r="C418" i="35"/>
  <c r="G418" i="35" s="1"/>
  <c r="F418" i="35" s="1"/>
  <c r="C324" i="36"/>
  <c r="I323" i="36"/>
  <c r="E324" i="36"/>
  <c r="C399" i="34"/>
  <c r="G399" i="34" s="1"/>
  <c r="F399" i="34" s="1"/>
  <c r="I398" i="34"/>
  <c r="H418" i="35" l="1"/>
  <c r="H399" i="34"/>
  <c r="G324" i="36"/>
  <c r="F324" i="36" s="1"/>
  <c r="H324" i="36" s="1"/>
  <c r="H440" i="33"/>
  <c r="I324" i="36" l="1"/>
  <c r="C325" i="36"/>
  <c r="E325" i="36"/>
  <c r="C441" i="33"/>
  <c r="G441" i="33" s="1"/>
  <c r="F441" i="33" s="1"/>
  <c r="H441" i="33" s="1"/>
  <c r="I440" i="33"/>
  <c r="I399" i="34"/>
  <c r="C400" i="34"/>
  <c r="G400" i="34" s="1"/>
  <c r="F400" i="34" s="1"/>
  <c r="E419" i="35"/>
  <c r="I418" i="35"/>
  <c r="C419" i="35"/>
  <c r="C442" i="33" l="1"/>
  <c r="G442" i="33" s="1"/>
  <c r="F442" i="33" s="1"/>
  <c r="I441" i="33"/>
  <c r="G419" i="35"/>
  <c r="F419" i="35" s="1"/>
  <c r="G325" i="36"/>
  <c r="F325" i="36" s="1"/>
  <c r="H325" i="36" s="1"/>
  <c r="H400" i="34"/>
  <c r="E401" i="34" l="1"/>
  <c r="I400" i="34"/>
  <c r="C401" i="34"/>
  <c r="H419" i="35"/>
  <c r="H442" i="33"/>
  <c r="I325" i="36"/>
  <c r="C326" i="36"/>
  <c r="E326" i="36"/>
  <c r="G326" i="36" l="1"/>
  <c r="F326" i="36" s="1"/>
  <c r="H326" i="36" s="1"/>
  <c r="C443" i="33"/>
  <c r="G443" i="33" s="1"/>
  <c r="F443" i="33" s="1"/>
  <c r="I442" i="33"/>
  <c r="G401" i="34"/>
  <c r="F401" i="34" s="1"/>
  <c r="E420" i="35"/>
  <c r="I419" i="35"/>
  <c r="C420" i="35"/>
  <c r="N48" i="34"/>
  <c r="G420" i="35" l="1"/>
  <c r="F420" i="35" s="1"/>
  <c r="H420" i="35" s="1"/>
  <c r="P48" i="34"/>
  <c r="I326" i="36"/>
  <c r="C327" i="36"/>
  <c r="E327" i="36"/>
  <c r="H443" i="33"/>
  <c r="H401" i="34"/>
  <c r="O48" i="34"/>
  <c r="M48" i="34" l="1"/>
  <c r="C402" i="34"/>
  <c r="G402" i="34" s="1"/>
  <c r="F402" i="34" s="1"/>
  <c r="H402" i="34" s="1"/>
  <c r="D401" i="34"/>
  <c r="I401" i="34" s="1"/>
  <c r="C444" i="33"/>
  <c r="G444" i="33" s="1"/>
  <c r="F444" i="33" s="1"/>
  <c r="I443" i="33"/>
  <c r="G327" i="36"/>
  <c r="F327" i="36" s="1"/>
  <c r="I420" i="35"/>
  <c r="C421" i="35"/>
  <c r="G421" i="35" s="1"/>
  <c r="F421" i="35" s="1"/>
  <c r="C403" i="34" l="1"/>
  <c r="G403" i="34" s="1"/>
  <c r="F403" i="34" s="1"/>
  <c r="I402" i="34"/>
  <c r="H327" i="36"/>
  <c r="H444" i="33"/>
  <c r="H421" i="35"/>
  <c r="I444" i="33" l="1"/>
  <c r="C445" i="33"/>
  <c r="G445" i="33" s="1"/>
  <c r="F445" i="33" s="1"/>
  <c r="I421" i="35"/>
  <c r="C422" i="35"/>
  <c r="G422" i="35" s="1"/>
  <c r="F422" i="35" s="1"/>
  <c r="I327" i="36"/>
  <c r="C328" i="36"/>
  <c r="E328" i="36"/>
  <c r="H403" i="34"/>
  <c r="H422" i="35" l="1"/>
  <c r="E404" i="34"/>
  <c r="C404" i="34"/>
  <c r="I403" i="34"/>
  <c r="H445" i="33"/>
  <c r="G328" i="36"/>
  <c r="F328" i="36" s="1"/>
  <c r="H328" i="36" l="1"/>
  <c r="I445" i="33"/>
  <c r="C446" i="33"/>
  <c r="G446" i="33" s="1"/>
  <c r="F446" i="33" s="1"/>
  <c r="H446" i="33" s="1"/>
  <c r="G404" i="34"/>
  <c r="F404" i="34" s="1"/>
  <c r="C423" i="35"/>
  <c r="G423" i="35" s="1"/>
  <c r="F423" i="35" s="1"/>
  <c r="H423" i="35" s="1"/>
  <c r="I422" i="35"/>
  <c r="I423" i="35" l="1"/>
  <c r="C424" i="35"/>
  <c r="G424" i="35" s="1"/>
  <c r="F424" i="35" s="1"/>
  <c r="C447" i="33"/>
  <c r="G447" i="33" s="1"/>
  <c r="F447" i="33" s="1"/>
  <c r="I446" i="33"/>
  <c r="H404" i="34"/>
  <c r="E329" i="36"/>
  <c r="I328" i="36"/>
  <c r="C329" i="36"/>
  <c r="G329" i="36" l="1"/>
  <c r="F329" i="36" s="1"/>
  <c r="H424" i="35"/>
  <c r="C405" i="34"/>
  <c r="G405" i="34" s="1"/>
  <c r="F405" i="34" s="1"/>
  <c r="H405" i="34" s="1"/>
  <c r="I404" i="34"/>
  <c r="H447" i="33"/>
  <c r="N42" i="36"/>
  <c r="P42" i="36" l="1"/>
  <c r="E425" i="35"/>
  <c r="C425" i="35"/>
  <c r="I424" i="35"/>
  <c r="I447" i="33"/>
  <c r="C448" i="33"/>
  <c r="G448" i="33" s="1"/>
  <c r="F448" i="33" s="1"/>
  <c r="I405" i="34"/>
  <c r="C406" i="34"/>
  <c r="G406" i="34" s="1"/>
  <c r="F406" i="34" s="1"/>
  <c r="H406" i="34" s="1"/>
  <c r="H329" i="36"/>
  <c r="O42" i="36"/>
  <c r="M42" i="36" l="1"/>
  <c r="E407" i="34"/>
  <c r="C407" i="34"/>
  <c r="I406" i="34"/>
  <c r="H448" i="33"/>
  <c r="G425" i="35"/>
  <c r="F425" i="35" s="1"/>
  <c r="C330" i="36"/>
  <c r="G330" i="36" s="1"/>
  <c r="F330" i="36" s="1"/>
  <c r="D329" i="36"/>
  <c r="N50" i="35"/>
  <c r="P50" i="35" l="1"/>
  <c r="I329" i="36"/>
  <c r="E331" i="36"/>
  <c r="E449" i="33"/>
  <c r="C449" i="33"/>
  <c r="I448" i="33"/>
  <c r="G407" i="34"/>
  <c r="F407" i="34" s="1"/>
  <c r="H425" i="35"/>
  <c r="H330" i="36"/>
  <c r="O50" i="35"/>
  <c r="G449" i="33" l="1"/>
  <c r="F449" i="33" s="1"/>
  <c r="H449" i="33" s="1"/>
  <c r="M50" i="35"/>
  <c r="D425" i="35"/>
  <c r="I425" i="35" s="1"/>
  <c r="C426" i="35"/>
  <c r="G426" i="35" s="1"/>
  <c r="F426" i="35" s="1"/>
  <c r="H426" i="35" s="1"/>
  <c r="H407" i="34"/>
  <c r="C331" i="36"/>
  <c r="G331" i="36" s="1"/>
  <c r="F331" i="36" s="1"/>
  <c r="H331" i="36" s="1"/>
  <c r="I330" i="36"/>
  <c r="N52" i="33"/>
  <c r="I331" i="36" l="1"/>
  <c r="C332" i="36"/>
  <c r="E332" i="36"/>
  <c r="C427" i="35"/>
  <c r="G427" i="35" s="1"/>
  <c r="F427" i="35" s="1"/>
  <c r="I426" i="35"/>
  <c r="C408" i="34"/>
  <c r="G408" i="34" s="1"/>
  <c r="F408" i="34" s="1"/>
  <c r="I407" i="34"/>
  <c r="D449" i="33"/>
  <c r="I449" i="33" s="1"/>
  <c r="C450" i="33"/>
  <c r="G450" i="33" s="1"/>
  <c r="F450" i="33" s="1"/>
  <c r="H450" i="33" s="1"/>
  <c r="O52" i="33"/>
  <c r="M52" i="33" l="1"/>
  <c r="P52" i="33" s="1"/>
  <c r="I450" i="33"/>
  <c r="C451" i="33"/>
  <c r="G451" i="33" s="1"/>
  <c r="F451" i="33" s="1"/>
  <c r="G332" i="36"/>
  <c r="F332" i="36" s="1"/>
  <c r="H332" i="36" s="1"/>
  <c r="H408" i="34"/>
  <c r="H427" i="35"/>
  <c r="C428" i="35" l="1"/>
  <c r="G428" i="35" s="1"/>
  <c r="F428" i="35" s="1"/>
  <c r="H428" i="35" s="1"/>
  <c r="I427" i="35"/>
  <c r="C333" i="36"/>
  <c r="I332" i="36"/>
  <c r="E333" i="36"/>
  <c r="H451" i="33"/>
  <c r="I408" i="34"/>
  <c r="C409" i="34"/>
  <c r="G409" i="34" s="1"/>
  <c r="F409" i="34" s="1"/>
  <c r="I428" i="35" l="1"/>
  <c r="C429" i="35"/>
  <c r="G429" i="35" s="1"/>
  <c r="F429" i="35" s="1"/>
  <c r="G333" i="36"/>
  <c r="F333" i="36" s="1"/>
  <c r="I451" i="33"/>
  <c r="C452" i="33"/>
  <c r="G452" i="33" s="1"/>
  <c r="F452" i="33" s="1"/>
  <c r="H409" i="34"/>
  <c r="E410" i="34" l="1"/>
  <c r="I409" i="34"/>
  <c r="C410" i="34"/>
  <c r="H429" i="35"/>
  <c r="H452" i="33"/>
  <c r="H333" i="36"/>
  <c r="I452" i="33" l="1"/>
  <c r="C453" i="33"/>
  <c r="G453" i="33" s="1"/>
  <c r="F453" i="33" s="1"/>
  <c r="G410" i="34"/>
  <c r="F410" i="34" s="1"/>
  <c r="C334" i="36"/>
  <c r="I333" i="36"/>
  <c r="E334" i="36"/>
  <c r="C430" i="35"/>
  <c r="G430" i="35" s="1"/>
  <c r="F430" i="35" s="1"/>
  <c r="I429" i="35"/>
  <c r="G334" i="36" l="1"/>
  <c r="F334" i="36" s="1"/>
  <c r="H430" i="35"/>
  <c r="H410" i="34"/>
  <c r="H453" i="33"/>
  <c r="C454" i="33" l="1"/>
  <c r="G454" i="33" s="1"/>
  <c r="F454" i="33" s="1"/>
  <c r="H454" i="33" s="1"/>
  <c r="I453" i="33"/>
  <c r="E431" i="35"/>
  <c r="C431" i="35"/>
  <c r="I430" i="35"/>
  <c r="I410" i="34"/>
  <c r="C411" i="34"/>
  <c r="G411" i="34" s="1"/>
  <c r="F411" i="34" s="1"/>
  <c r="H334" i="36"/>
  <c r="G431" i="35" l="1"/>
  <c r="F431" i="35" s="1"/>
  <c r="C455" i="33"/>
  <c r="G455" i="33" s="1"/>
  <c r="F455" i="33" s="1"/>
  <c r="I454" i="33"/>
  <c r="I334" i="36"/>
  <c r="C335" i="36"/>
  <c r="E335" i="36"/>
  <c r="H411" i="34"/>
  <c r="C412" i="34" l="1"/>
  <c r="G412" i="34" s="1"/>
  <c r="F412" i="34" s="1"/>
  <c r="I411" i="34"/>
  <c r="H455" i="33"/>
  <c r="G335" i="36"/>
  <c r="F335" i="36" s="1"/>
  <c r="H431" i="35"/>
  <c r="E432" i="35" l="1"/>
  <c r="C432" i="35"/>
  <c r="I431" i="35"/>
  <c r="C456" i="33"/>
  <c r="G456" i="33" s="1"/>
  <c r="F456" i="33" s="1"/>
  <c r="I455" i="33"/>
  <c r="H335" i="36"/>
  <c r="H412" i="34"/>
  <c r="G432" i="35" l="1"/>
  <c r="F432" i="35" s="1"/>
  <c r="H432" i="35" s="1"/>
  <c r="E413" i="34"/>
  <c r="C413" i="34"/>
  <c r="I412" i="34"/>
  <c r="I335" i="36"/>
  <c r="C336" i="36"/>
  <c r="E336" i="36"/>
  <c r="H456" i="33"/>
  <c r="C433" i="35" l="1"/>
  <c r="G433" i="35" s="1"/>
  <c r="F433" i="35" s="1"/>
  <c r="H433" i="35" s="1"/>
  <c r="I432" i="35"/>
  <c r="G336" i="36"/>
  <c r="F336" i="36" s="1"/>
  <c r="C457" i="33"/>
  <c r="G457" i="33" s="1"/>
  <c r="F457" i="33" s="1"/>
  <c r="I456" i="33"/>
  <c r="G413" i="34"/>
  <c r="F413" i="34" s="1"/>
  <c r="N49" i="34"/>
  <c r="P49" i="34" l="1"/>
  <c r="H457" i="33"/>
  <c r="H413" i="34"/>
  <c r="I433" i="35"/>
  <c r="C434" i="35"/>
  <c r="G434" i="35" s="1"/>
  <c r="F434" i="35" s="1"/>
  <c r="H336" i="36"/>
  <c r="O49" i="34"/>
  <c r="M49" i="34" l="1"/>
  <c r="H434" i="35"/>
  <c r="I457" i="33"/>
  <c r="C458" i="33"/>
  <c r="G458" i="33" s="1"/>
  <c r="F458" i="33" s="1"/>
  <c r="C337" i="36"/>
  <c r="I336" i="36"/>
  <c r="E337" i="36"/>
  <c r="C414" i="34"/>
  <c r="G414" i="34" s="1"/>
  <c r="F414" i="34" s="1"/>
  <c r="D413" i="34"/>
  <c r="I413" i="34" s="1"/>
  <c r="G337" i="36" l="1"/>
  <c r="F337" i="36" s="1"/>
  <c r="H414" i="34"/>
  <c r="C435" i="35"/>
  <c r="G435" i="35" s="1"/>
  <c r="F435" i="35" s="1"/>
  <c r="I434" i="35"/>
  <c r="H458" i="33"/>
  <c r="C459" i="33" l="1"/>
  <c r="G459" i="33" s="1"/>
  <c r="F459" i="33" s="1"/>
  <c r="I458" i="33"/>
  <c r="H435" i="35"/>
  <c r="C415" i="34"/>
  <c r="G415" i="34" s="1"/>
  <c r="F415" i="34" s="1"/>
  <c r="I414" i="34"/>
  <c r="H337" i="36"/>
  <c r="H415" i="34" l="1"/>
  <c r="C338" i="36"/>
  <c r="I337" i="36"/>
  <c r="E338" i="36"/>
  <c r="C436" i="35"/>
  <c r="G436" i="35" s="1"/>
  <c r="F436" i="35" s="1"/>
  <c r="I435" i="35"/>
  <c r="H459" i="33"/>
  <c r="I459" i="33" l="1"/>
  <c r="C460" i="33"/>
  <c r="G460" i="33" s="1"/>
  <c r="F460" i="33" s="1"/>
  <c r="H460" i="33" s="1"/>
  <c r="H436" i="35"/>
  <c r="G338" i="36"/>
  <c r="F338" i="36" s="1"/>
  <c r="E416" i="34"/>
  <c r="I415" i="34"/>
  <c r="C416" i="34"/>
  <c r="G416" i="34" l="1"/>
  <c r="F416" i="34" s="1"/>
  <c r="H416" i="34" s="1"/>
  <c r="H338" i="36"/>
  <c r="E437" i="35"/>
  <c r="C437" i="35"/>
  <c r="I436" i="35"/>
  <c r="E461" i="33"/>
  <c r="C461" i="33"/>
  <c r="I460" i="33"/>
  <c r="C417" i="34" l="1"/>
  <c r="G417" i="34" s="1"/>
  <c r="F417" i="34" s="1"/>
  <c r="I416" i="34"/>
  <c r="G437" i="35"/>
  <c r="F437" i="35" s="1"/>
  <c r="C339" i="36"/>
  <c r="I338" i="36"/>
  <c r="E339" i="36"/>
  <c r="G461" i="33"/>
  <c r="F461" i="33" s="1"/>
  <c r="N53" i="33"/>
  <c r="N51" i="35"/>
  <c r="P51" i="35" l="1"/>
  <c r="H461" i="33"/>
  <c r="G339" i="36"/>
  <c r="F339" i="36" s="1"/>
  <c r="H339" i="36" s="1"/>
  <c r="H437" i="35"/>
  <c r="H417" i="34"/>
  <c r="O53" i="33"/>
  <c r="O51" i="35"/>
  <c r="M51" i="35" l="1"/>
  <c r="M53" i="33"/>
  <c r="P53" i="33" s="1"/>
  <c r="I339" i="36"/>
  <c r="C340" i="36"/>
  <c r="E340" i="36"/>
  <c r="D461" i="33"/>
  <c r="I461" i="33" s="1"/>
  <c r="C462" i="33"/>
  <c r="G462" i="33" s="1"/>
  <c r="F462" i="33" s="1"/>
  <c r="H462" i="33" s="1"/>
  <c r="C418" i="34"/>
  <c r="G418" i="34" s="1"/>
  <c r="F418" i="34" s="1"/>
  <c r="H418" i="34" s="1"/>
  <c r="I417" i="34"/>
  <c r="D437" i="35"/>
  <c r="I437" i="35" s="1"/>
  <c r="C438" i="35"/>
  <c r="G438" i="35" s="1"/>
  <c r="F438" i="35" s="1"/>
  <c r="H438" i="35" s="1"/>
  <c r="C439" i="35" l="1"/>
  <c r="G439" i="35" s="1"/>
  <c r="F439" i="35" s="1"/>
  <c r="I438" i="35"/>
  <c r="I462" i="33"/>
  <c r="C463" i="33"/>
  <c r="G463" i="33" s="1"/>
  <c r="F463" i="33" s="1"/>
  <c r="G340" i="36"/>
  <c r="F340" i="36" s="1"/>
  <c r="E419" i="34"/>
  <c r="C419" i="34"/>
  <c r="I418" i="34"/>
  <c r="H463" i="33" l="1"/>
  <c r="H340" i="36"/>
  <c r="G419" i="34"/>
  <c r="F419" i="34" s="1"/>
  <c r="H439" i="35"/>
  <c r="H419" i="34" l="1"/>
  <c r="I439" i="35"/>
  <c r="C440" i="35"/>
  <c r="G440" i="35" s="1"/>
  <c r="F440" i="35" s="1"/>
  <c r="E341" i="36"/>
  <c r="I340" i="36"/>
  <c r="C341" i="36"/>
  <c r="I463" i="33"/>
  <c r="C464" i="33"/>
  <c r="G464" i="33" s="1"/>
  <c r="F464" i="33" s="1"/>
  <c r="H440" i="35" l="1"/>
  <c r="H464" i="33"/>
  <c r="G341" i="36"/>
  <c r="F341" i="36" s="1"/>
  <c r="C420" i="34"/>
  <c r="G420" i="34" s="1"/>
  <c r="F420" i="34" s="1"/>
  <c r="H420" i="34" s="1"/>
  <c r="I419" i="34"/>
  <c r="N43" i="36"/>
  <c r="P43" i="36" l="1"/>
  <c r="I420" i="34"/>
  <c r="C421" i="34"/>
  <c r="G421" i="34" s="1"/>
  <c r="F421" i="34" s="1"/>
  <c r="I464" i="33"/>
  <c r="C465" i="33"/>
  <c r="G465" i="33" s="1"/>
  <c r="F465" i="33" s="1"/>
  <c r="H341" i="36"/>
  <c r="I440" i="35"/>
  <c r="C441" i="35"/>
  <c r="G441" i="35" s="1"/>
  <c r="F441" i="35" s="1"/>
  <c r="O43" i="36"/>
  <c r="M43" i="36" l="1"/>
  <c r="C342" i="36"/>
  <c r="G342" i="36" s="1"/>
  <c r="F342" i="36" s="1"/>
  <c r="H342" i="36" s="1"/>
  <c r="D341" i="36"/>
  <c r="H421" i="34"/>
  <c r="H441" i="35"/>
  <c r="H465" i="33"/>
  <c r="C343" i="36" l="1"/>
  <c r="I342" i="36"/>
  <c r="I441" i="35"/>
  <c r="C442" i="35"/>
  <c r="G442" i="35" s="1"/>
  <c r="F442" i="35" s="1"/>
  <c r="I465" i="33"/>
  <c r="C466" i="33"/>
  <c r="G466" i="33" s="1"/>
  <c r="F466" i="33" s="1"/>
  <c r="E422" i="34"/>
  <c r="C422" i="34"/>
  <c r="I421" i="34"/>
  <c r="I341" i="36"/>
  <c r="E343" i="36"/>
  <c r="G343" i="36" l="1"/>
  <c r="F343" i="36" s="1"/>
  <c r="H343" i="36" s="1"/>
  <c r="G422" i="34"/>
  <c r="F422" i="34" s="1"/>
  <c r="H466" i="33"/>
  <c r="H442" i="35"/>
  <c r="C467" i="33" l="1"/>
  <c r="G467" i="33" s="1"/>
  <c r="F467" i="33" s="1"/>
  <c r="I466" i="33"/>
  <c r="C344" i="36"/>
  <c r="I343" i="36"/>
  <c r="E344" i="36"/>
  <c r="E443" i="35"/>
  <c r="I442" i="35"/>
  <c r="C443" i="35"/>
  <c r="H422" i="34"/>
  <c r="C423" i="34" l="1"/>
  <c r="G423" i="34" s="1"/>
  <c r="F423" i="34" s="1"/>
  <c r="I422" i="34"/>
  <c r="G443" i="35"/>
  <c r="F443" i="35" s="1"/>
  <c r="H467" i="33"/>
  <c r="G344" i="36"/>
  <c r="F344" i="36" s="1"/>
  <c r="H344" i="36" s="1"/>
  <c r="C345" i="36" l="1"/>
  <c r="I344" i="36"/>
  <c r="E345" i="36"/>
  <c r="H443" i="35"/>
  <c r="C468" i="33"/>
  <c r="G468" i="33" s="1"/>
  <c r="F468" i="33" s="1"/>
  <c r="I467" i="33"/>
  <c r="H423" i="34"/>
  <c r="C424" i="34" l="1"/>
  <c r="G424" i="34" s="1"/>
  <c r="F424" i="34" s="1"/>
  <c r="H424" i="34" s="1"/>
  <c r="I423" i="34"/>
  <c r="G345" i="36"/>
  <c r="F345" i="36" s="1"/>
  <c r="H468" i="33"/>
  <c r="E444" i="35"/>
  <c r="I443" i="35"/>
  <c r="C444" i="35"/>
  <c r="G444" i="35" l="1"/>
  <c r="F444" i="35" s="1"/>
  <c r="H444" i="35" s="1"/>
  <c r="C445" i="35" s="1"/>
  <c r="G445" i="35" s="1"/>
  <c r="F445" i="35" s="1"/>
  <c r="H345" i="36"/>
  <c r="I468" i="33"/>
  <c r="C469" i="33"/>
  <c r="G469" i="33" s="1"/>
  <c r="F469" i="33" s="1"/>
  <c r="E425" i="34"/>
  <c r="I424" i="34"/>
  <c r="C425" i="34"/>
  <c r="I444" i="35" l="1"/>
  <c r="G425" i="34"/>
  <c r="F425" i="34" s="1"/>
  <c r="I345" i="36"/>
  <c r="C346" i="36"/>
  <c r="E346" i="36"/>
  <c r="H469" i="33"/>
  <c r="H445" i="35"/>
  <c r="N50" i="34"/>
  <c r="P50" i="34" l="1"/>
  <c r="I445" i="35"/>
  <c r="C446" i="35"/>
  <c r="G446" i="35" s="1"/>
  <c r="F446" i="35" s="1"/>
  <c r="H446" i="35" s="1"/>
  <c r="G346" i="36"/>
  <c r="F346" i="36" s="1"/>
  <c r="C470" i="33"/>
  <c r="G470" i="33" s="1"/>
  <c r="F470" i="33" s="1"/>
  <c r="I469" i="33"/>
  <c r="H425" i="34"/>
  <c r="O50" i="34"/>
  <c r="M50" i="34" l="1"/>
  <c r="I446" i="35"/>
  <c r="C447" i="35"/>
  <c r="G447" i="35" s="1"/>
  <c r="F447" i="35" s="1"/>
  <c r="H470" i="33"/>
  <c r="H346" i="36"/>
  <c r="C426" i="34"/>
  <c r="G426" i="34" s="1"/>
  <c r="F426" i="34" s="1"/>
  <c r="H426" i="34" s="1"/>
  <c r="D425" i="34"/>
  <c r="I426" i="34" l="1"/>
  <c r="C427" i="34"/>
  <c r="G427" i="34" s="1"/>
  <c r="F427" i="34" s="1"/>
  <c r="I425" i="34"/>
  <c r="C471" i="33"/>
  <c r="G471" i="33" s="1"/>
  <c r="F471" i="33" s="1"/>
  <c r="I470" i="33"/>
  <c r="H447" i="35"/>
  <c r="I346" i="36"/>
  <c r="C347" i="36"/>
  <c r="E347" i="36"/>
  <c r="C448" i="35" l="1"/>
  <c r="G448" i="35" s="1"/>
  <c r="F448" i="35" s="1"/>
  <c r="I447" i="35"/>
  <c r="H471" i="33"/>
  <c r="H427" i="34"/>
  <c r="G347" i="36"/>
  <c r="F347" i="36" s="1"/>
  <c r="H347" i="36" s="1"/>
  <c r="C348" i="36" l="1"/>
  <c r="I347" i="36"/>
  <c r="E348" i="36"/>
  <c r="C472" i="33"/>
  <c r="G472" i="33" s="1"/>
  <c r="F472" i="33" s="1"/>
  <c r="I471" i="33"/>
  <c r="E428" i="34"/>
  <c r="I427" i="34"/>
  <c r="C428" i="34"/>
  <c r="H448" i="35"/>
  <c r="G428" i="34" l="1"/>
  <c r="F428" i="34" s="1"/>
  <c r="H472" i="33"/>
  <c r="E449" i="35"/>
  <c r="C449" i="35"/>
  <c r="I448" i="35"/>
  <c r="G348" i="36"/>
  <c r="F348" i="36" s="1"/>
  <c r="H428" i="34" l="1"/>
  <c r="G449" i="35"/>
  <c r="F449" i="35" s="1"/>
  <c r="E473" i="33"/>
  <c r="I472" i="33"/>
  <c r="C473" i="33"/>
  <c r="H348" i="36"/>
  <c r="N52" i="35"/>
  <c r="P52" i="35" l="1"/>
  <c r="C349" i="36"/>
  <c r="I348" i="36"/>
  <c r="E349" i="36"/>
  <c r="G473" i="33"/>
  <c r="F473" i="33" s="1"/>
  <c r="H449" i="35"/>
  <c r="C429" i="34"/>
  <c r="G429" i="34" s="1"/>
  <c r="F429" i="34" s="1"/>
  <c r="H429" i="34" s="1"/>
  <c r="I428" i="34"/>
  <c r="O52" i="35"/>
  <c r="N54" i="33"/>
  <c r="M52" i="35" l="1"/>
  <c r="D449" i="35"/>
  <c r="I449" i="35" s="1"/>
  <c r="C450" i="35"/>
  <c r="G450" i="35" s="1"/>
  <c r="F450" i="35" s="1"/>
  <c r="G349" i="36"/>
  <c r="F349" i="36" s="1"/>
  <c r="H349" i="36" s="1"/>
  <c r="C430" i="34"/>
  <c r="G430" i="34" s="1"/>
  <c r="F430" i="34" s="1"/>
  <c r="I429" i="34"/>
  <c r="H473" i="33"/>
  <c r="O54" i="33"/>
  <c r="M54" i="33" l="1"/>
  <c r="P54" i="33" s="1"/>
  <c r="I349" i="36"/>
  <c r="C350" i="36"/>
  <c r="E350" i="36"/>
  <c r="C474" i="33"/>
  <c r="G474" i="33" s="1"/>
  <c r="F474" i="33" s="1"/>
  <c r="D473" i="33"/>
  <c r="I473" i="33" s="1"/>
  <c r="H450" i="35"/>
  <c r="H430" i="34"/>
  <c r="E431" i="34" l="1"/>
  <c r="I430" i="34"/>
  <c r="C431" i="34"/>
  <c r="I450" i="35"/>
  <c r="C451" i="35"/>
  <c r="G451" i="35" s="1"/>
  <c r="F451" i="35" s="1"/>
  <c r="G350" i="36"/>
  <c r="F350" i="36" s="1"/>
  <c r="H474" i="33"/>
  <c r="H451" i="35" l="1"/>
  <c r="G431" i="34"/>
  <c r="F431" i="34" s="1"/>
  <c r="H350" i="36"/>
  <c r="C475" i="33"/>
  <c r="G475" i="33" s="1"/>
  <c r="F475" i="33" s="1"/>
  <c r="I474" i="33"/>
  <c r="H431" i="34" l="1"/>
  <c r="H475" i="33"/>
  <c r="C351" i="36"/>
  <c r="I350" i="36"/>
  <c r="E351" i="36"/>
  <c r="C452" i="35"/>
  <c r="G452" i="35" s="1"/>
  <c r="F452" i="35" s="1"/>
  <c r="I451" i="35"/>
  <c r="H452" i="35" l="1"/>
  <c r="C476" i="33"/>
  <c r="G476" i="33" s="1"/>
  <c r="F476" i="33" s="1"/>
  <c r="I475" i="33"/>
  <c r="G351" i="36"/>
  <c r="F351" i="36" s="1"/>
  <c r="C432" i="34"/>
  <c r="G432" i="34" s="1"/>
  <c r="F432" i="34" s="1"/>
  <c r="I431" i="34"/>
  <c r="H432" i="34" l="1"/>
  <c r="H476" i="33"/>
  <c r="I452" i="35"/>
  <c r="C453" i="35"/>
  <c r="G453" i="35" s="1"/>
  <c r="F453" i="35" s="1"/>
  <c r="H453" i="35" s="1"/>
  <c r="H351" i="36"/>
  <c r="I453" i="35" l="1"/>
  <c r="C454" i="35"/>
  <c r="G454" i="35" s="1"/>
  <c r="F454" i="35" s="1"/>
  <c r="C352" i="36"/>
  <c r="I351" i="36"/>
  <c r="E352" i="36"/>
  <c r="C477" i="33"/>
  <c r="G477" i="33" s="1"/>
  <c r="F477" i="33" s="1"/>
  <c r="I476" i="33"/>
  <c r="I432" i="34"/>
  <c r="C433" i="34"/>
  <c r="G433" i="34" s="1"/>
  <c r="F433" i="34" s="1"/>
  <c r="H477" i="33" l="1"/>
  <c r="G352" i="36"/>
  <c r="F352" i="36" s="1"/>
  <c r="H352" i="36" s="1"/>
  <c r="H454" i="35"/>
  <c r="H433" i="34"/>
  <c r="E353" i="36" l="1"/>
  <c r="C353" i="36"/>
  <c r="I352" i="36"/>
  <c r="E434" i="34"/>
  <c r="C434" i="34"/>
  <c r="I433" i="34"/>
  <c r="E455" i="35"/>
  <c r="I454" i="35"/>
  <c r="C455" i="35"/>
  <c r="I477" i="33"/>
  <c r="C478" i="33"/>
  <c r="G478" i="33" s="1"/>
  <c r="F478" i="33" s="1"/>
  <c r="G455" i="35" l="1"/>
  <c r="F455" i="35" s="1"/>
  <c r="G434" i="34"/>
  <c r="F434" i="34" s="1"/>
  <c r="H478" i="33"/>
  <c r="G353" i="36"/>
  <c r="F353" i="36" s="1"/>
  <c r="N44" i="36"/>
  <c r="P44" i="36" l="1"/>
  <c r="H353" i="36"/>
  <c r="C479" i="33"/>
  <c r="G479" i="33" s="1"/>
  <c r="F479" i="33" s="1"/>
  <c r="I478" i="33"/>
  <c r="H434" i="34"/>
  <c r="H455" i="35"/>
  <c r="O44" i="36"/>
  <c r="M44" i="36" l="1"/>
  <c r="E456" i="35"/>
  <c r="C456" i="35"/>
  <c r="I455" i="35"/>
  <c r="H479" i="33"/>
  <c r="I434" i="34"/>
  <c r="C435" i="34"/>
  <c r="G435" i="34" s="1"/>
  <c r="F435" i="34" s="1"/>
  <c r="D353" i="36"/>
  <c r="C354" i="36"/>
  <c r="G354" i="36" s="1"/>
  <c r="F354" i="36" s="1"/>
  <c r="G456" i="35" l="1"/>
  <c r="F456" i="35" s="1"/>
  <c r="H456" i="35" s="1"/>
  <c r="C457" i="35" s="1"/>
  <c r="G457" i="35" s="1"/>
  <c r="F457" i="35" s="1"/>
  <c r="C480" i="33"/>
  <c r="G480" i="33" s="1"/>
  <c r="F480" i="33" s="1"/>
  <c r="H480" i="33" s="1"/>
  <c r="I479" i="33"/>
  <c r="H354" i="36"/>
  <c r="I353" i="36"/>
  <c r="E355" i="36"/>
  <c r="H435" i="34"/>
  <c r="I456" i="35" l="1"/>
  <c r="I354" i="36"/>
  <c r="C355" i="36"/>
  <c r="G355" i="36" s="1"/>
  <c r="F355" i="36" s="1"/>
  <c r="H355" i="36" s="1"/>
  <c r="H457" i="35"/>
  <c r="C481" i="33"/>
  <c r="G481" i="33" s="1"/>
  <c r="F481" i="33" s="1"/>
  <c r="I480" i="33"/>
  <c r="I435" i="34"/>
  <c r="C436" i="34"/>
  <c r="G436" i="34" s="1"/>
  <c r="F436" i="34" s="1"/>
  <c r="H436" i="34" s="1"/>
  <c r="I355" i="36" l="1"/>
  <c r="C356" i="36"/>
  <c r="E356" i="36"/>
  <c r="C458" i="35"/>
  <c r="G458" i="35" s="1"/>
  <c r="F458" i="35" s="1"/>
  <c r="I457" i="35"/>
  <c r="H481" i="33"/>
  <c r="E437" i="34"/>
  <c r="C437" i="34"/>
  <c r="I436" i="34"/>
  <c r="C482" i="33" l="1"/>
  <c r="G482" i="33" s="1"/>
  <c r="F482" i="33" s="1"/>
  <c r="I481" i="33"/>
  <c r="G437" i="34"/>
  <c r="F437" i="34" s="1"/>
  <c r="H458" i="35"/>
  <c r="G356" i="36"/>
  <c r="F356" i="36" s="1"/>
  <c r="H356" i="36" s="1"/>
  <c r="N51" i="34"/>
  <c r="P51" i="34" l="1"/>
  <c r="C357" i="36"/>
  <c r="I356" i="36"/>
  <c r="E357" i="36"/>
  <c r="C459" i="35"/>
  <c r="G459" i="35" s="1"/>
  <c r="F459" i="35" s="1"/>
  <c r="I458" i="35"/>
  <c r="H437" i="34"/>
  <c r="H482" i="33"/>
  <c r="O51" i="34"/>
  <c r="M51" i="34" l="1"/>
  <c r="G357" i="36"/>
  <c r="F357" i="36" s="1"/>
  <c r="H357" i="36" s="1"/>
  <c r="C483" i="33"/>
  <c r="G483" i="33" s="1"/>
  <c r="F483" i="33" s="1"/>
  <c r="I482" i="33"/>
  <c r="C438" i="34"/>
  <c r="G438" i="34" s="1"/>
  <c r="F438" i="34" s="1"/>
  <c r="D437" i="34"/>
  <c r="I437" i="34" s="1"/>
  <c r="H459" i="35"/>
  <c r="I357" i="36" l="1"/>
  <c r="C358" i="36"/>
  <c r="E358" i="36"/>
  <c r="H438" i="34"/>
  <c r="H483" i="33"/>
  <c r="C460" i="35"/>
  <c r="G460" i="35" s="1"/>
  <c r="F460" i="35" s="1"/>
  <c r="I459" i="35"/>
  <c r="H460" i="35" l="1"/>
  <c r="C439" i="34"/>
  <c r="G439" i="34" s="1"/>
  <c r="F439" i="34" s="1"/>
  <c r="I438" i="34"/>
  <c r="C484" i="33"/>
  <c r="G484" i="33" s="1"/>
  <c r="F484" i="33" s="1"/>
  <c r="I483" i="33"/>
  <c r="G358" i="36"/>
  <c r="F358" i="36" s="1"/>
  <c r="H439" i="34" l="1"/>
  <c r="H358" i="36"/>
  <c r="H484" i="33"/>
  <c r="E461" i="35"/>
  <c r="I460" i="35"/>
  <c r="C461" i="35"/>
  <c r="G461" i="35" l="1"/>
  <c r="F461" i="35" s="1"/>
  <c r="E485" i="33"/>
  <c r="I484" i="33"/>
  <c r="C485" i="33"/>
  <c r="C359" i="36"/>
  <c r="I358" i="36"/>
  <c r="E359" i="36"/>
  <c r="E440" i="34"/>
  <c r="I439" i="34"/>
  <c r="C440" i="34"/>
  <c r="N53" i="35"/>
  <c r="P53" i="35" l="1"/>
  <c r="G359" i="36"/>
  <c r="F359" i="36" s="1"/>
  <c r="H359" i="36" s="1"/>
  <c r="G485" i="33"/>
  <c r="F485" i="33" s="1"/>
  <c r="H485" i="33" s="1"/>
  <c r="G440" i="34"/>
  <c r="F440" i="34" s="1"/>
  <c r="H440" i="34" s="1"/>
  <c r="H461" i="35"/>
  <c r="N55" i="33"/>
  <c r="O53" i="35"/>
  <c r="M53" i="35" l="1"/>
  <c r="C486" i="33"/>
  <c r="D485" i="33"/>
  <c r="E441" i="34"/>
  <c r="I440" i="34"/>
  <c r="C441" i="34"/>
  <c r="C360" i="36"/>
  <c r="I359" i="36"/>
  <c r="E360" i="36"/>
  <c r="D461" i="35"/>
  <c r="I461" i="35" s="1"/>
  <c r="C462" i="35"/>
  <c r="G462" i="35" s="1"/>
  <c r="F462" i="35" s="1"/>
  <c r="H462" i="35" s="1"/>
  <c r="O55" i="33"/>
  <c r="G441" i="34" l="1"/>
  <c r="F441" i="34" s="1"/>
  <c r="H441" i="34" s="1"/>
  <c r="C442" i="34" s="1"/>
  <c r="G442" i="34" s="1"/>
  <c r="F442" i="34" s="1"/>
  <c r="H442" i="34" s="1"/>
  <c r="M55" i="33"/>
  <c r="P55" i="33" s="1"/>
  <c r="I462" i="35"/>
  <c r="C463" i="35"/>
  <c r="G463" i="35" s="1"/>
  <c r="F463" i="35" s="1"/>
  <c r="E486" i="33"/>
  <c r="I485" i="33"/>
  <c r="G360" i="36"/>
  <c r="F360" i="36" s="1"/>
  <c r="I441" i="34" l="1"/>
  <c r="G486" i="33"/>
  <c r="F486" i="33" s="1"/>
  <c r="H486" i="33" s="1"/>
  <c r="E443" i="34"/>
  <c r="C443" i="34"/>
  <c r="I442" i="34"/>
  <c r="H360" i="36"/>
  <c r="H463" i="35"/>
  <c r="C487" i="33" l="1"/>
  <c r="G487" i="33" s="1"/>
  <c r="F487" i="33" s="1"/>
  <c r="H487" i="33" s="1"/>
  <c r="I486" i="33"/>
  <c r="I463" i="35"/>
  <c r="C464" i="35"/>
  <c r="G464" i="35" s="1"/>
  <c r="F464" i="35" s="1"/>
  <c r="I360" i="36"/>
  <c r="C361" i="36"/>
  <c r="E361" i="36"/>
  <c r="G443" i="34"/>
  <c r="F443" i="34" s="1"/>
  <c r="C488" i="33" l="1"/>
  <c r="G488" i="33" s="1"/>
  <c r="F488" i="33" s="1"/>
  <c r="H488" i="33" s="1"/>
  <c r="I487" i="33"/>
  <c r="H464" i="35"/>
  <c r="G361" i="36"/>
  <c r="F361" i="36" s="1"/>
  <c r="H443" i="34"/>
  <c r="C465" i="35" l="1"/>
  <c r="G465" i="35" s="1"/>
  <c r="F465" i="35" s="1"/>
  <c r="I464" i="35"/>
  <c r="E444" i="34"/>
  <c r="C444" i="34"/>
  <c r="I443" i="34"/>
  <c r="C489" i="33"/>
  <c r="G489" i="33" s="1"/>
  <c r="F489" i="33" s="1"/>
  <c r="I488" i="33"/>
  <c r="H361" i="36"/>
  <c r="G444" i="34" l="1"/>
  <c r="F444" i="34" s="1"/>
  <c r="H444" i="34" s="1"/>
  <c r="C445" i="34" s="1"/>
  <c r="G445" i="34" s="1"/>
  <c r="F445" i="34" s="1"/>
  <c r="H489" i="33"/>
  <c r="H465" i="35"/>
  <c r="C362" i="36"/>
  <c r="I361" i="36"/>
  <c r="E362" i="36"/>
  <c r="I444" i="34" l="1"/>
  <c r="H445" i="34"/>
  <c r="G362" i="36"/>
  <c r="F362" i="36" s="1"/>
  <c r="H362" i="36" s="1"/>
  <c r="C490" i="33"/>
  <c r="G490" i="33" s="1"/>
  <c r="F490" i="33" s="1"/>
  <c r="I489" i="33"/>
  <c r="C466" i="35"/>
  <c r="G466" i="35" s="1"/>
  <c r="F466" i="35" s="1"/>
  <c r="I465" i="35"/>
  <c r="I362" i="36" l="1"/>
  <c r="C363" i="36"/>
  <c r="E363" i="36"/>
  <c r="E446" i="34"/>
  <c r="I445" i="34"/>
  <c r="C446" i="34"/>
  <c r="H490" i="33"/>
  <c r="H466" i="35"/>
  <c r="I490" i="33" l="1"/>
  <c r="C491" i="33"/>
  <c r="G491" i="33" s="1"/>
  <c r="F491" i="33" s="1"/>
  <c r="E467" i="35"/>
  <c r="C467" i="35"/>
  <c r="I466" i="35"/>
  <c r="G446" i="34"/>
  <c r="F446" i="34" s="1"/>
  <c r="G363" i="36"/>
  <c r="F363" i="36" s="1"/>
  <c r="H446" i="34" l="1"/>
  <c r="G467" i="35"/>
  <c r="F467" i="35" s="1"/>
  <c r="H467" i="35" s="1"/>
  <c r="H363" i="36"/>
  <c r="H491" i="33"/>
  <c r="E468" i="35" l="1"/>
  <c r="I467" i="35"/>
  <c r="C468" i="35"/>
  <c r="E447" i="34"/>
  <c r="I446" i="34"/>
  <c r="C447" i="34"/>
  <c r="C364" i="36"/>
  <c r="I363" i="36"/>
  <c r="E364" i="36"/>
  <c r="I491" i="33"/>
  <c r="C492" i="33"/>
  <c r="G492" i="33" s="1"/>
  <c r="F492" i="33" s="1"/>
  <c r="G447" i="34" l="1"/>
  <c r="F447" i="34" s="1"/>
  <c r="H447" i="34" s="1"/>
  <c r="G468" i="35"/>
  <c r="F468" i="35" s="1"/>
  <c r="H468" i="35" s="1"/>
  <c r="C469" i="35" s="1"/>
  <c r="G469" i="35" s="1"/>
  <c r="F469" i="35" s="1"/>
  <c r="G364" i="36"/>
  <c r="F364" i="36" s="1"/>
  <c r="H364" i="36" s="1"/>
  <c r="H492" i="33"/>
  <c r="I468" i="35" l="1"/>
  <c r="E365" i="36"/>
  <c r="C365" i="36"/>
  <c r="I364" i="36"/>
  <c r="C493" i="33"/>
  <c r="G493" i="33" s="1"/>
  <c r="F493" i="33" s="1"/>
  <c r="I492" i="33"/>
  <c r="H469" i="35"/>
  <c r="C448" i="34"/>
  <c r="G448" i="34" s="1"/>
  <c r="F448" i="34" s="1"/>
  <c r="I447" i="34"/>
  <c r="C470" i="35" l="1"/>
  <c r="G470" i="35" s="1"/>
  <c r="F470" i="35" s="1"/>
  <c r="I469" i="35"/>
  <c r="H448" i="34"/>
  <c r="H493" i="33"/>
  <c r="G365" i="36"/>
  <c r="F365" i="36" s="1"/>
  <c r="N45" i="36"/>
  <c r="P45" i="36" l="1"/>
  <c r="E449" i="34"/>
  <c r="I448" i="34"/>
  <c r="C449" i="34"/>
  <c r="C494" i="33"/>
  <c r="G494" i="33" s="1"/>
  <c r="F494" i="33" s="1"/>
  <c r="I493" i="33"/>
  <c r="H365" i="36"/>
  <c r="H470" i="35"/>
  <c r="O45" i="36"/>
  <c r="M45" i="36" l="1"/>
  <c r="G449" i="34"/>
  <c r="F449" i="34" s="1"/>
  <c r="H494" i="33"/>
  <c r="C471" i="35"/>
  <c r="G471" i="35" s="1"/>
  <c r="F471" i="35" s="1"/>
  <c r="I470" i="35"/>
  <c r="C366" i="36"/>
  <c r="G366" i="36" s="1"/>
  <c r="F366" i="36" s="1"/>
  <c r="H366" i="36" s="1"/>
  <c r="D365" i="36"/>
  <c r="N52" i="34"/>
  <c r="P52" i="34" l="1"/>
  <c r="C367" i="36"/>
  <c r="I366" i="36"/>
  <c r="I365" i="36"/>
  <c r="E367" i="36"/>
  <c r="H471" i="35"/>
  <c r="C495" i="33"/>
  <c r="G495" i="33" s="1"/>
  <c r="F495" i="33" s="1"/>
  <c r="I494" i="33"/>
  <c r="H449" i="34"/>
  <c r="O52" i="34"/>
  <c r="M52" i="34" l="1"/>
  <c r="G367" i="36"/>
  <c r="F367" i="36" s="1"/>
  <c r="H367" i="36" s="1"/>
  <c r="C450" i="34"/>
  <c r="G450" i="34" s="1"/>
  <c r="F450" i="34" s="1"/>
  <c r="D449" i="34"/>
  <c r="I449" i="34" s="1"/>
  <c r="H495" i="33"/>
  <c r="C472" i="35"/>
  <c r="G472" i="35" s="1"/>
  <c r="F472" i="35" s="1"/>
  <c r="I471" i="35"/>
  <c r="C368" i="36" l="1"/>
  <c r="I367" i="36"/>
  <c r="E368" i="36"/>
  <c r="C496" i="33"/>
  <c r="G496" i="33" s="1"/>
  <c r="F496" i="33" s="1"/>
  <c r="I495" i="33"/>
  <c r="H472" i="35"/>
  <c r="H450" i="34"/>
  <c r="C451" i="34" l="1"/>
  <c r="G451" i="34" s="1"/>
  <c r="F451" i="34" s="1"/>
  <c r="I450" i="34"/>
  <c r="H496" i="33"/>
  <c r="E473" i="35"/>
  <c r="C473" i="35"/>
  <c r="I472" i="35"/>
  <c r="G368" i="36"/>
  <c r="F368" i="36" s="1"/>
  <c r="E497" i="33" l="1"/>
  <c r="C497" i="33"/>
  <c r="I496" i="33"/>
  <c r="G473" i="35"/>
  <c r="F473" i="35" s="1"/>
  <c r="H368" i="36"/>
  <c r="H451" i="34"/>
  <c r="N54" i="35"/>
  <c r="P54" i="35" l="1"/>
  <c r="E452" i="34"/>
  <c r="C452" i="34"/>
  <c r="I451" i="34"/>
  <c r="I368" i="36"/>
  <c r="C369" i="36"/>
  <c r="E369" i="36"/>
  <c r="H473" i="35"/>
  <c r="G497" i="33"/>
  <c r="F497" i="33" s="1"/>
  <c r="O54" i="35"/>
  <c r="N56" i="33"/>
  <c r="M54" i="35" l="1"/>
  <c r="H497" i="33"/>
  <c r="D497" i="33" s="1"/>
  <c r="I497" i="33" s="1"/>
  <c r="H498" i="33" s="1" a="1"/>
  <c r="H498" i="33" s="1"/>
  <c r="G369" i="36"/>
  <c r="F369" i="36" s="1"/>
  <c r="G452" i="34"/>
  <c r="F452" i="34" s="1"/>
  <c r="D473" i="35"/>
  <c r="I473" i="35" s="1"/>
  <c r="C474" i="35"/>
  <c r="G474" i="35" s="1"/>
  <c r="F474" i="35" s="1"/>
  <c r="O56" i="33"/>
  <c r="M56" i="33" l="1"/>
  <c r="H452" i="34"/>
  <c r="H474" i="35"/>
  <c r="H369" i="36"/>
  <c r="C475" i="35" l="1"/>
  <c r="G475" i="35" s="1"/>
  <c r="F475" i="35" s="1"/>
  <c r="H475" i="35" s="1"/>
  <c r="I474" i="35"/>
  <c r="C370" i="36"/>
  <c r="I369" i="36"/>
  <c r="E370" i="36"/>
  <c r="E453" i="34"/>
  <c r="I452" i="34"/>
  <c r="C453" i="34"/>
  <c r="P56" i="33"/>
  <c r="M15" i="33"/>
  <c r="D11" i="33" s="1"/>
  <c r="G453" i="34" l="1"/>
  <c r="F453" i="34" s="1"/>
  <c r="H453" i="34" s="1"/>
  <c r="C476" i="35"/>
  <c r="G476" i="35" s="1"/>
  <c r="F476" i="35" s="1"/>
  <c r="I475" i="35"/>
  <c r="G370" i="36"/>
  <c r="F370" i="36" s="1"/>
  <c r="I453" i="34" l="1"/>
  <c r="C454" i="34"/>
  <c r="G454" i="34" s="1"/>
  <c r="F454" i="34" s="1"/>
  <c r="H370" i="36"/>
  <c r="H476" i="35"/>
  <c r="I476" i="35" l="1"/>
  <c r="C477" i="35"/>
  <c r="G477" i="35" s="1"/>
  <c r="F477" i="35" s="1"/>
  <c r="H454" i="34"/>
  <c r="C371" i="36"/>
  <c r="I370" i="36"/>
  <c r="E371" i="36"/>
  <c r="G371" i="36" l="1"/>
  <c r="F371" i="36" s="1"/>
  <c r="H371" i="36" s="1"/>
  <c r="E455" i="34"/>
  <c r="C455" i="34"/>
  <c r="I454" i="34"/>
  <c r="H477" i="35"/>
  <c r="C478" i="35" l="1"/>
  <c r="G478" i="35" s="1"/>
  <c r="F478" i="35" s="1"/>
  <c r="I477" i="35"/>
  <c r="G455" i="34"/>
  <c r="F455" i="34" s="1"/>
  <c r="C372" i="36"/>
  <c r="I371" i="36"/>
  <c r="E372" i="36"/>
  <c r="G372" i="36" l="1"/>
  <c r="F372" i="36" s="1"/>
  <c r="H372" i="36" s="1"/>
  <c r="H455" i="34"/>
  <c r="H478" i="35"/>
  <c r="C373" i="36" l="1"/>
  <c r="I372" i="36"/>
  <c r="E373" i="36"/>
  <c r="E479" i="35"/>
  <c r="C479" i="35"/>
  <c r="I478" i="35"/>
  <c r="E456" i="34"/>
  <c r="C456" i="34"/>
  <c r="I455" i="34"/>
  <c r="G456" i="34" l="1"/>
  <c r="F456" i="34" s="1"/>
  <c r="H456" i="34" s="1"/>
  <c r="G479" i="35"/>
  <c r="F479" i="35" s="1"/>
  <c r="G373" i="36"/>
  <c r="F373" i="36" s="1"/>
  <c r="I456" i="34" l="1"/>
  <c r="C457" i="34"/>
  <c r="G457" i="34" s="1"/>
  <c r="F457" i="34" s="1"/>
  <c r="H479" i="35"/>
  <c r="H373" i="36"/>
  <c r="C374" i="36" l="1"/>
  <c r="I373" i="36"/>
  <c r="E374" i="36"/>
  <c r="H457" i="34"/>
  <c r="E480" i="35"/>
  <c r="C480" i="35"/>
  <c r="I479" i="35"/>
  <c r="G480" i="35" l="1"/>
  <c r="F480" i="35" s="1"/>
  <c r="H480" i="35" s="1"/>
  <c r="C481" i="35" s="1"/>
  <c r="G481" i="35" s="1"/>
  <c r="F481" i="35" s="1"/>
  <c r="H481" i="35" s="1"/>
  <c r="E458" i="34"/>
  <c r="I457" i="34"/>
  <c r="C458" i="34"/>
  <c r="G374" i="36"/>
  <c r="F374" i="36" s="1"/>
  <c r="H374" i="36" s="1"/>
  <c r="I480" i="35" l="1"/>
  <c r="I374" i="36"/>
  <c r="C375" i="36"/>
  <c r="E375" i="36"/>
  <c r="G458" i="34"/>
  <c r="F458" i="34" s="1"/>
  <c r="I481" i="35"/>
  <c r="C482" i="35"/>
  <c r="G482" i="35" s="1"/>
  <c r="F482" i="35" s="1"/>
  <c r="H458" i="34" l="1"/>
  <c r="H482" i="35"/>
  <c r="G375" i="36"/>
  <c r="F375" i="36" s="1"/>
  <c r="H375" i="36" s="1"/>
  <c r="C376" i="36" l="1"/>
  <c r="I375" i="36"/>
  <c r="E376" i="36"/>
  <c r="C483" i="35"/>
  <c r="G483" i="35" s="1"/>
  <c r="F483" i="35" s="1"/>
  <c r="I482" i="35"/>
  <c r="E459" i="34"/>
  <c r="C459" i="34"/>
  <c r="I458" i="34"/>
  <c r="G459" i="34" l="1"/>
  <c r="F459" i="34" s="1"/>
  <c r="H459" i="34" s="1"/>
  <c r="H483" i="35"/>
  <c r="G376" i="36"/>
  <c r="F376" i="36" s="1"/>
  <c r="H376" i="36" s="1"/>
  <c r="E377" i="36" l="1"/>
  <c r="I376" i="36"/>
  <c r="C377" i="36"/>
  <c r="C460" i="34"/>
  <c r="G460" i="34" s="1"/>
  <c r="F460" i="34" s="1"/>
  <c r="I459" i="34"/>
  <c r="I483" i="35"/>
  <c r="C484" i="35"/>
  <c r="G484" i="35" s="1"/>
  <c r="F484" i="35" s="1"/>
  <c r="H484" i="35" l="1"/>
  <c r="G377" i="36"/>
  <c r="F377" i="36" s="1"/>
  <c r="H460" i="34"/>
  <c r="N46" i="36"/>
  <c r="P46" i="36" l="1"/>
  <c r="H377" i="36"/>
  <c r="E461" i="34"/>
  <c r="C461" i="34"/>
  <c r="I460" i="34"/>
  <c r="E485" i="35"/>
  <c r="C485" i="35"/>
  <c r="I484" i="35"/>
  <c r="O46" i="36"/>
  <c r="M46" i="36" l="1"/>
  <c r="C378" i="36"/>
  <c r="G378" i="36" s="1"/>
  <c r="F378" i="36" s="1"/>
  <c r="H378" i="36" s="1"/>
  <c r="D377" i="36"/>
  <c r="G461" i="34"/>
  <c r="F461" i="34" s="1"/>
  <c r="G485" i="35"/>
  <c r="F485" i="35" s="1"/>
  <c r="N53" i="34"/>
  <c r="N55" i="35"/>
  <c r="P53" i="34" l="1"/>
  <c r="P55" i="35"/>
  <c r="I378" i="36"/>
  <c r="C379" i="36"/>
  <c r="H461" i="34"/>
  <c r="I377" i="36"/>
  <c r="E379" i="36"/>
  <c r="H485" i="35"/>
  <c r="O53" i="34"/>
  <c r="O55" i="35"/>
  <c r="G379" i="36" l="1"/>
  <c r="F379" i="36" s="1"/>
  <c r="H379" i="36" s="1"/>
  <c r="M55" i="35"/>
  <c r="M53" i="34"/>
  <c r="D485" i="35"/>
  <c r="I485" i="35" s="1"/>
  <c r="C486" i="35"/>
  <c r="G486" i="35" s="1"/>
  <c r="F486" i="35" s="1"/>
  <c r="C462" i="34"/>
  <c r="G462" i="34" s="1"/>
  <c r="F462" i="34" s="1"/>
  <c r="H462" i="34" s="1"/>
  <c r="D461" i="34"/>
  <c r="I461" i="34" s="1"/>
  <c r="C463" i="34" l="1"/>
  <c r="G463" i="34" s="1"/>
  <c r="F463" i="34" s="1"/>
  <c r="I462" i="34"/>
  <c r="H486" i="35"/>
  <c r="C380" i="36"/>
  <c r="I379" i="36"/>
  <c r="E380" i="36"/>
  <c r="G380" i="36" l="1"/>
  <c r="F380" i="36" s="1"/>
  <c r="C487" i="35"/>
  <c r="G487" i="35" s="1"/>
  <c r="F487" i="35" s="1"/>
  <c r="I486" i="35"/>
  <c r="H463" i="34"/>
  <c r="H487" i="35" l="1"/>
  <c r="E464" i="34"/>
  <c r="C464" i="34"/>
  <c r="I463" i="34"/>
  <c r="H380" i="36"/>
  <c r="I380" i="36" l="1"/>
  <c r="C381" i="36"/>
  <c r="E381" i="36"/>
  <c r="G464" i="34"/>
  <c r="F464" i="34" s="1"/>
  <c r="I487" i="35"/>
  <c r="C488" i="35"/>
  <c r="G488" i="35" s="1"/>
  <c r="F488" i="35" s="1"/>
  <c r="H488" i="35" l="1"/>
  <c r="H464" i="34"/>
  <c r="G381" i="36"/>
  <c r="F381" i="36" s="1"/>
  <c r="E465" i="34" l="1"/>
  <c r="C465" i="34"/>
  <c r="I464" i="34"/>
  <c r="I488" i="35"/>
  <c r="C489" i="35"/>
  <c r="G489" i="35" s="1"/>
  <c r="F489" i="35" s="1"/>
  <c r="H381" i="36"/>
  <c r="G465" i="34" l="1"/>
  <c r="F465" i="34" s="1"/>
  <c r="H465" i="34" s="1"/>
  <c r="C466" i="34" s="1"/>
  <c r="G466" i="34" s="1"/>
  <c r="F466" i="34" s="1"/>
  <c r="H489" i="35"/>
  <c r="I381" i="36"/>
  <c r="C382" i="36"/>
  <c r="E382" i="36"/>
  <c r="I465" i="34" l="1"/>
  <c r="C490" i="35"/>
  <c r="G490" i="35" s="1"/>
  <c r="F490" i="35" s="1"/>
  <c r="I489" i="35"/>
  <c r="G382" i="36"/>
  <c r="F382" i="36" s="1"/>
  <c r="H466" i="34"/>
  <c r="E467" i="34" l="1"/>
  <c r="C467" i="34"/>
  <c r="I466" i="34"/>
  <c r="H382" i="36"/>
  <c r="H490" i="35"/>
  <c r="E491" i="35" l="1"/>
  <c r="I490" i="35"/>
  <c r="C491" i="35"/>
  <c r="C383" i="36"/>
  <c r="I382" i="36"/>
  <c r="E383" i="36"/>
  <c r="G467" i="34"/>
  <c r="F467" i="34" s="1"/>
  <c r="H467" i="34" l="1"/>
  <c r="G491" i="35"/>
  <c r="F491" i="35" s="1"/>
  <c r="G383" i="36"/>
  <c r="F383" i="36" s="1"/>
  <c r="H491" i="35" l="1"/>
  <c r="H383" i="36"/>
  <c r="E468" i="34"/>
  <c r="I467" i="34"/>
  <c r="C468" i="34"/>
  <c r="G468" i="34" l="1"/>
  <c r="F468" i="34" s="1"/>
  <c r="H468" i="34" s="1"/>
  <c r="C469" i="34" s="1"/>
  <c r="G469" i="34" s="1"/>
  <c r="F469" i="34" s="1"/>
  <c r="H469" i="34" s="1"/>
  <c r="I383" i="36"/>
  <c r="C384" i="36"/>
  <c r="E384" i="36"/>
  <c r="E492" i="35"/>
  <c r="I491" i="35"/>
  <c r="C492" i="35"/>
  <c r="I468" i="34" l="1"/>
  <c r="G492" i="35"/>
  <c r="F492" i="35" s="1"/>
  <c r="H492" i="35" s="1"/>
  <c r="C493" i="35" s="1"/>
  <c r="G493" i="35" s="1"/>
  <c r="F493" i="35" s="1"/>
  <c r="G384" i="36"/>
  <c r="F384" i="36" s="1"/>
  <c r="E470" i="34"/>
  <c r="C470" i="34"/>
  <c r="I469" i="34"/>
  <c r="I492" i="35" l="1"/>
  <c r="H493" i="35"/>
  <c r="G470" i="34"/>
  <c r="F470" i="34" s="1"/>
  <c r="H384" i="36"/>
  <c r="H470" i="34" l="1"/>
  <c r="C385" i="36"/>
  <c r="I384" i="36"/>
  <c r="E385" i="36"/>
  <c r="I493" i="35"/>
  <c r="C494" i="35"/>
  <c r="G494" i="35" s="1"/>
  <c r="F494" i="35" s="1"/>
  <c r="H494" i="35" l="1"/>
  <c r="G385" i="36"/>
  <c r="F385" i="36" s="1"/>
  <c r="E471" i="34"/>
  <c r="C471" i="34"/>
  <c r="I470" i="34"/>
  <c r="G471" i="34" l="1"/>
  <c r="F471" i="34" s="1"/>
  <c r="H471" i="34" s="1"/>
  <c r="I494" i="35"/>
  <c r="C495" i="35"/>
  <c r="G495" i="35" s="1"/>
  <c r="F495" i="35" s="1"/>
  <c r="H385" i="36"/>
  <c r="H495" i="35" l="1"/>
  <c r="I385" i="36"/>
  <c r="C386" i="36"/>
  <c r="E386" i="36"/>
  <c r="C472" i="34"/>
  <c r="G472" i="34" s="1"/>
  <c r="F472" i="34" s="1"/>
  <c r="I471" i="34"/>
  <c r="H472" i="34" l="1"/>
  <c r="G386" i="36"/>
  <c r="F386" i="36" s="1"/>
  <c r="I495" i="35"/>
  <c r="C496" i="35"/>
  <c r="G496" i="35" s="1"/>
  <c r="F496" i="35" s="1"/>
  <c r="H496" i="35" l="1"/>
  <c r="E473" i="34"/>
  <c r="C473" i="34"/>
  <c r="I472" i="34"/>
  <c r="H386" i="36"/>
  <c r="G473" i="34" l="1"/>
  <c r="F473" i="34" s="1"/>
  <c r="I386" i="36"/>
  <c r="C387" i="36"/>
  <c r="E387" i="36"/>
  <c r="E497" i="35"/>
  <c r="C497" i="35"/>
  <c r="I496" i="35"/>
  <c r="N54" i="34"/>
  <c r="P54" i="34" l="1"/>
  <c r="G497" i="35"/>
  <c r="F497" i="35" s="1"/>
  <c r="G387" i="36"/>
  <c r="F387" i="36" s="1"/>
  <c r="H387" i="36" s="1"/>
  <c r="H473" i="34"/>
  <c r="O54" i="34"/>
  <c r="N56" i="35"/>
  <c r="P56" i="35" l="1"/>
  <c r="M54" i="34"/>
  <c r="H497" i="35"/>
  <c r="D497" i="35" s="1"/>
  <c r="I497" i="35" s="1"/>
  <c r="H498" i="35" s="1" a="1"/>
  <c r="H498" i="35" s="1"/>
  <c r="I387" i="36"/>
  <c r="C388" i="36"/>
  <c r="E388" i="36"/>
  <c r="C474" i="34"/>
  <c r="G474" i="34" s="1"/>
  <c r="F474" i="34" s="1"/>
  <c r="D473" i="34"/>
  <c r="I473" i="34" s="1"/>
  <c r="O56" i="35"/>
  <c r="M56" i="35" l="1"/>
  <c r="M15" i="35" s="1"/>
  <c r="D11" i="35" s="1"/>
  <c r="H474" i="34"/>
  <c r="G388" i="36"/>
  <c r="F388" i="36" s="1"/>
  <c r="H388" i="36" l="1"/>
  <c r="C475" i="34"/>
  <c r="G475" i="34" s="1"/>
  <c r="F475" i="34" s="1"/>
  <c r="I474" i="34"/>
  <c r="H475" i="34" l="1"/>
  <c r="E389" i="36"/>
  <c r="I388" i="36"/>
  <c r="C389" i="36"/>
  <c r="G389" i="36" l="1"/>
  <c r="F389" i="36" s="1"/>
  <c r="E476" i="34"/>
  <c r="C476" i="34"/>
  <c r="I475" i="34"/>
  <c r="N47" i="36"/>
  <c r="P47" i="36" l="1"/>
  <c r="G476" i="34"/>
  <c r="F476" i="34" s="1"/>
  <c r="H389" i="36"/>
  <c r="O47" i="36"/>
  <c r="M47" i="36" l="1"/>
  <c r="C390" i="36"/>
  <c r="G390" i="36" s="1"/>
  <c r="F390" i="36" s="1"/>
  <c r="D389" i="36"/>
  <c r="H476" i="34"/>
  <c r="E477" i="34" l="1"/>
  <c r="C477" i="34"/>
  <c r="I476" i="34"/>
  <c r="I389" i="36"/>
  <c r="H390" i="36"/>
  <c r="G477" i="34" l="1"/>
  <c r="F477" i="34" s="1"/>
  <c r="H477" i="34" s="1"/>
  <c r="C478" i="34" s="1"/>
  <c r="G478" i="34" s="1"/>
  <c r="F478" i="34" s="1"/>
  <c r="I390" i="36"/>
  <c r="C391" i="36"/>
  <c r="E391" i="36"/>
  <c r="I477" i="34" l="1"/>
  <c r="H478" i="34"/>
  <c r="G391" i="36"/>
  <c r="F391" i="36" s="1"/>
  <c r="H391" i="36" l="1"/>
  <c r="E479" i="34"/>
  <c r="C479" i="34"/>
  <c r="I478" i="34"/>
  <c r="G479" i="34" l="1"/>
  <c r="F479" i="34" s="1"/>
  <c r="H479" i="34" s="1"/>
  <c r="C392" i="36"/>
  <c r="I391" i="36"/>
  <c r="E392" i="36"/>
  <c r="E480" i="34" l="1"/>
  <c r="C480" i="34"/>
  <c r="I479" i="34"/>
  <c r="G392" i="36"/>
  <c r="F392" i="36" s="1"/>
  <c r="G480" i="34" l="1"/>
  <c r="F480" i="34" s="1"/>
  <c r="H480" i="34" s="1"/>
  <c r="H392" i="36"/>
  <c r="C481" i="34" l="1"/>
  <c r="G481" i="34" s="1"/>
  <c r="F481" i="34" s="1"/>
  <c r="I480" i="34"/>
  <c r="C393" i="36"/>
  <c r="I392" i="36"/>
  <c r="E393" i="36"/>
  <c r="G393" i="36" l="1"/>
  <c r="F393" i="36" s="1"/>
  <c r="H481" i="34"/>
  <c r="E482" i="34" l="1"/>
  <c r="I481" i="34"/>
  <c r="C482" i="34"/>
  <c r="H393" i="36"/>
  <c r="I393" i="36" l="1"/>
  <c r="C394" i="36"/>
  <c r="E394" i="36"/>
  <c r="G482" i="34"/>
  <c r="F482" i="34" s="1"/>
  <c r="G394" i="36" l="1"/>
  <c r="F394" i="36" s="1"/>
  <c r="H482" i="34"/>
  <c r="E483" i="34" l="1"/>
  <c r="I482" i="34"/>
  <c r="C483" i="34"/>
  <c r="H394" i="36"/>
  <c r="G483" i="34" l="1"/>
  <c r="F483" i="34" s="1"/>
  <c r="H483" i="34" s="1"/>
  <c r="C395" i="36"/>
  <c r="I394" i="36"/>
  <c r="E395" i="36"/>
  <c r="G395" i="36" l="1"/>
  <c r="F395" i="36" s="1"/>
  <c r="I483" i="34"/>
  <c r="C484" i="34"/>
  <c r="G484" i="34" s="1"/>
  <c r="F484" i="34" s="1"/>
  <c r="H484" i="34" l="1"/>
  <c r="H395" i="36"/>
  <c r="I395" i="36" l="1"/>
  <c r="C396" i="36"/>
  <c r="E396" i="36"/>
  <c r="E485" i="34"/>
  <c r="I484" i="34"/>
  <c r="C485" i="34"/>
  <c r="G485" i="34" l="1"/>
  <c r="F485" i="34" s="1"/>
  <c r="H485" i="34" s="1"/>
  <c r="G396" i="36"/>
  <c r="F396" i="36" s="1"/>
  <c r="H396" i="36" s="1"/>
  <c r="N55" i="34"/>
  <c r="P55" i="34" l="1"/>
  <c r="C397" i="36"/>
  <c r="I396" i="36"/>
  <c r="E397" i="36"/>
  <c r="C486" i="34"/>
  <c r="G486" i="34" s="1"/>
  <c r="F486" i="34" s="1"/>
  <c r="D485" i="34"/>
  <c r="I485" i="34" s="1"/>
  <c r="O55" i="34"/>
  <c r="M55" i="34" l="1"/>
  <c r="G397" i="36"/>
  <c r="F397" i="36" s="1"/>
  <c r="H486" i="34"/>
  <c r="C487" i="34" l="1"/>
  <c r="G487" i="34" s="1"/>
  <c r="F487" i="34" s="1"/>
  <c r="I486" i="34"/>
  <c r="H397" i="36"/>
  <c r="C398" i="36" l="1"/>
  <c r="I397" i="36"/>
  <c r="E398" i="36"/>
  <c r="H487" i="34"/>
  <c r="E488" i="34" l="1"/>
  <c r="I487" i="34"/>
  <c r="C488" i="34"/>
  <c r="G398" i="36"/>
  <c r="F398" i="36" s="1"/>
  <c r="G488" i="34" l="1"/>
  <c r="F488" i="34" s="1"/>
  <c r="H488" i="34" s="1"/>
  <c r="H398" i="36"/>
  <c r="C399" i="36" l="1"/>
  <c r="I398" i="36"/>
  <c r="E399" i="36"/>
  <c r="E489" i="34"/>
  <c r="C489" i="34"/>
  <c r="I488" i="34"/>
  <c r="G489" i="34" l="1"/>
  <c r="F489" i="34" s="1"/>
  <c r="H489" i="34" s="1"/>
  <c r="C490" i="34" s="1"/>
  <c r="G490" i="34" s="1"/>
  <c r="F490" i="34" s="1"/>
  <c r="G399" i="36"/>
  <c r="F399" i="36" s="1"/>
  <c r="I489" i="34" l="1"/>
  <c r="H399" i="36"/>
  <c r="H490" i="34"/>
  <c r="E491" i="34" l="1"/>
  <c r="C491" i="34"/>
  <c r="I490" i="34"/>
  <c r="C400" i="36"/>
  <c r="I399" i="36"/>
  <c r="E400" i="36"/>
  <c r="G400" i="36" l="1"/>
  <c r="F400" i="36" s="1"/>
  <c r="H400" i="36" s="1"/>
  <c r="G491" i="34"/>
  <c r="F491" i="34" s="1"/>
  <c r="E401" i="36" l="1"/>
  <c r="I400" i="36"/>
  <c r="C401" i="36"/>
  <c r="H491" i="34"/>
  <c r="G401" i="36" l="1"/>
  <c r="F401" i="36" s="1"/>
  <c r="H401" i="36" s="1"/>
  <c r="E492" i="34"/>
  <c r="C492" i="34"/>
  <c r="I491" i="34"/>
  <c r="N48" i="36"/>
  <c r="G492" i="34" l="1"/>
  <c r="F492" i="34" s="1"/>
  <c r="H492" i="34" s="1"/>
  <c r="I492" i="34" s="1"/>
  <c r="P48" i="36"/>
  <c r="D401" i="36"/>
  <c r="C402" i="36"/>
  <c r="G402" i="36" s="1"/>
  <c r="F402" i="36" s="1"/>
  <c r="O48" i="36"/>
  <c r="C493" i="34" l="1"/>
  <c r="G493" i="34" s="1"/>
  <c r="F493" i="34" s="1"/>
  <c r="H493" i="34" s="1"/>
  <c r="I493" i="34" s="1"/>
  <c r="M48" i="36"/>
  <c r="H402" i="36"/>
  <c r="I401" i="36"/>
  <c r="E403" i="36"/>
  <c r="E494" i="34" l="1"/>
  <c r="C494" i="34"/>
  <c r="I402" i="36"/>
  <c r="C403" i="36"/>
  <c r="G403" i="36" s="1"/>
  <c r="F403" i="36" s="1"/>
  <c r="G494" i="34" l="1"/>
  <c r="F494" i="34" s="1"/>
  <c r="H494" i="34" s="1"/>
  <c r="C495" i="34" s="1"/>
  <c r="E495" i="34"/>
  <c r="H403" i="36"/>
  <c r="I494" i="34" l="1"/>
  <c r="G495" i="34"/>
  <c r="F495" i="34" s="1"/>
  <c r="H495" i="34" s="1"/>
  <c r="C404" i="36"/>
  <c r="I403" i="36"/>
  <c r="E404" i="36"/>
  <c r="C496" i="34" l="1"/>
  <c r="G496" i="34" s="1"/>
  <c r="F496" i="34" s="1"/>
  <c r="H496" i="34" s="1"/>
  <c r="I495" i="34"/>
  <c r="G404" i="36"/>
  <c r="F404" i="36" s="1"/>
  <c r="H404" i="36" s="1"/>
  <c r="C405" i="36" l="1"/>
  <c r="I404" i="36"/>
  <c r="E405" i="36"/>
  <c r="E497" i="34"/>
  <c r="C497" i="34"/>
  <c r="I496" i="34"/>
  <c r="G497" i="34" l="1"/>
  <c r="F497" i="34" s="1"/>
  <c r="G405" i="36"/>
  <c r="F405" i="36" s="1"/>
  <c r="N56" i="34"/>
  <c r="P56" i="34" l="1"/>
  <c r="H405" i="36"/>
  <c r="H497" i="34"/>
  <c r="D497" i="34" s="1"/>
  <c r="I497" i="34" s="1"/>
  <c r="H498" i="34" s="1" a="1"/>
  <c r="H498" i="34" s="1"/>
  <c r="O56" i="34"/>
  <c r="M56" i="34" l="1"/>
  <c r="M15" i="34" s="1"/>
  <c r="D11" i="34" s="1"/>
  <c r="I405" i="36"/>
  <c r="C406" i="36"/>
  <c r="E406" i="36"/>
  <c r="G406" i="36" l="1"/>
  <c r="F406" i="36" s="1"/>
  <c r="H406" i="36" l="1"/>
  <c r="C407" i="36" l="1"/>
  <c r="I406" i="36"/>
  <c r="E407" i="36"/>
  <c r="G407" i="36" l="1"/>
  <c r="F407" i="36" s="1"/>
  <c r="H407" i="36" l="1"/>
  <c r="I407" i="36" l="1"/>
  <c r="C408" i="36"/>
  <c r="E408" i="36"/>
  <c r="G408" i="36" l="1"/>
  <c r="F408" i="36" s="1"/>
  <c r="H408" i="36" l="1"/>
  <c r="C409" i="36" l="1"/>
  <c r="I408" i="36"/>
  <c r="E409" i="36"/>
  <c r="G409" i="36" l="1"/>
  <c r="F409" i="36" s="1"/>
  <c r="H409" i="36" l="1"/>
  <c r="C410" i="36" l="1"/>
  <c r="I409" i="36"/>
  <c r="E410" i="36"/>
  <c r="G410" i="36" l="1"/>
  <c r="F410" i="36" s="1"/>
  <c r="H410" i="36" l="1"/>
  <c r="C411" i="36" l="1"/>
  <c r="I410" i="36"/>
  <c r="E411" i="36"/>
  <c r="G411" i="36" l="1"/>
  <c r="F411" i="36" s="1"/>
  <c r="H411" i="36" l="1"/>
  <c r="C412" i="36" l="1"/>
  <c r="I411" i="36"/>
  <c r="E412" i="36"/>
  <c r="G412" i="36" l="1"/>
  <c r="F412" i="36" s="1"/>
  <c r="H412" i="36" l="1"/>
  <c r="E413" i="36" l="1"/>
  <c r="I412" i="36"/>
  <c r="C413" i="36"/>
  <c r="G413" i="36" l="1"/>
  <c r="F413" i="36" s="1"/>
  <c r="N49" i="36"/>
  <c r="P49" i="36" l="1"/>
  <c r="H413" i="36"/>
  <c r="O49" i="36"/>
  <c r="M49" i="36" l="1"/>
  <c r="C414" i="36"/>
  <c r="G414" i="36" s="1"/>
  <c r="F414" i="36" s="1"/>
  <c r="H414" i="36" s="1"/>
  <c r="D413" i="36"/>
  <c r="C415" i="36" l="1"/>
  <c r="I414" i="36"/>
  <c r="I413" i="36"/>
  <c r="E415" i="36"/>
  <c r="G415" i="36" l="1"/>
  <c r="F415" i="36" s="1"/>
  <c r="H415" i="36" l="1"/>
  <c r="C416" i="36" l="1"/>
  <c r="I415" i="36"/>
  <c r="E416" i="36"/>
  <c r="G416" i="36" l="1"/>
  <c r="F416" i="36" s="1"/>
  <c r="H416" i="36" s="1"/>
  <c r="C417" i="36" l="1"/>
  <c r="I416" i="36"/>
  <c r="E417" i="36"/>
  <c r="G417" i="36" l="1"/>
  <c r="F417" i="36" s="1"/>
  <c r="H417" i="36" s="1"/>
  <c r="C418" i="36" l="1"/>
  <c r="I417" i="36"/>
  <c r="E418" i="36"/>
  <c r="G418" i="36" l="1"/>
  <c r="F418" i="36" s="1"/>
  <c r="H418" i="36" l="1"/>
  <c r="C419" i="36" l="1"/>
  <c r="I418" i="36"/>
  <c r="E419" i="36"/>
  <c r="G419" i="36" l="1"/>
  <c r="F419" i="36" s="1"/>
  <c r="H419" i="36" l="1"/>
  <c r="I419" i="36" l="1"/>
  <c r="C420" i="36"/>
  <c r="E420" i="36"/>
  <c r="G420" i="36" l="1"/>
  <c r="F420" i="36" s="1"/>
  <c r="H420" i="36" l="1"/>
  <c r="I420" i="36" l="1"/>
  <c r="C421" i="36"/>
  <c r="E421" i="36"/>
  <c r="G421" i="36" l="1"/>
  <c r="F421" i="36" s="1"/>
  <c r="H421" i="36" l="1"/>
  <c r="C422" i="36" l="1"/>
  <c r="I421" i="36"/>
  <c r="E422" i="36"/>
  <c r="G422" i="36" l="1"/>
  <c r="F422" i="36" s="1"/>
  <c r="H422" i="36" l="1"/>
  <c r="C423" i="36" l="1"/>
  <c r="I422" i="36"/>
  <c r="E423" i="36"/>
  <c r="G423" i="36" l="1"/>
  <c r="F423" i="36" s="1"/>
  <c r="H423" i="36" l="1"/>
  <c r="C424" i="36" l="1"/>
  <c r="I423" i="36"/>
  <c r="E424" i="36"/>
  <c r="G424" i="36" l="1"/>
  <c r="F424" i="36" s="1"/>
  <c r="H424" i="36" l="1"/>
  <c r="E425" i="36" l="1"/>
  <c r="C425" i="36"/>
  <c r="I424" i="36"/>
  <c r="G425" i="36" l="1"/>
  <c r="F425" i="36" s="1"/>
  <c r="N50" i="36"/>
  <c r="P50" i="36" l="1"/>
  <c r="H425" i="36"/>
  <c r="O50" i="36"/>
  <c r="M50" i="36" l="1"/>
  <c r="C426" i="36"/>
  <c r="G426" i="36" s="1"/>
  <c r="F426" i="36" s="1"/>
  <c r="H426" i="36" s="1"/>
  <c r="D425" i="36"/>
  <c r="I425" i="36" l="1"/>
  <c r="E427" i="36"/>
  <c r="I426" i="36"/>
  <c r="C427" i="36"/>
  <c r="G427" i="36" l="1"/>
  <c r="F427" i="36" s="1"/>
  <c r="H427" i="36" s="1"/>
  <c r="C428" i="36" l="1"/>
  <c r="I427" i="36"/>
  <c r="E428" i="36"/>
  <c r="G428" i="36" l="1"/>
  <c r="F428" i="36" s="1"/>
  <c r="H428" i="36" l="1"/>
  <c r="C429" i="36" l="1"/>
  <c r="I428" i="36"/>
  <c r="E429" i="36"/>
  <c r="G429" i="36" l="1"/>
  <c r="F429" i="36" s="1"/>
  <c r="H429" i="36" l="1"/>
  <c r="C430" i="36" l="1"/>
  <c r="I429" i="36"/>
  <c r="E430" i="36"/>
  <c r="G430" i="36" l="1"/>
  <c r="F430" i="36" s="1"/>
  <c r="H430" i="36" l="1"/>
  <c r="C431" i="36" l="1"/>
  <c r="I430" i="36"/>
  <c r="E431" i="36"/>
  <c r="G431" i="36" l="1"/>
  <c r="F431" i="36" s="1"/>
  <c r="H431" i="36" l="1"/>
  <c r="I431" i="36" l="1"/>
  <c r="C432" i="36"/>
  <c r="E432" i="36"/>
  <c r="G432" i="36" l="1"/>
  <c r="F432" i="36" s="1"/>
  <c r="H432" i="36" l="1"/>
  <c r="C433" i="36" l="1"/>
  <c r="I432" i="36"/>
  <c r="E433" i="36"/>
  <c r="G433" i="36" l="1"/>
  <c r="F433" i="36" s="1"/>
  <c r="H433" i="36" l="1"/>
  <c r="I433" i="36" l="1"/>
  <c r="C434" i="36"/>
  <c r="E434" i="36"/>
  <c r="G434" i="36" l="1"/>
  <c r="F434" i="36" s="1"/>
  <c r="H434" i="36" s="1"/>
  <c r="C435" i="36" l="1"/>
  <c r="I434" i="36"/>
  <c r="E435" i="36"/>
  <c r="G435" i="36" l="1"/>
  <c r="F435" i="36" s="1"/>
  <c r="H435" i="36" l="1"/>
  <c r="I435" i="36" l="1"/>
  <c r="C436" i="36"/>
  <c r="E436" i="36"/>
  <c r="G436" i="36" l="1"/>
  <c r="F436" i="36" s="1"/>
  <c r="H436" i="36" l="1"/>
  <c r="E437" i="36" l="1"/>
  <c r="I436" i="36"/>
  <c r="C437" i="36"/>
  <c r="G437" i="36" l="1"/>
  <c r="F437" i="36" s="1"/>
  <c r="N51" i="36"/>
  <c r="P51" i="36" l="1"/>
  <c r="H437" i="36"/>
  <c r="O51" i="36"/>
  <c r="M51" i="36" l="1"/>
  <c r="D437" i="36"/>
  <c r="C438" i="36"/>
  <c r="G438" i="36" s="1"/>
  <c r="F438" i="36" s="1"/>
  <c r="H438" i="36" s="1"/>
  <c r="I438" i="36" l="1"/>
  <c r="C439" i="36"/>
  <c r="I437" i="36"/>
  <c r="E439" i="36"/>
  <c r="G439" i="36" l="1"/>
  <c r="F439" i="36" s="1"/>
  <c r="H439" i="36" l="1"/>
  <c r="I439" i="36" l="1"/>
  <c r="C440" i="36"/>
  <c r="E440" i="36"/>
  <c r="G440" i="36" l="1"/>
  <c r="F440" i="36" s="1"/>
  <c r="H440" i="36" l="1"/>
  <c r="C441" i="36" l="1"/>
  <c r="I440" i="36"/>
  <c r="E441" i="36"/>
  <c r="G441" i="36" l="1"/>
  <c r="F441" i="36" s="1"/>
  <c r="H441" i="36" l="1"/>
  <c r="C442" i="36" l="1"/>
  <c r="I441" i="36"/>
  <c r="E442" i="36"/>
  <c r="G442" i="36" l="1"/>
  <c r="F442" i="36" s="1"/>
  <c r="H442" i="36" l="1"/>
  <c r="I442" i="36" l="1"/>
  <c r="C443" i="36"/>
  <c r="E443" i="36"/>
  <c r="G443" i="36" l="1"/>
  <c r="F443" i="36" s="1"/>
  <c r="H443" i="36" l="1"/>
  <c r="C444" i="36" l="1"/>
  <c r="I443" i="36"/>
  <c r="E444" i="36"/>
  <c r="G444" i="36" l="1"/>
  <c r="F444" i="36" s="1"/>
  <c r="H444" i="36" l="1"/>
  <c r="I444" i="36" l="1"/>
  <c r="C445" i="36"/>
  <c r="E445" i="36"/>
  <c r="G445" i="36" l="1"/>
  <c r="F445" i="36" s="1"/>
  <c r="H445" i="36" s="1"/>
  <c r="I445" i="36" l="1"/>
  <c r="C446" i="36"/>
  <c r="E446" i="36"/>
  <c r="G446" i="36" l="1"/>
  <c r="F446" i="36" s="1"/>
  <c r="H446" i="36" l="1"/>
  <c r="I446" i="36" l="1"/>
  <c r="C447" i="36"/>
  <c r="E447" i="36"/>
  <c r="G447" i="36" l="1"/>
  <c r="F447" i="36" s="1"/>
  <c r="H447" i="36" s="1"/>
  <c r="C448" i="36" l="1"/>
  <c r="I447" i="36"/>
  <c r="E448" i="36"/>
  <c r="G448" i="36" l="1"/>
  <c r="F448" i="36" s="1"/>
  <c r="H448" i="36" l="1"/>
  <c r="E449" i="36" l="1"/>
  <c r="C449" i="36"/>
  <c r="I448" i="36"/>
  <c r="G449" i="36" l="1"/>
  <c r="F449" i="36" s="1"/>
  <c r="N52" i="36"/>
  <c r="P52" i="36" l="1"/>
  <c r="H449" i="36"/>
  <c r="O52" i="36"/>
  <c r="M52" i="36" l="1"/>
  <c r="D449" i="36"/>
  <c r="C450" i="36"/>
  <c r="G450" i="36" s="1"/>
  <c r="F450" i="36" s="1"/>
  <c r="H450" i="36" l="1"/>
  <c r="I449" i="36"/>
  <c r="E451" i="36"/>
  <c r="I450" i="36" l="1"/>
  <c r="C451" i="36"/>
  <c r="G451" i="36" s="1"/>
  <c r="F451" i="36" s="1"/>
  <c r="H451" i="36" l="1"/>
  <c r="C452" i="36" l="1"/>
  <c r="I451" i="36"/>
  <c r="E452" i="36"/>
  <c r="G452" i="36" l="1"/>
  <c r="F452" i="36" s="1"/>
  <c r="H452" i="36" l="1"/>
  <c r="I452" i="36" l="1"/>
  <c r="C453" i="36"/>
  <c r="E453" i="36"/>
  <c r="G453" i="36" l="1"/>
  <c r="F453" i="36" s="1"/>
  <c r="H453" i="36" s="1"/>
  <c r="C454" i="36" l="1"/>
  <c r="I453" i="36"/>
  <c r="E454" i="36"/>
  <c r="G454" i="36" l="1"/>
  <c r="F454" i="36" s="1"/>
  <c r="H454" i="36" l="1"/>
  <c r="I454" i="36" l="1"/>
  <c r="C455" i="36"/>
  <c r="E455" i="36"/>
  <c r="G455" i="36" l="1"/>
  <c r="F455" i="36" s="1"/>
  <c r="H455" i="36" s="1"/>
  <c r="C456" i="36" l="1"/>
  <c r="I455" i="36"/>
  <c r="E456" i="36"/>
  <c r="G456" i="36" l="1"/>
  <c r="F456" i="36" s="1"/>
  <c r="H456" i="36" l="1"/>
  <c r="C457" i="36" l="1"/>
  <c r="I456" i="36"/>
  <c r="E457" i="36"/>
  <c r="G457" i="36" l="1"/>
  <c r="F457" i="36" s="1"/>
  <c r="H457" i="36" l="1"/>
  <c r="I457" i="36" l="1"/>
  <c r="C458" i="36"/>
  <c r="E458" i="36"/>
  <c r="G458" i="36" l="1"/>
  <c r="F458" i="36" s="1"/>
  <c r="H458" i="36" s="1"/>
  <c r="I458" i="36" l="1"/>
  <c r="C459" i="36"/>
  <c r="E459" i="36"/>
  <c r="G459" i="36" l="1"/>
  <c r="F459" i="36" s="1"/>
  <c r="H459" i="36" l="1"/>
  <c r="I459" i="36" l="1"/>
  <c r="C460" i="36"/>
  <c r="E460" i="36"/>
  <c r="G460" i="36" l="1"/>
  <c r="F460" i="36" s="1"/>
  <c r="H460" i="36" s="1"/>
  <c r="E461" i="36" l="1"/>
  <c r="C461" i="36"/>
  <c r="I460" i="36"/>
  <c r="G461" i="36" l="1"/>
  <c r="F461" i="36" s="1"/>
  <c r="N53" i="36"/>
  <c r="P53" i="36" l="1"/>
  <c r="H461" i="36"/>
  <c r="O53" i="36"/>
  <c r="M53" i="36" l="1"/>
  <c r="C462" i="36"/>
  <c r="G462" i="36" s="1"/>
  <c r="F462" i="36" s="1"/>
  <c r="H462" i="36" s="1"/>
  <c r="D461" i="36"/>
  <c r="C463" i="36" l="1"/>
  <c r="I462" i="36"/>
  <c r="I461" i="36"/>
  <c r="E463" i="36"/>
  <c r="G463" i="36" l="1"/>
  <c r="F463" i="36" s="1"/>
  <c r="H463" i="36" s="1"/>
  <c r="C464" i="36" l="1"/>
  <c r="I463" i="36"/>
  <c r="E464" i="36"/>
  <c r="G464" i="36" l="1"/>
  <c r="F464" i="36" s="1"/>
  <c r="H464" i="36" s="1"/>
  <c r="I464" i="36" l="1"/>
  <c r="C465" i="36"/>
  <c r="E465" i="36"/>
  <c r="G465" i="36" l="1"/>
  <c r="F465" i="36" s="1"/>
  <c r="H465" i="36" l="1"/>
  <c r="I465" i="36" l="1"/>
  <c r="C466" i="36"/>
  <c r="E466" i="36"/>
  <c r="G466" i="36" l="1"/>
  <c r="F466" i="36" s="1"/>
  <c r="H466" i="36" l="1"/>
  <c r="C467" i="36" l="1"/>
  <c r="I466" i="36"/>
  <c r="E467" i="36"/>
  <c r="G467" i="36" l="1"/>
  <c r="F467" i="36" s="1"/>
  <c r="H467" i="36" l="1"/>
  <c r="C468" i="36" l="1"/>
  <c r="I467" i="36"/>
  <c r="E468" i="36"/>
  <c r="G468" i="36" l="1"/>
  <c r="F468" i="36" s="1"/>
  <c r="H468" i="36" l="1"/>
  <c r="C469" i="36" l="1"/>
  <c r="I468" i="36"/>
  <c r="E469" i="36"/>
  <c r="G469" i="36" l="1"/>
  <c r="F469" i="36" s="1"/>
  <c r="H469" i="36" l="1"/>
  <c r="C470" i="36" l="1"/>
  <c r="I469" i="36"/>
  <c r="E470" i="36"/>
  <c r="G470" i="36" l="1"/>
  <c r="F470" i="36" s="1"/>
  <c r="H470" i="36" l="1"/>
  <c r="I470" i="36" l="1"/>
  <c r="C471" i="36"/>
  <c r="E471" i="36"/>
  <c r="G471" i="36" l="1"/>
  <c r="F471" i="36" s="1"/>
  <c r="H471" i="36" l="1"/>
  <c r="I471" i="36" l="1"/>
  <c r="C472" i="36"/>
  <c r="E472" i="36"/>
  <c r="G472" i="36" l="1"/>
  <c r="F472" i="36" s="1"/>
  <c r="H472" i="36" s="1"/>
  <c r="E473" i="36" l="1"/>
  <c r="C473" i="36"/>
  <c r="I472" i="36"/>
  <c r="G473" i="36" l="1"/>
  <c r="F473" i="36" s="1"/>
  <c r="N54" i="36"/>
  <c r="P54" i="36" l="1"/>
  <c r="H473" i="36"/>
  <c r="O54" i="36"/>
  <c r="M54" i="36" l="1"/>
  <c r="D473" i="36"/>
  <c r="C474" i="36"/>
  <c r="G474" i="36" s="1"/>
  <c r="F474" i="36" s="1"/>
  <c r="H474" i="36" s="1"/>
  <c r="C475" i="36" l="1"/>
  <c r="I474" i="36"/>
  <c r="I473" i="36"/>
  <c r="E475" i="36"/>
  <c r="G475" i="36" l="1"/>
  <c r="F475" i="36" s="1"/>
  <c r="H475" i="36" l="1"/>
  <c r="I475" i="36" l="1"/>
  <c r="C476" i="36"/>
  <c r="E476" i="36"/>
  <c r="G476" i="36" l="1"/>
  <c r="F476" i="36" s="1"/>
  <c r="H476" i="36" s="1"/>
  <c r="I476" i="36" l="1"/>
  <c r="C477" i="36"/>
  <c r="E477" i="36"/>
  <c r="G477" i="36" l="1"/>
  <c r="F477" i="36" s="1"/>
  <c r="H477" i="36" l="1"/>
  <c r="I477" i="36" l="1"/>
  <c r="C478" i="36"/>
  <c r="E478" i="36"/>
  <c r="G478" i="36" l="1"/>
  <c r="F478" i="36" s="1"/>
  <c r="H478" i="36" l="1"/>
  <c r="I478" i="36" l="1"/>
  <c r="C479" i="36"/>
  <c r="E479" i="36"/>
  <c r="G479" i="36" l="1"/>
  <c r="F479" i="36" s="1"/>
  <c r="H479" i="36" l="1"/>
  <c r="C480" i="36" l="1"/>
  <c r="I479" i="36"/>
  <c r="E480" i="36"/>
  <c r="G480" i="36" l="1"/>
  <c r="F480" i="36" s="1"/>
  <c r="H480" i="36" l="1"/>
  <c r="I480" i="36" l="1"/>
  <c r="C481" i="36"/>
  <c r="E481" i="36"/>
  <c r="G481" i="36" l="1"/>
  <c r="F481" i="36" s="1"/>
  <c r="H481" i="36" s="1"/>
  <c r="C482" i="36" l="1"/>
  <c r="I481" i="36"/>
  <c r="E482" i="36"/>
  <c r="G482" i="36" l="1"/>
  <c r="F482" i="36" s="1"/>
  <c r="H482" i="36" l="1"/>
  <c r="I482" i="36" l="1"/>
  <c r="C483" i="36"/>
  <c r="E483" i="36"/>
  <c r="G483" i="36" l="1"/>
  <c r="F483" i="36" s="1"/>
  <c r="H483" i="36" l="1"/>
  <c r="I483" i="36" l="1"/>
  <c r="C484" i="36"/>
  <c r="E484" i="36"/>
  <c r="G484" i="36" l="1"/>
  <c r="F484" i="36" s="1"/>
  <c r="H484" i="36" s="1"/>
  <c r="E485" i="36" l="1"/>
  <c r="C485" i="36"/>
  <c r="I484" i="36"/>
  <c r="G485" i="36" l="1"/>
  <c r="F485" i="36" s="1"/>
  <c r="N55" i="36"/>
  <c r="P55" i="36" l="1"/>
  <c r="H485" i="36"/>
  <c r="O55" i="36"/>
  <c r="M55" i="36" l="1"/>
  <c r="D485" i="36"/>
  <c r="C486" i="36"/>
  <c r="G486" i="36" s="1"/>
  <c r="F486" i="36" s="1"/>
  <c r="I485" i="36" l="1"/>
  <c r="H486" i="36"/>
  <c r="C487" i="36" l="1"/>
  <c r="I486" i="36"/>
  <c r="E487" i="36"/>
  <c r="G487" i="36" l="1"/>
  <c r="F487" i="36" s="1"/>
  <c r="H487" i="36" s="1"/>
  <c r="I487" i="36" l="1"/>
  <c r="C488" i="36"/>
  <c r="E488" i="36"/>
  <c r="G488" i="36" l="1"/>
  <c r="F488" i="36" s="1"/>
  <c r="H488" i="36" s="1"/>
  <c r="C489" i="36" l="1"/>
  <c r="I488" i="36"/>
  <c r="E489" i="36"/>
  <c r="G489" i="36" l="1"/>
  <c r="F489" i="36" s="1"/>
  <c r="H489" i="36" s="1"/>
  <c r="C490" i="36" l="1"/>
  <c r="I489" i="36"/>
  <c r="E490" i="36"/>
  <c r="G490" i="36" l="1"/>
  <c r="F490" i="36" s="1"/>
  <c r="H490" i="36" l="1"/>
  <c r="I490" i="36" l="1"/>
  <c r="C491" i="36"/>
  <c r="E491" i="36"/>
  <c r="G491" i="36" l="1"/>
  <c r="F491" i="36" s="1"/>
  <c r="H491" i="36" l="1"/>
  <c r="C492" i="36" l="1"/>
  <c r="I491" i="36"/>
  <c r="E492" i="36"/>
  <c r="G492" i="36" l="1"/>
  <c r="F492" i="36" s="1"/>
  <c r="H492" i="36" l="1"/>
  <c r="I492" i="36" l="1"/>
  <c r="C493" i="36"/>
  <c r="E493" i="36"/>
  <c r="G493" i="36" l="1"/>
  <c r="F493" i="36" s="1"/>
  <c r="H493" i="36" l="1"/>
  <c r="C494" i="36" l="1"/>
  <c r="I493" i="36"/>
  <c r="E494" i="36"/>
  <c r="G494" i="36" l="1"/>
  <c r="F494" i="36" s="1"/>
  <c r="H494" i="36" l="1"/>
  <c r="C495" i="36" l="1"/>
  <c r="I494" i="36"/>
  <c r="E495" i="36"/>
  <c r="G495" i="36" l="1"/>
  <c r="F495" i="36" s="1"/>
  <c r="H495" i="36" l="1"/>
  <c r="C496" i="36" l="1"/>
  <c r="I495" i="36"/>
  <c r="E496" i="36"/>
  <c r="G496" i="36" l="1"/>
  <c r="F496" i="36" s="1"/>
  <c r="H496" i="36" l="1"/>
  <c r="E497" i="36" l="1"/>
  <c r="C497" i="36"/>
  <c r="I496" i="36"/>
  <c r="G497" i="36" l="1"/>
  <c r="F497" i="36" s="1"/>
  <c r="N56" i="36"/>
  <c r="P56" i="36" l="1"/>
  <c r="H497" i="36"/>
  <c r="D497" i="36" s="1"/>
  <c r="I497" i="36" s="1"/>
  <c r="O56" i="36"/>
  <c r="M56" i="36" l="1"/>
  <c r="M15" i="36" s="1"/>
  <c r="D11" i="36" s="1"/>
  <c r="C27"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LMI</author>
  </authors>
  <commentList>
    <comment ref="E6" authorId="0" shapeId="0" xr:uid="{4CB92BA9-8BB8-0441-AC96-DCAE2FAE1B2D}">
      <text>
        <r>
          <rPr>
            <sz val="8"/>
            <color indexed="81"/>
            <rFont val="Tahoma"/>
            <family val="2"/>
          </rPr>
          <t xml:space="preserve">
HHV value is sourced from EPA MRR.  
EPA MRR Biogas HHV value = 0.000841 MMBtu / scf
0.0423 = lb. CH4/scf (at 520R or 60F) or (1/0.0423) 23.641 scf / lb. CH4
2.20462 lbs./kg
1000 kg / MT
This emission factor was checked against those found in the WRI GHG Protocol and found to be consistent with the range WRI biogas HHV = 0.0123214 MMBtu / kg</t>
        </r>
      </text>
    </comment>
    <comment ref="E7" authorId="0" shapeId="0" xr:uid="{710A24EE-26A3-F340-8561-1A1D31AC49D7}">
      <text>
        <r>
          <rPr>
            <sz val="8"/>
            <color rgb="FF000000"/>
            <rFont val="Tahoma"/>
            <family val="2"/>
          </rPr>
          <t xml:space="preserve">
</t>
        </r>
        <r>
          <rPr>
            <sz val="8"/>
            <color rgb="FF000000"/>
            <rFont val="Tahoma"/>
            <family val="2"/>
          </rPr>
          <t xml:space="preserve">HHV value is sourced from EPA MRR.  
</t>
        </r>
        <r>
          <rPr>
            <sz val="8"/>
            <color rgb="FF000000"/>
            <rFont val="Tahoma"/>
            <family val="2"/>
          </rPr>
          <t xml:space="preserve">EPA MRR Biogas HHV value = 0.000841 MMBtu / scf
</t>
        </r>
        <r>
          <rPr>
            <sz val="8"/>
            <color rgb="FF000000"/>
            <rFont val="Tahoma"/>
            <family val="2"/>
          </rPr>
          <t xml:space="preserve">0.0423 = lb. CH4/scf (at 520R or 60F) or (1/0.0423) 23.641 scf / lb. CH4
</t>
        </r>
        <r>
          <rPr>
            <sz val="8"/>
            <color rgb="FF000000"/>
            <rFont val="Tahoma"/>
            <family val="2"/>
          </rPr>
          <t xml:space="preserve">2.20462 lbs./kg
</t>
        </r>
        <r>
          <rPr>
            <sz val="8"/>
            <color rgb="FF000000"/>
            <rFont val="Tahoma"/>
            <family val="2"/>
          </rPr>
          <t>This emission factor was checked against those found in the WRI GHG Protocol and found to be consistent with the range WRI biogas HHV = 0.0123214 MMBtu / kg</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<sst xmlns="http://schemas.openxmlformats.org/spreadsheetml/2006/main" count="1614" uniqueCount="614">
  <si>
    <t>(a)</t>
  </si>
  <si>
    <t>(b)</t>
  </si>
  <si>
    <t>(c)</t>
  </si>
  <si>
    <t>(d)</t>
  </si>
  <si>
    <t>(e)</t>
  </si>
  <si>
    <t>(f)</t>
  </si>
  <si>
    <t>Total Guaranteed Cost Savings (b+e)</t>
  </si>
  <si>
    <t>IMPLEMENTATION PRICE BY ENERGY CONSERVATION MEASURE</t>
  </si>
  <si>
    <t>ECM No.</t>
  </si>
  <si>
    <t>ECM Size</t>
  </si>
  <si>
    <t>($)</t>
  </si>
  <si>
    <t>Management/Administration</t>
  </si>
  <si>
    <t>Maintenance</t>
  </si>
  <si>
    <t>Repair and Replacement</t>
  </si>
  <si>
    <t>Totals</t>
  </si>
  <si>
    <t>IMPORTANT INFORMATION:</t>
  </si>
  <si>
    <t>ECM</t>
  </si>
  <si>
    <t>Electric energy savings</t>
  </si>
  <si>
    <t>(kWh/yr)</t>
  </si>
  <si>
    <t>($/yr)</t>
  </si>
  <si>
    <t>Electric demand savings</t>
  </si>
  <si>
    <t>Natural gas savings</t>
  </si>
  <si>
    <t>Total energy savings</t>
  </si>
  <si>
    <t>Total energy cost savings</t>
  </si>
  <si>
    <t>Water savings</t>
  </si>
  <si>
    <t>Estimated annual cost savings</t>
  </si>
  <si>
    <t>Annual Contractor Payments</t>
  </si>
  <si>
    <t>ECM Number</t>
  </si>
  <si>
    <t>Simple Payback</t>
  </si>
  <si>
    <t>(Kgal/yr)</t>
  </si>
  <si>
    <t>Total Implementation &amp; Performance Period</t>
  </si>
  <si>
    <t>Performance Period Expenses</t>
  </si>
  <si>
    <t>Annual Cash Flow (Performance Period)</t>
  </si>
  <si>
    <t>Applied Incentives</t>
  </si>
  <si>
    <t>c1</t>
  </si>
  <si>
    <t>c2</t>
  </si>
  <si>
    <t>d1</t>
  </si>
  <si>
    <t>d2</t>
  </si>
  <si>
    <t>h</t>
  </si>
  <si>
    <t>i</t>
  </si>
  <si>
    <t>j</t>
  </si>
  <si>
    <t>b2</t>
  </si>
  <si>
    <t>b1</t>
  </si>
  <si>
    <t>Short Description</t>
  </si>
  <si>
    <t>Estimated Annual Cost Savings</t>
  </si>
  <si>
    <t>Natural Gas</t>
  </si>
  <si>
    <t>Water</t>
  </si>
  <si>
    <t>O&amp;M</t>
  </si>
  <si>
    <t>Operation</t>
  </si>
  <si>
    <t>e1a</t>
  </si>
  <si>
    <t>e2a</t>
  </si>
  <si>
    <t>e1b</t>
  </si>
  <si>
    <t>e2b</t>
  </si>
  <si>
    <t>g = b2+c2+d2+e2a+e2b</t>
  </si>
  <si>
    <t>(MMBtu/yr)</t>
  </si>
  <si>
    <t>O&amp;M cost savings</t>
  </si>
  <si>
    <t>Electric Energy</t>
  </si>
  <si>
    <t>Electric Demand</t>
  </si>
  <si>
    <t>Implementation price</t>
  </si>
  <si>
    <t>ECM Coverage (%)</t>
  </si>
  <si>
    <t>Other Savings 1: &lt;&lt;Insert Name&gt;&gt;</t>
  </si>
  <si>
    <t>Other Savings 2: &lt;&lt;Insert Name&gt;&gt;</t>
  </si>
  <si>
    <t xml:space="preserve">IMPORTANT INFORMATION:  </t>
  </si>
  <si>
    <t>(kW/mo)</t>
  </si>
  <si>
    <t>Performance Period (Year):</t>
  </si>
  <si>
    <t>Total Performance Period:</t>
  </si>
  <si>
    <t>TOTALS:</t>
  </si>
  <si>
    <t>Interest ($)</t>
  </si>
  <si>
    <t>Total Debt Service (a)</t>
  </si>
  <si>
    <t>Principal Repayment</t>
  </si>
  <si>
    <t>BASIC PROJECT INFORMATION</t>
  </si>
  <si>
    <t>Baseline electricity use</t>
  </si>
  <si>
    <t>Baseline electricity demand</t>
  </si>
  <si>
    <t>Baseline water use</t>
  </si>
  <si>
    <t>Baseline natural gas use</t>
  </si>
  <si>
    <t>Baseline O&amp;M costs</t>
  </si>
  <si>
    <t>Baseline other non-energy costs</t>
  </si>
  <si>
    <t>(kGal/yr)</t>
  </si>
  <si>
    <t>Other non-energy cost savings</t>
  </si>
  <si>
    <t>Baseline energy and resource costs</t>
  </si>
  <si>
    <t>k</t>
  </si>
  <si>
    <t>l = g+i+j+k</t>
  </si>
  <si>
    <t>m</t>
  </si>
  <si>
    <t>n = m/l</t>
  </si>
  <si>
    <t>(years)</t>
  </si>
  <si>
    <t>Baseline Energy and Non-energy Consumption</t>
  </si>
  <si>
    <t>Costs &amp; Financials</t>
  </si>
  <si>
    <t>PERFORMANCE PERIOD CASH FLOW</t>
  </si>
  <si>
    <t>Project Contact Information</t>
  </si>
  <si>
    <t>Other Information</t>
  </si>
  <si>
    <t>Project Identification &amp; Characteristics</t>
  </si>
  <si>
    <t>Other Non-energy Savings</t>
  </si>
  <si>
    <t>Enter values</t>
  </si>
  <si>
    <t>Loan amount</t>
  </si>
  <si>
    <t>Start date of loan</t>
  </si>
  <si>
    <t>Total of early payments</t>
  </si>
  <si>
    <t>No.</t>
  </si>
  <si>
    <t>Payment Date</t>
  </si>
  <si>
    <t>Beginning Balance</t>
  </si>
  <si>
    <t>Principal</t>
  </si>
  <si>
    <t>Interest</t>
  </si>
  <si>
    <t>Ending Balance</t>
  </si>
  <si>
    <t>From Summary Schedule</t>
  </si>
  <si>
    <t>If 1.0, then payment is in beginning.  If 0.0, then payment is at end.</t>
  </si>
  <si>
    <t>Amortization Calculator with Extra Payments</t>
  </si>
  <si>
    <t>SCHEDULE #1</t>
  </si>
  <si>
    <t>SCHEDULE #4</t>
  </si>
  <si>
    <t>SCHEDULE #5</t>
  </si>
  <si>
    <t>Initial loan period (default)</t>
  </si>
  <si>
    <t>Performance Period (year)</t>
  </si>
  <si>
    <t>ANNUAL DOLLAR SAVINGS ESCALATION RATES</t>
  </si>
  <si>
    <t>( a )</t>
  </si>
  <si>
    <t>( c )</t>
  </si>
  <si>
    <t>( d )</t>
  </si>
  <si>
    <t>Needed Payment</t>
  </si>
  <si>
    <t>Year</t>
  </si>
  <si>
    <t>P+I</t>
  </si>
  <si>
    <t>Monthly interest rate</t>
  </si>
  <si>
    <t>Default loan period in Months</t>
  </si>
  <si>
    <t>CANCELLATION CEILINGS</t>
  </si>
  <si>
    <t>Guaranteed Annual Cost Savings</t>
  </si>
  <si>
    <t xml:space="preserve">ANNUAL ITEMIZED SAVINGS </t>
  </si>
  <si>
    <t>Calculated Payment</t>
  </si>
  <si>
    <t xml:space="preserve">IMPORTANT INFORMATION:   </t>
  </si>
  <si>
    <t>PP Expenses-Incentives</t>
  </si>
  <si>
    <t>Actual Term in Years</t>
  </si>
  <si>
    <t>Actual Payment</t>
  </si>
  <si>
    <t>Scheduled number of payments (Yearly)</t>
  </si>
  <si>
    <t>Dollar Retained by the Customer</t>
  </si>
  <si>
    <t>Annual Payment Type</t>
  </si>
  <si>
    <t> End of Performance Period (Year)</t>
  </si>
  <si>
    <t>(3) Please select other savings types from dropdown menu provided above, if applicable.</t>
  </si>
  <si>
    <t>FIRST YEAR ESTIMATED COST SAVINGS BY ENERGY CONSERVATION MEASURE</t>
  </si>
  <si>
    <t>Primary Electric Utility</t>
  </si>
  <si>
    <t>Primary Natural Gas Utility</t>
  </si>
  <si>
    <t>Primary Water Utility</t>
  </si>
  <si>
    <t>Average Annual Energy Consumption of Affected Buildings (MMBtu/yr)</t>
  </si>
  <si>
    <t>List of Buildings in Project (separated by commas)</t>
  </si>
  <si>
    <t xml:space="preserve"> Type of other non-energy costs</t>
  </si>
  <si>
    <t>Primary Financier</t>
  </si>
  <si>
    <t>Contract #</t>
  </si>
  <si>
    <t>Other Savings Type 1: Other</t>
  </si>
  <si>
    <t>Other Savings Type 2: Other</t>
  </si>
  <si>
    <t>Federal Contract Type</t>
  </si>
  <si>
    <t>Implementation start through first year</t>
  </si>
  <si>
    <t>(2) All estimated cost savings numbers reported in Schedule 4 ("First year estimated cost savings by ECM") are assumed to have already incorporated the "Implementation start through first year" escalation rates reported above.</t>
  </si>
  <si>
    <t>Annual Dollar Savings Retained by Customer</t>
  </si>
  <si>
    <t>ECM Category</t>
  </si>
  <si>
    <t xml:space="preserve">(1)  This schedule is not to be altered or changed in any way.  </t>
  </si>
  <si>
    <t>(1) "Implementation start through first year" reflects cumulative escalation occurring during the length of the implementation period through the first year of savings.  This may represent an annual escalation figure that is compounded or another formulation (e.g., actual forecasts from utility companies).</t>
  </si>
  <si>
    <t>TOTAL - ANNUAL PAYMENTS (a)+(b)</t>
  </si>
  <si>
    <t>Annual Payments</t>
  </si>
  <si>
    <t>Total Payments (c+f)</t>
  </si>
  <si>
    <t>COST SAVINGS AND PAYMENTS</t>
  </si>
  <si>
    <t>(g)</t>
  </si>
  <si>
    <t>Implementation Period (Year 0)</t>
  </si>
  <si>
    <t>Debt Service/Performance Period Payments</t>
  </si>
  <si>
    <t>Project Facilitator</t>
  </si>
  <si>
    <t>Dollar savings retained by customer</t>
  </si>
  <si>
    <t>Boiler Plant Improvements</t>
  </si>
  <si>
    <t>Chiller Plant Improvements</t>
  </si>
  <si>
    <t>Lighting Improvements</t>
  </si>
  <si>
    <t>Building Envelope Modifications</t>
  </si>
  <si>
    <t>Chilled Water, Hot Water, and Steam Distribution Systems</t>
  </si>
  <si>
    <t>Electric Motors and Drives</t>
  </si>
  <si>
    <t>Refrigeration</t>
  </si>
  <si>
    <t>Distributed Generation</t>
  </si>
  <si>
    <t>Renewable Energy Systems</t>
  </si>
  <si>
    <t>Energy/Utility Distribution Systems</t>
  </si>
  <si>
    <t>Water and Sewer Conservation Systems</t>
  </si>
  <si>
    <t>Electrical Peak Shaving/Load Shifting</t>
  </si>
  <si>
    <t>Energy Related Process Improvements</t>
  </si>
  <si>
    <t>Appliance/Plug load reductions</t>
  </si>
  <si>
    <t>ADDITIONAL NOTES:</t>
  </si>
  <si>
    <t>Other Savings Type 1</t>
  </si>
  <si>
    <t>Other Savings Type 1: Coal</t>
  </si>
  <si>
    <t>Other Savings Type 1: Diesel</t>
  </si>
  <si>
    <t>Other Savings Type 1: Gasoline</t>
  </si>
  <si>
    <t>Other Savings Type 1: Heating Oil</t>
  </si>
  <si>
    <t>Other Savings Type 1: Jet Fuel</t>
  </si>
  <si>
    <t>Other Savings Type 1: Purchased Steam</t>
  </si>
  <si>
    <t>Other Savings Type 1: Chilled Water</t>
  </si>
  <si>
    <t>Other Savings Type 2</t>
  </si>
  <si>
    <t>Other Savings Type 2: Coal</t>
  </si>
  <si>
    <t>Other Savings Type 2: Diesel</t>
  </si>
  <si>
    <t>Other Savings Type 2: Gasoline</t>
  </si>
  <si>
    <t>Other Savings Type 2: Heating Oil</t>
  </si>
  <si>
    <t>Other Savings Type 2: Jet Fuel</t>
  </si>
  <si>
    <t>Other Savings Type 2: Purchased Steam</t>
  </si>
  <si>
    <t>Other Savings Type 2: Chilled Water</t>
  </si>
  <si>
    <t>Other Savings Type 1: Propane</t>
  </si>
  <si>
    <t>Other Savings Type 2: Propane</t>
  </si>
  <si>
    <t xml:space="preserve">Total Guaranteed Cost Savings </t>
  </si>
  <si>
    <t>Total Payments</t>
  </si>
  <si>
    <t xml:space="preserve">Total Estimated Cost Savings </t>
  </si>
  <si>
    <t xml:space="preserve">Annual Estimated Energy Savings (MMBtu) </t>
  </si>
  <si>
    <t xml:space="preserve">Annual Estimated Water Savings (kGal) </t>
  </si>
  <si>
    <t xml:space="preserve">Sub Agency Name/Region </t>
  </si>
  <si>
    <t>Task/Purchase Order #</t>
  </si>
  <si>
    <t xml:space="preserve">Agency Name* </t>
  </si>
  <si>
    <t>Estimated Cost Savings*</t>
  </si>
  <si>
    <t>Guaranteed Cost Savings*</t>
  </si>
  <si>
    <t>Payments*</t>
  </si>
  <si>
    <t>ECM - Technology Category*</t>
  </si>
  <si>
    <t>ECM Description – Title*</t>
  </si>
  <si>
    <t xml:space="preserve"> </t>
  </si>
  <si>
    <t>(3) The total of annual payments represents the contract price and should be supported by information submitted.</t>
  </si>
  <si>
    <t>Resource Enumerations</t>
  </si>
  <si>
    <t>(1) This schedule should only be completed if required by the contract.</t>
  </si>
  <si>
    <t xml:space="preserve">(2) Cancellation ceilings for each time period specified below establish the maximum termination liability for that time period, and include the remaining unamortized principal of the total amount financed for each time period specified above plus any prepayment charges.  Actual total termination costs will be negotiated.             </t>
  </si>
  <si>
    <t>Project Acceptance</t>
  </si>
  <si>
    <t>Project Name</t>
  </si>
  <si>
    <t>Primary Project Location-City</t>
  </si>
  <si>
    <t>Primary Project Location-State</t>
  </si>
  <si>
    <t>Primary Project Location-Zipcode</t>
  </si>
  <si>
    <t xml:space="preserve">Applicable Financial Index  </t>
  </si>
  <si>
    <t xml:space="preserve">Index Rate*    </t>
  </si>
  <si>
    <t>Added Premium (adjusted for tax incentives)*</t>
  </si>
  <si>
    <t>Project Interest Rate (sum of two above inputs)</t>
  </si>
  <si>
    <t>Financing Issue Date (mm/dd/yyyy)</t>
  </si>
  <si>
    <t xml:space="preserve">Effective Through (mm/dd/yyyy)   </t>
  </si>
  <si>
    <t xml:space="preserve">Primary Type of Financing (choose from list) </t>
  </si>
  <si>
    <t>Secondary Type of Financing (choose from list)</t>
  </si>
  <si>
    <t>LESS Implementation Period Payments (from Schedule-1, (c))</t>
  </si>
  <si>
    <t>Implementation Period (months)*</t>
  </si>
  <si>
    <t>Total Floor Area Affected by project (Square Feet)</t>
  </si>
  <si>
    <t>Market Segment</t>
  </si>
  <si>
    <t>List of Sites in Project (separated by commas)</t>
  </si>
  <si>
    <t>Number of Buildings in Project</t>
  </si>
  <si>
    <t>(1) Energy conversion factors for MMBtu:  MMBtu=1,000,000 Btu; 1 kWh of Electricity = 0.003413 MMBtu; 1 therm of Natural Gas = 0.1 MMBtu ; 1 gal of #2 Heating Oil = 0.13859 MMBtu; 1 gal of Gasoline = 0.12048 MMBtu; 1 gal of Diesel = 0.13738 MMBtul; 1 short ton of Coal (2,000 pounds)=19.548 MMBtu; 1 gal of Propane=0.091333 MMBtu.</t>
  </si>
  <si>
    <t>Project ID #</t>
  </si>
  <si>
    <t>Template Errors/Warnings</t>
  </si>
  <si>
    <t>Role</t>
  </si>
  <si>
    <t>Institution</t>
  </si>
  <si>
    <t>Name</t>
  </si>
  <si>
    <t>Title</t>
  </si>
  <si>
    <t>Email</t>
  </si>
  <si>
    <t>Phone</t>
  </si>
  <si>
    <t>Project Identification</t>
  </si>
  <si>
    <t>Project Characteristics</t>
  </si>
  <si>
    <t>Project Capitalization</t>
  </si>
  <si>
    <t>Financing Terms</t>
  </si>
  <si>
    <t>Project Financial Summary</t>
  </si>
  <si>
    <t>Performance Period (Year)</t>
  </si>
  <si>
    <t xml:space="preserve">Term (year)        </t>
  </si>
  <si>
    <t>Project Implementation Pricing Worksheet</t>
  </si>
  <si>
    <t>a</t>
  </si>
  <si>
    <t>b</t>
  </si>
  <si>
    <t>c</t>
  </si>
  <si>
    <t>d</t>
  </si>
  <si>
    <t>e</t>
  </si>
  <si>
    <t>f</t>
  </si>
  <si>
    <t>Design</t>
  </si>
  <si>
    <t>g</t>
  </si>
  <si>
    <t>Project Management</t>
  </si>
  <si>
    <t>l</t>
  </si>
  <si>
    <t>n</t>
  </si>
  <si>
    <t>q</t>
  </si>
  <si>
    <t>o</t>
  </si>
  <si>
    <t>Sum (f to l)</t>
  </si>
  <si>
    <t>Sum
(e+m+n-q)</t>
  </si>
  <si>
    <t>Sum 
(a+b+c+d)</t>
  </si>
  <si>
    <t>Total Implementation Price</t>
  </si>
  <si>
    <t>SCHEDULE #2b</t>
  </si>
  <si>
    <t>SCHEDULE #2a</t>
  </si>
  <si>
    <t>Price/Cost</t>
  </si>
  <si>
    <t>Errors/Warnings</t>
  </si>
  <si>
    <t>SCHEDULE #3</t>
  </si>
  <si>
    <t>Implementation Price</t>
  </si>
  <si>
    <t>M&amp;V Equipment Installed During Construction</t>
  </si>
  <si>
    <t>Self-Performed Work</t>
  </si>
  <si>
    <t xml:space="preserve">A fixed-price bid received in response to a Request for Proposals issued by an ESCO for a specific scope of work, exclusive of the cost to install M&amp;V equipment. </t>
  </si>
  <si>
    <t xml:space="preserve">A fixed price cost for a specific scope of work performed by an ESCO.  </t>
  </si>
  <si>
    <t>Description</t>
  </si>
  <si>
    <t>Cost Item</t>
  </si>
  <si>
    <t xml:space="preserve">All ESCOs are required to bond the performance and payment of all work by a reputable surety approved for such work.  The cost of the performance and payment bond shall be included in this category for the anticipated amount of work to be completed.  </t>
  </si>
  <si>
    <t>(5)  ECM coverage (%) represents the percentage share of the total project floor area (see Summary Schedule) affected by the ECM.</t>
  </si>
  <si>
    <t>Commissioning and Training</t>
  </si>
  <si>
    <t>Measurement and Verification</t>
  </si>
  <si>
    <t>(4) If applicable, prior to the performance period, implementation period energy savings and payments are one-time amounts only.</t>
  </si>
  <si>
    <t>(5) If applicable, the guaranteed cost savings during the implementation and performance periods must exceed the payments.</t>
  </si>
  <si>
    <t xml:space="preserve">(6) Escalation rates (see Annual Escalation Rates) apply to the estimated annual cost savings in column (d). </t>
  </si>
  <si>
    <t>(2) Examples of "Performance Period Incentives and Other Payments" include: RECs proceeds, demand response payments, and extra customer payments.  Incentives and payments are assumed to occur at the same time (beginning or end of period) that was identified in the "Summary Schedule."</t>
  </si>
  <si>
    <t>Total Implementation Price (from Schedule-2a Total)</t>
  </si>
  <si>
    <t>PLUS Financing Procurement Price-capitalized construction period interest ($)*</t>
  </si>
  <si>
    <t>PLUS Financing Procurement Price-other expenses ($)*</t>
  </si>
  <si>
    <t>(1) Any Implementation Period payment will be applied to reduce the principal repayment.</t>
  </si>
  <si>
    <t>(3) Future payments to project facilitators (consultants) are one example of uses for dollar savings retained by the customer.</t>
  </si>
  <si>
    <t>(1) These schedules should not be altered or changed in any way except to add notes (see below).  Please consult ePB documentation for assistance with completing these schedules, terminology, etc.</t>
  </si>
  <si>
    <t>f = 0.003412*b1+d1+e1a+e1b</t>
  </si>
  <si>
    <t>Advanced Metering Systems</t>
  </si>
  <si>
    <t xml:space="preserve">Commissioning </t>
  </si>
  <si>
    <t>Energy Cost Reduction Through Rate Adjustments</t>
  </si>
  <si>
    <t>Future/Other ECMs</t>
  </si>
  <si>
    <t xml:space="preserve">(3) End of the year annual cancellation ceiling costs should be shown in month 12 (column N). </t>
  </si>
  <si>
    <t>(4) In the event of TO cancellation, specify the cancellation ceiling as a percentage of remaining principal balance in "Additional Notes" below.</t>
  </si>
  <si>
    <t>Bonded Amount</t>
  </si>
  <si>
    <t>(3)  Contractor shall attach adequate supporting information detailing total implementation price.</t>
  </si>
  <si>
    <t>Subcontractor Costs (Contractor Costs To ESCO) exclusive of M&amp;V equipment</t>
  </si>
  <si>
    <t>Percent of Cost of Goods and Services (Base Construction)</t>
  </si>
  <si>
    <t>The cost of equipment installed during construction which is integral to performance of M&amp;V activities in the performance period.</t>
  </si>
  <si>
    <t>In some cases the ESCO may purchase equipment directly to be installed under scopes of work as described in items (a) and (c) above.  This amount (d) represents the purchase price of all such equipment.</t>
  </si>
  <si>
    <t>Cost of Goods and Services (Base Construction)</t>
  </si>
  <si>
    <t xml:space="preserve">Design costs include all professional architecture and engineering costs required to design and specify projects to be installed as part of the work, appropriately burdended for overhead and profit as determined by the ESCO. </t>
  </si>
  <si>
    <t>The cost of administering and managing the project, appropriately burdened for overhead and profit as determined by the ESCO.</t>
  </si>
  <si>
    <t>Performance and Payment Bonds</t>
  </si>
  <si>
    <t>At the completion of construction, equipment is commissioned.  This work is normally completed by commissioning agents.  If this scope is completed by ESCO employees, it includes the the appropriately  burdened cost (profit &amp; overhead) as determined by the ESCO.  If this scope is outsourced to a commissioning firm, this cost includes the turnkey cost to provide necessary commissioning services.
Training costs may be provided by subcontractors and as such will be included in their subcontractor bid.  However, if the ESCO plans to provide training, the burdened labor cost for such training shall be included in this line item.  In addition to labor, this line item may include formal classroom training, training videos, online training programs, and other training efforts that include labor and materials required to provide necessary training.  This line item cannot not be a repeat of training provided directly by subcontractors in subcontractor costs.  Training labor may be utilized to supervise and coordinate subcontractor training sessions.</t>
  </si>
  <si>
    <t xml:space="preserve">At the completion of construction, the ESCO completes the M&amp;V of installed equipment to verify post-retrofit energy and water efficiency, operation, and prepares a Post-Installation M&amp;V report.  This effort is necessary to ensure systems will meet the guaranteed energy savings and start the M&amp;V Services phase.  If completed by ESCO staff, this cost shall be appropriately burdened (overhead and profit) as determined by the ESCO.  If completed by an external M&amp;V firm, this cost includes the turnkey cost to provide necessary M&amp;V services.  </t>
  </si>
  <si>
    <t>Overhead Percent</t>
  </si>
  <si>
    <t>Profit Percent</t>
  </si>
  <si>
    <t>The indirect costs or fixed expenses of operating the ESCO’s business, applied to the Cost of Goods and Service.</t>
  </si>
  <si>
    <t xml:space="preserve">The anticipated, but not guaranteed, gross profit associated with the project, applied to the Cost of Goods and Service. </t>
  </si>
  <si>
    <t xml:space="preserve">(1) The Implementation delivery percentage shall not exceed the maximum delivery percentage, if applicable. </t>
  </si>
  <si>
    <t>TOTAL Performance Period Price (b)</t>
  </si>
  <si>
    <t>Other Direct Purchases Of Equipment, Material, Supplies (Supplier Costs To ESCO)  exclusive of M&amp;V equipment</t>
  </si>
  <si>
    <t>PDC + [a+b] - c</t>
  </si>
  <si>
    <t>Implementation Delivery Percentage/Charge</t>
  </si>
  <si>
    <t>Schedule 2a Costs</t>
  </si>
  <si>
    <t>(2) The guaranteed annual cost savings are pursuant to the description in the M&amp;V plan proposed for the project.</t>
  </si>
  <si>
    <t>(4)  For the following ECMs, enter under ECM Size the total installed capacity of new equipment in the units specified; chillers and packaged units in tons (e.g., for a chiller - 250 tons), VFDs in hp, boilers and furnaces in input Btu/hr, BAS/EMCS in number of points, transformers in kVA, generators in kW.  For lighting ECMs, specify baseline kW treated.</t>
  </si>
  <si>
    <t>(3) User should enter an average monthly kW reduction figure. Demand savings can (and usually do) vary by season and in their conversion rate to dollar savings.</t>
  </si>
  <si>
    <t>Other PP Expense 1: Other</t>
  </si>
  <si>
    <t>Other PP Expense 2: Other</t>
  </si>
  <si>
    <t>Implementation Price PDP + [a+b] - c</t>
  </si>
  <si>
    <t>Project Development Price (PDP)-Technical Energy Audit and Project Proposal</t>
  </si>
  <si>
    <t>Heating, Ventilating, and Air Conditioning</t>
  </si>
  <si>
    <t xml:space="preserve">Performance Period (years) </t>
  </si>
  <si>
    <t xml:space="preserve">Start date of Performance Period (mm/dd/yyyy)  </t>
  </si>
  <si>
    <t>M&amp;V</t>
  </si>
  <si>
    <t>RCx</t>
  </si>
  <si>
    <t>O&amp;M and RCx</t>
  </si>
  <si>
    <t>Other</t>
  </si>
  <si>
    <t>Option A</t>
  </si>
  <si>
    <t>Option B</t>
  </si>
  <si>
    <t>Option C</t>
  </si>
  <si>
    <t>Option D</t>
  </si>
  <si>
    <t>Unknown</t>
  </si>
  <si>
    <t>SCHEDULE #1(u)- UESC</t>
  </si>
  <si>
    <t>(3) If applicable, the contractor shall propose "Bonded Amount" representing the basis of establishing performance and payment bonds.</t>
  </si>
  <si>
    <t>1. Project Contact Information</t>
  </si>
  <si>
    <t>2. Project Identification &amp; Characteristics</t>
  </si>
  <si>
    <t>3. Project Costs and Financials</t>
  </si>
  <si>
    <t>4. Project Capitalization</t>
  </si>
  <si>
    <t>5. Other</t>
  </si>
  <si>
    <t>Annual Escalation Rates</t>
  </si>
  <si>
    <r>
      <t>2.</t>
    </r>
    <r>
      <rPr>
        <sz val="7"/>
        <color rgb="FF000000"/>
        <rFont val="Century Gothic"/>
        <family val="1"/>
      </rPr>
      <t xml:space="preserve">     </t>
    </r>
    <r>
      <rPr>
        <sz val="12"/>
        <color rgb="FF000000"/>
        <rFont val="Century Gothic"/>
        <family val="1"/>
      </rPr>
      <t xml:space="preserve">Performance Period Expenses: The post-acceptance performance period section pertains to the total expenses associated with the services the contractor supplies to manage the project, maintain and verify ECM performance during the post-acceptance performance period, and any other applicable expenses. </t>
    </r>
  </si>
  <si>
    <t>Sch1-Ann Cost Sav &amp; Pymts</t>
  </si>
  <si>
    <t>Sch1u-Ann Cost Sav &amp; Pymts-UESC</t>
  </si>
  <si>
    <t>Sch2a-Imp Price by ECM</t>
  </si>
  <si>
    <t>Sch3-Perf Period Cash Flow</t>
  </si>
  <si>
    <t>Sheet</t>
  </si>
  <si>
    <t>Project Type</t>
  </si>
  <si>
    <t>All</t>
  </si>
  <si>
    <t>(4) Prior to award, the stated interest rate is considered preliminary and subject to change.  The final interest rate will be based on market conditions at the time of award.  The rate will be locked at time of award and will be fixed through the performance period.</t>
  </si>
  <si>
    <t>(2) The total of annual payments represents the contract price and should be supported by information submitted.</t>
  </si>
  <si>
    <t>(3) If applicable, prior to the performance period, implementation period energy savings and payments are one-time amounts only.</t>
  </si>
  <si>
    <t xml:space="preserve">(4) Escalation rates (see Annual Escalation Rates) apply to the estimated annual cost savings in column (d). </t>
  </si>
  <si>
    <t>Quarterly Payment Type</t>
  </si>
  <si>
    <t>Biannual Payment Type</t>
  </si>
  <si>
    <r>
      <rPr>
        <b/>
        <sz val="12"/>
        <rFont val="Century Gothic"/>
        <family val="2"/>
      </rPr>
      <t>IMPORTANT INFORMATION</t>
    </r>
    <r>
      <rPr>
        <sz val="12"/>
        <rFont val="Century Gothic"/>
        <family val="2"/>
      </rPr>
      <t>: See the ePB Data Template User Guide on the</t>
    </r>
    <r>
      <rPr>
        <u/>
        <sz val="12"/>
        <color theme="10"/>
        <rFont val="Century Gothic"/>
        <family val="2"/>
      </rPr>
      <t xml:space="preserve"> Help &amp; Documentation Page</t>
    </r>
    <r>
      <rPr>
        <sz val="12"/>
        <rFont val="Century Gothic"/>
        <family val="2"/>
      </rPr>
      <t xml:space="preserve"> for additional information on completing the data template.</t>
    </r>
  </si>
  <si>
    <t>Summary Schedule</t>
  </si>
  <si>
    <t>Sch2b-Project Imp Pricing</t>
  </si>
  <si>
    <t>Sch4-Cost Savings by ECM</t>
  </si>
  <si>
    <t>Sch5-Cancellation Ceilings</t>
  </si>
  <si>
    <t>Federal projects only</t>
  </si>
  <si>
    <t>The Summary Schedule is intended to capture high-level information about the overall project. The information on the Summary sheet is divided into 5 broad categories:</t>
  </si>
  <si>
    <t>(1) Implementation period savings can represent two things: a) construction period savings (where savings from some ECMs start accruing before construction is complete on the greater project), and b)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</si>
  <si>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(1) Implementation period savings (both estimated and guaranteed) can represent two things: a) construction period savings (where savings from some ECMs start accruing before construction is complete on the greater project), and b)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</si>
  <si>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Other Non-Energy Savings</t>
  </si>
  <si>
    <t>Agreement Type</t>
  </si>
  <si>
    <t>Select "UESC" on Summary Schedule C4</t>
  </si>
  <si>
    <t>Annual Escalation Rates are intended to capture the rates that are used to calculate the year-over-year energy savings for each of the different savings streams - both utility and non-utility. The first year savings reported on Sch4-Cost Savings by ECM will be escalated using the appropriate escalation rates to calculate Estimated Annual Cost Savings for subsequent years.</t>
  </si>
  <si>
    <t xml:space="preserve">This schedule presents the total implementation cost for each of the ECMs included in the project. It includes fields to characterize the ECM: technology category, number and description. It also includes other fields intended to capture the size and scope of the measure. </t>
  </si>
  <si>
    <t>Schedule 2b is optional for all users except those under the 2017 FEMP IDIQ contract. Schedule 2b itemizes project-level pricing, which is broken down into two major categories: (1) Cost of Goods &amp; Services, and (2) Implementation Delivery Percentage/Charge.</t>
  </si>
  <si>
    <t>This schedule presents the project's overall proposed cash flow. This schedule is divided into two sections:</t>
  </si>
  <si>
    <r>
      <t>1.</t>
    </r>
    <r>
      <rPr>
        <sz val="7"/>
        <color rgb="FF000000"/>
        <rFont val="Century Gothic"/>
        <family val="1"/>
      </rPr>
      <t xml:space="preserve">     </t>
    </r>
    <r>
      <rPr>
        <sz val="12"/>
        <color rgb="FF000000"/>
        <rFont val="Century Gothic"/>
        <family val="1"/>
      </rPr>
      <t>Debt Service/Performance Period Payments: The total implementation price less any one-time savings and/or ECM cost savings during the implementation period (Sch2a-Imp Price by ECM) is amortized based on the financing terms shown on Summary Sheet to calculate the overall debt service payment after excluding any financial or tax incentives or revenues, thereby reducing principal repayment or interest.</t>
    </r>
  </si>
  <si>
    <t xml:space="preserve">A summary of the proposed estimated first year cost savings that will be achieved following the installation of the ECMs included in the project. The annual cost savings shown for each ECM are broken down into energy, demand, water and non-energy cost savings. The energy baseline and savings shall be presented in the energy type consumed by the equipment and also converted to MMBTUs. </t>
  </si>
  <si>
    <t xml:space="preserve">A presentation of annual cancellation ceilings to establish the maximum termination liability in the event of contract cancellation or termination. </t>
  </si>
  <si>
    <t xml:space="preserve">Payment Timing* </t>
  </si>
  <si>
    <t>Project Award Date (mm/dd/yyyy)*</t>
  </si>
  <si>
    <t>The calculated estimated Annual Cost Savings for different years along with the related Annual Payment are shown on this schedule. The only user-entered fields on this schedule are Estimated Cost Savings and Payments for the implementation period. Only applicable for UESC projects.</t>
  </si>
  <si>
    <t xml:space="preserve">All except UESC </t>
  </si>
  <si>
    <t>All except UESC</t>
  </si>
  <si>
    <t>(2) At least one of the savings fields is required to compute the contract term.</t>
  </si>
  <si>
    <t xml:space="preserve">(4) All estimated cost savings numbers reported in this schedule are assumed to have already incorporated the "Implementation start through first year" escalation rates reported in the Annual Escalation Rates schedule.   </t>
  </si>
  <si>
    <t>Total Amount Financed (principal)</t>
  </si>
  <si>
    <t>(2) If selected, the contractor shall complete the installation of all proposed ECMs no later than the implementation period identified in the contract.</t>
  </si>
  <si>
    <t xml:space="preserve">BRIEF DESCRIPTION OF VARIOUS SCHEDULES </t>
  </si>
  <si>
    <t>The calculated Estimated Annual Cost Savings for each performance year along with the Guaranteed Annual Cost Savings and the related "Annual Payment" are shown on this schedule. The only user-entered fields on this schedule are Estimated Cost Savings, Guaranteed Cost Savings, and Payments for the implementation period.</t>
  </si>
  <si>
    <t>SCHEDULE #1(ee)-ESA &amp; ESPC</t>
  </si>
  <si>
    <t>(h)</t>
  </si>
  <si>
    <t>Total Annual Payments</t>
  </si>
  <si>
    <t>ESA Payments</t>
  </si>
  <si>
    <t>ESPC Payments</t>
  </si>
  <si>
    <t>(1) Implementation period savings (both estimated and guaranteed) can represent two things: 1) construction period savings (where savings from some ECMs start accruing before construction is complete on the greater project), and 2)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</si>
  <si>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SCHEDULE #1(esa)-ESA</t>
  </si>
  <si>
    <t>ESA COSTS AND PAYMENTS</t>
  </si>
  <si>
    <t>Annual ESA
Price ($/kWh)</t>
  </si>
  <si>
    <t>Guaranteed Annual
Production (kWh)</t>
  </si>
  <si>
    <t>M&amp;V Expense ($)</t>
  </si>
  <si>
    <t>Sch1ee-Ann Cost Sav &amp; Pymts</t>
  </si>
  <si>
    <t>Sch1esa-ESA Pymts</t>
  </si>
  <si>
    <t>(f) = (g) + (h)</t>
  </si>
  <si>
    <t>The calculated Estimated Annual Cost Savings for each performance year along with the Guaranteed Annual Cost Savings and the related "Annual Payment" are shown on this schedule. The Total Annual Payments are broken out into ESA Payments and ESPC Payments. The only user-entered fields on this schedule are Estimated Cost Savings, Guaranteed Cost Savings, and Payments for the implementation period</t>
  </si>
  <si>
    <t>The ESA costs and payments are shown in this schedule. These include the annual ESA Price/rate and Guaranteed Annual Production. The ESA payments are broken out into "Escrow for FMV Purchase" and "Net ESA Payment to ESCO After Escrow. The only user-entered fields on this schedule are Year 1 ESA Price ($/kWh), Guarantee %, Energy Degradation and Escrow $/kWh.</t>
  </si>
  <si>
    <t>Estimated FMV at end of term</t>
  </si>
  <si>
    <t>(4) Interest ($) on row 8 of Schedule 3 reflects the interest payment amount on the remaining principal balance for each year of the financing term. Thus the interest amount declines as the remaining principal declines over the years of the financing term.</t>
  </si>
  <si>
    <t>Year 1 ESA Price ($/kWh)*</t>
  </si>
  <si>
    <t>Guarantee %*</t>
  </si>
  <si>
    <t>ESA Payment (a)*(b)
(Guaranteed)</t>
  </si>
  <si>
    <t>Reserve Account for Fair Market Value (FMV) Purchase</t>
  </si>
  <si>
    <t>1) The "year 1 ESA price ($/kWh)" represents a blended price, inclusive of both kWh and kW production, and thus may be higher than the customer's current kWh-only price.</t>
  </si>
  <si>
    <t>2) "Energy degradation" is the estimated percentage decrease in electrical output (kWh) per year.</t>
  </si>
  <si>
    <t>3) Electricity prices shown in column (a) are escalated per the escalation rates for "electric energy" shown in the Annual Escalation Rates schedule.</t>
  </si>
  <si>
    <t>4) The year 1 "guaranteed annual production (kWh)" in column (b) represents the "electric energy savings" from the renewable energy ECM, as shown on Schedule 4, Cost Savings by ECM.</t>
  </si>
  <si>
    <t>5) ESA payment shown in column (c) includes the reserve account amount shown in (d).</t>
  </si>
  <si>
    <t xml:space="preserve">Customer </t>
  </si>
  <si>
    <t>Performance Period Incentives and Other Revenues</t>
  </si>
  <si>
    <t>Select "ESA" on Summary Schedule C4</t>
  </si>
  <si>
    <t>Project Agreement Type                     (choose from list)*</t>
  </si>
  <si>
    <t>(7)  At least one ECM must be marked with a "Yes" in the "Energy Sales Agreement" column if you chose "ESA" as the Project Agreement Type on the Summary Schedule.  Note that any ECM marked with a "Yes" in this column will not have any of its figures included in the project-level cost and price totals (Costs of Goods and Services - Base Construction, Project Implementation Delivery Charge, Applied Incentives, Implementation Price).  The ECM-level figures entered on this schedule for an ESA ECM represent equivalent investment values, and are provided for the purposes of agency reporting only</t>
  </si>
  <si>
    <t>Applied Incentives ($)</t>
  </si>
  <si>
    <t>SCHEDULE #4g</t>
  </si>
  <si>
    <t>kg CO2e/Mmbtu</t>
  </si>
  <si>
    <t>Electric GHG</t>
  </si>
  <si>
    <t>kg CO2e/MMBtu</t>
  </si>
  <si>
    <t>Natural gas GHG</t>
  </si>
  <si>
    <t>kg CO2e</t>
  </si>
  <si>
    <t>ASCC Alaska Grid</t>
  </si>
  <si>
    <t>ASCC Miscellaneous</t>
  </si>
  <si>
    <t>Select Region</t>
  </si>
  <si>
    <t>(1) Energy conversion factors for MMBtu:  MMBtu=1,000,000 Btu; 1 kWh of Electricity = 0.003412 MMBtu; 1 therm of Natural Gas = 0.1 MMBtu ; 1 gal of #2 Heating Oil = 0.138 MMBtu; 1 gal of Gasoline = 0.125 MMBtu; 1 gal of Diesel = 0.138 MMBtul; 1 short ton of Coal (2,000 pounds)=21.39 MMBtu; 1 gal of Propane=0.091 MMBtu.</t>
  </si>
  <si>
    <t>Unique Key HHV</t>
  </si>
  <si>
    <t>Scope</t>
  </si>
  <si>
    <t>Category</t>
  </si>
  <si>
    <t>Fuel Type</t>
  </si>
  <si>
    <t>Default high heat value</t>
  </si>
  <si>
    <t>HHV Units</t>
  </si>
  <si>
    <t>Default CO2 EF</t>
  </si>
  <si>
    <t>CO2 UOM</t>
  </si>
  <si>
    <t>Default CH4 EF</t>
  </si>
  <si>
    <t>CH4 UOM</t>
  </si>
  <si>
    <t>Default N2O EF</t>
  </si>
  <si>
    <t>N2O UOM</t>
  </si>
  <si>
    <t>Reference</t>
  </si>
  <si>
    <t>Reference URL</t>
  </si>
  <si>
    <t>Scope All</t>
  </si>
  <si>
    <t>Fuels</t>
  </si>
  <si>
    <t>Asphalt and road oil</t>
  </si>
  <si>
    <t>MMBtu/gallon</t>
  </si>
  <si>
    <t>kg CO2/MMBtu</t>
  </si>
  <si>
    <t>kg CH4/MMBtu</t>
  </si>
  <si>
    <t>kg N2O/MMBtu</t>
  </si>
  <si>
    <t>U.S. EPA Greenhouse Gas Reporting Program, Federal Register / Vol. 74, No. 209 / Friday, October 30, 2009 / Rules and Regulations, Table C-1 to Subpart C of Part 98 &amp; Table C-2 to Subpart C of Part 98.</t>
  </si>
  <si>
    <t>http://www.epa.gov/climateleadership/documents/emission-factors.pdf</t>
  </si>
  <si>
    <t>Aviation gasoline</t>
  </si>
  <si>
    <t>Biodiesel - B100</t>
  </si>
  <si>
    <t>http://www.epa.gov/ghgreporting/documents/pdf/2009/GHG-MRR-FinalRule.pdf</t>
  </si>
  <si>
    <t>Biogas - captured methane</t>
  </si>
  <si>
    <t>MMBtu/scf</t>
  </si>
  <si>
    <t>Biogas - LandGEM</t>
  </si>
  <si>
    <t>MMBtu/MT CH4</t>
  </si>
  <si>
    <t>MT CO2/MMBtu</t>
  </si>
  <si>
    <t>MT CH4/MMBtu</t>
  </si>
  <si>
    <t>MT N2O/MMBtu</t>
  </si>
  <si>
    <t>U.S. EPA Greenhouse Gas Reporting Program, Federal Register / Vol. 74, No. 209 / Friday, October 30, 2009 / Rules and Regulations, Table C-1 to Subpart C of Part 98 &amp; Table C-2 to Subpart C of Part 98. &amp; U.S. EPA Climate Leaders, Offset Project Methodology for Project Type: Landfill Methane Collection and Combustion, August 2008.</t>
  </si>
  <si>
    <t>http://www.epa.gov/ghgreporting/documents/pdf/2009/GHG-MRR-FinalRule.pdf &amp; http://www.epa.gov/stateply/documents/resources/draft_landfill_offset_protocol.pdf</t>
  </si>
  <si>
    <t>Biogas - WWTP</t>
  </si>
  <si>
    <t>MMBtu/Kg CH4</t>
  </si>
  <si>
    <t>Biomass - Agricultural byproducts</t>
  </si>
  <si>
    <t>MMBtu/short ton</t>
  </si>
  <si>
    <t>Biomass - Peat</t>
  </si>
  <si>
    <t>Biomass - Solid byproducts</t>
  </si>
  <si>
    <t>Biomass - Wood and wood residuals</t>
  </si>
  <si>
    <t>Blast furnace gas - Fossil-derived</t>
  </si>
  <si>
    <t>Butane</t>
  </si>
  <si>
    <t>Butylene</t>
  </si>
  <si>
    <t>Coal - Anthracite</t>
  </si>
  <si>
    <t>Coal - Bituminous</t>
  </si>
  <si>
    <t>Coal - Coke</t>
  </si>
  <si>
    <t>Coal - Lignite</t>
  </si>
  <si>
    <t>Coal - Mixed (Commercial sector)</t>
  </si>
  <si>
    <t>Coal - Mixed (Electric Power sector)</t>
  </si>
  <si>
    <t>Coal - Mixed (Industrial coking)</t>
  </si>
  <si>
    <t>Coal - Mixed (Industrial sector)</t>
  </si>
  <si>
    <t>Coal - Subbituminous</t>
  </si>
  <si>
    <t>Coke oven gas - Fossil-derived</t>
  </si>
  <si>
    <t>Crude oil</t>
  </si>
  <si>
    <t>Distillate Fuel Oil No. 1</t>
  </si>
  <si>
    <t>Distillate Fuel Oil No. 2</t>
  </si>
  <si>
    <t>Distillate Fuel Oil No. 4</t>
  </si>
  <si>
    <t>Ethane</t>
  </si>
  <si>
    <t>Ethanol - E100</t>
  </si>
  <si>
    <t>Ethylene</t>
  </si>
  <si>
    <t>Heavy gas oils</t>
  </si>
  <si>
    <t>Isobutene</t>
  </si>
  <si>
    <t>Isobutylene</t>
  </si>
  <si>
    <t>Kerosene</t>
  </si>
  <si>
    <t>Kerosene-type jet fuel</t>
  </si>
  <si>
    <t>Liquefied petroleum gases (LPG)</t>
  </si>
  <si>
    <t>Lubricants</t>
  </si>
  <si>
    <t>Motor gasoline</t>
  </si>
  <si>
    <t>Municipal solid waste - Fossil-derived</t>
  </si>
  <si>
    <t>Naphtha - &lt;401 degrees F</t>
  </si>
  <si>
    <t>Natural gasoline</t>
  </si>
  <si>
    <t>Other oil (&gt;401 degrees F)</t>
  </si>
  <si>
    <t>Pentanes plus</t>
  </si>
  <si>
    <t>Petrochemical feedstocks</t>
  </si>
  <si>
    <t>Petroleum coke</t>
  </si>
  <si>
    <t>Propane</t>
  </si>
  <si>
    <t>Propylene</t>
  </si>
  <si>
    <t>Rendered animal fat</t>
  </si>
  <si>
    <t>Residual  Fuel Oil No. 6</t>
  </si>
  <si>
    <t>Residual Fuel Oil No. 5</t>
  </si>
  <si>
    <t>Special naphtha</t>
  </si>
  <si>
    <t>Still gas</t>
  </si>
  <si>
    <t>Tires - Fossil-derived</t>
  </si>
  <si>
    <t>Unfinished oils</t>
  </si>
  <si>
    <t>Vegetable oil</t>
  </si>
  <si>
    <t>Chilled Water</t>
  </si>
  <si>
    <t>Electric Driven Chiller, US National Average</t>
  </si>
  <si>
    <t>Purchased Steam</t>
  </si>
  <si>
    <t>Hot Water</t>
  </si>
  <si>
    <t>For Custom Fuel Types, enter EMFACs</t>
  </si>
  <si>
    <t>MMBtu/mmbtu</t>
  </si>
  <si>
    <t>eGRID subregion name</t>
  </si>
  <si>
    <t>eGRID subregion acronym</t>
  </si>
  <si>
    <t>Subregion annual CO2 output emission rate (lb/MWh)</t>
  </si>
  <si>
    <t>Subregion annual CH4 output emission rate (lb/MWh)</t>
  </si>
  <si>
    <t>Subregion annual N2O output emission rate (lb/MWh)</t>
  </si>
  <si>
    <t>Non-Baseload Combined Rate (kgs per mmbtu)</t>
  </si>
  <si>
    <t>AKGD</t>
  </si>
  <si>
    <t>CH4</t>
  </si>
  <si>
    <t>100 year GWP</t>
  </si>
  <si>
    <t>AKMS</t>
  </si>
  <si>
    <t>N20</t>
  </si>
  <si>
    <t>WECC Southwest</t>
  </si>
  <si>
    <t>AZNM</t>
  </si>
  <si>
    <t>lbs to kg</t>
  </si>
  <si>
    <t>WECC California</t>
  </si>
  <si>
    <t>CAMX</t>
  </si>
  <si>
    <t>btu to watts</t>
  </si>
  <si>
    <t>ERCOT All</t>
  </si>
  <si>
    <t>ERCT</t>
  </si>
  <si>
    <t>FRCC All</t>
  </si>
  <si>
    <t>FRCC</t>
  </si>
  <si>
    <t>HICC Miscellaneous</t>
  </si>
  <si>
    <t>HIMS</t>
  </si>
  <si>
    <t>HICC Oahu</t>
  </si>
  <si>
    <t>HIOA</t>
  </si>
  <si>
    <t>MRO East</t>
  </si>
  <si>
    <t>MROE</t>
  </si>
  <si>
    <t>MRO West</t>
  </si>
  <si>
    <t>MROW</t>
  </si>
  <si>
    <t>NPCC New England</t>
  </si>
  <si>
    <t>NEWE</t>
  </si>
  <si>
    <t>WECC Northwest</t>
  </si>
  <si>
    <t>NWPP</t>
  </si>
  <si>
    <t>NPCC NYC/Westchester</t>
  </si>
  <si>
    <t>NYCW</t>
  </si>
  <si>
    <t>NPCC Long Island</t>
  </si>
  <si>
    <t>NYLI</t>
  </si>
  <si>
    <t>NPCC Upstate NY</t>
  </si>
  <si>
    <t>NYUP</t>
  </si>
  <si>
    <t>Puerto Rico Miscellaneous</t>
  </si>
  <si>
    <t>PRMS</t>
  </si>
  <si>
    <t>RFC East</t>
  </si>
  <si>
    <t>RFCE</t>
  </si>
  <si>
    <t>RFC Michigan</t>
  </si>
  <si>
    <t>RFCM</t>
  </si>
  <si>
    <t>RFC West</t>
  </si>
  <si>
    <t>RFCW</t>
  </si>
  <si>
    <t>WECC Rockies</t>
  </si>
  <si>
    <t>RMPA</t>
  </si>
  <si>
    <t>SPP North</t>
  </si>
  <si>
    <t>SPNO</t>
  </si>
  <si>
    <t>SPP South</t>
  </si>
  <si>
    <t>SPSO</t>
  </si>
  <si>
    <t>SERC Mississippi Valley</t>
  </si>
  <si>
    <t>SRMV</t>
  </si>
  <si>
    <t>SERC Midwest</t>
  </si>
  <si>
    <t>SRMW</t>
  </si>
  <si>
    <t>SERC South</t>
  </si>
  <si>
    <t>SRSO</t>
  </si>
  <si>
    <t>SERC Tennessee Valley</t>
  </si>
  <si>
    <t>SRTV</t>
  </si>
  <si>
    <t>SERC Virginia/Carolina</t>
  </si>
  <si>
    <t>SRVC</t>
  </si>
  <si>
    <t>U.S. Default</t>
  </si>
  <si>
    <t>U.S.</t>
  </si>
  <si>
    <t>Master Non-Baseload Egrid Factors, eGRID 2021, (2019) Data, Table 1 Summary Tables</t>
  </si>
  <si>
    <t>Sch4g-GHG</t>
  </si>
  <si>
    <t>A summary of the proposed estimated first year GHG reductions (Scope 1 and Scope 2) that will be achieved following the installation of the ECMs included in the project. These reductions are based on the energy savings entered on Sch4-Cost Savings by ECM and EPA’s Emission Factors for GHG Inventories</t>
  </si>
  <si>
    <t>https://www.epa.gov/system/files/documents/2022-04/ghg_emission_factors_hub.pdf</t>
  </si>
  <si>
    <t>Federal M&amp;V Version</t>
  </si>
  <si>
    <t>Location/Facility ID</t>
  </si>
  <si>
    <t>Building Automation Systems/Energy Management Control Systems</t>
  </si>
  <si>
    <t>Annual Scope 1 CO2e Reductions</t>
  </si>
  <si>
    <t>Annual Scope 2 CO2e Reductions</t>
  </si>
  <si>
    <t>Annual Total CO2e Reductions</t>
  </si>
  <si>
    <t>Subregion annual CO2e output emission rate (kg/MMBtu)</t>
  </si>
  <si>
    <t>eGrid State Region</t>
  </si>
  <si>
    <t>6) The reserve account (column d) is maintained by the ESCO on behalf of the customer. The reserve account is funded for the purpose of facilitating the fair market value (FMV) title transfer of the project's renewable asset by the government at the conclusion of the term.</t>
  </si>
  <si>
    <t>FIRST YEAR ESTIMATED GHG EMISSIONS REDUCTIONS BY ENERGY CONSERVATION MEASURE</t>
  </si>
  <si>
    <t>(6) Assuming "Chilled Water” is “Purchased Chilled Water" that's generated from electric chiller and "Purchased Steam" is generated from a natural gas boiler with an efficiency of 80%, steam production efficiency of 75% with 10% distribution loses</t>
  </si>
  <si>
    <t>(5) Electricity GHG emission factors are based on EPA's Master Non-Baseload Egrid Factors, eGRID 2021(2019 Data)</t>
  </si>
  <si>
    <t>h2</t>
  </si>
  <si>
    <t>i2</t>
  </si>
  <si>
    <t>Wastewater/ Sewage Savings</t>
  </si>
  <si>
    <t>Wastewater/Sewage</t>
  </si>
  <si>
    <t>Baseline Wastewater/ Sewage</t>
  </si>
  <si>
    <t>4.2.9.c</t>
  </si>
  <si>
    <t>Energy Degradation %*</t>
  </si>
  <si>
    <t>02112025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</si>
</sst>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5" formatCode="&quot;$&quot;#,##0_);\(&quot;$&quot;#,##0\)"/>
    <numFmt numFmtId="6" formatCode="&quot;$&quot;#,##0_);[Red]\(&quot;$&quot;#,##0\)"/>
    <numFmt numFmtId="8" formatCode="&quot;$&quot;#,##0.00_);[Red]\(&quot;$&quot;#,##0.00\)"/>
    <numFmt numFmtId="44" formatCode="_(&quot;$&quot;* #,##0.00_);_(&quot;$&quot;* \(#,##0.00\);_(&quot;$&quot;* &quot;-&quot;??_);_(@_)"/>
    <numFmt numFmtId="43" formatCode="_(* #,##0.00_);_(* \(#,##0.00\);_(* &quot;-&quot;??_);_(@_)"/>
    <numFmt numFmtId="164" formatCode="0.0"/>
    <numFmt numFmtId="165" formatCode="&quot;$&quot;#,##0"/>
    <numFmt numFmtId="166" formatCode="0.00_)"/>
    <numFmt numFmtId="167" formatCode="[$$-409]#,##0_);\([$$-409]#,##0\)"/>
    <numFmt numFmtId="168" formatCode="0.0%"/>
    <numFmt numFmtId="169" formatCode="_(* #,##0_);_(* \(#,##0\);_(* &quot;-&quot;??_);_(@_)"/>
    <numFmt numFmtId="170" formatCode="0.000%"/>
    <numFmt numFmtId="171" formatCode="#,##0.0000000_);\(#,##0.0000000\)"/>
    <numFmt numFmtId="172" formatCode="&quot;$&quot;#,##0.00"/>
    <numFmt numFmtId="173" formatCode="[&lt;=9999999]###\-####;\(###\)\ ###\-####"/>
    <numFmt numFmtId="174" formatCode="m/d/yyyy;@"/>
    <numFmt numFmtId="175" formatCode="0.0000%"/>
    <numFmt numFmtId="176" formatCode="00000"/>
    <numFmt numFmtId="177" formatCode="&quot;$&quot;#,##0.00000"/>
    <numFmt numFmtId="178" formatCode="0.000"/>
    <numFmt numFmtId="179" formatCode="#,##0.00000"/>
    <numFmt numFmtId="180" formatCode="_(* #,##0.0_);_(* \(#,##0.0\);_(* &quot;-&quot;??_);_(@_)"/>
    <numFmt numFmtId="181" formatCode="#,##0.0"/>
    <numFmt numFmtId="182" formatCode="#,##0.000"/>
  </numFmts>
  <fonts count="91">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8"/>
      <name val="Calibri"/>
      <family val="2"/>
      <scheme val="minor"/>
    </font>
    <font>
      <u/>
      <sz val="12"/>
      <color theme="10"/>
      <name val="Calibri"/>
      <family val="2"/>
      <scheme val="minor"/>
    </font>
    <font>
      <u/>
      <sz val="12"/>
      <color theme="11"/>
      <name val="Calibri"/>
      <family val="2"/>
      <scheme val="minor"/>
    </font>
    <font>
      <sz val="10"/>
      <name val="Arial"/>
      <family val="2"/>
    </font>
    <font>
      <sz val="8"/>
      <name val="Arial"/>
      <family val="2"/>
    </font>
    <font>
      <b/>
      <i/>
      <sz val="16"/>
      <name val="Helvetica"/>
      <family val="2"/>
    </font>
    <font>
      <sz val="10"/>
      <name val="Arial"/>
      <family val="2"/>
    </font>
    <font>
      <sz val="10"/>
      <name val="Century Gothic"/>
      <family val="2"/>
    </font>
    <font>
      <b/>
      <sz val="8"/>
      <name val="Century Gothic"/>
      <family val="2"/>
    </font>
    <font>
      <b/>
      <i/>
      <sz val="16"/>
      <color theme="1"/>
      <name val="Century Gothic"/>
      <family val="2"/>
    </font>
    <font>
      <sz val="12"/>
      <color theme="1"/>
      <name val="Century Gothic"/>
      <family val="2"/>
    </font>
    <font>
      <sz val="9"/>
      <color theme="1"/>
      <name val="Century Gothic"/>
      <family val="2"/>
    </font>
    <font>
      <b/>
      <sz val="12"/>
      <color theme="1"/>
      <name val="Century Gothic"/>
      <family val="2"/>
    </font>
    <font>
      <b/>
      <sz val="12"/>
      <name val="Century Gothic"/>
      <family val="2"/>
    </font>
    <font>
      <b/>
      <i/>
      <sz val="16"/>
      <color rgb="FF000000"/>
      <name val="Century Gothic"/>
      <family val="2"/>
    </font>
    <font>
      <b/>
      <sz val="11"/>
      <color rgb="FF000000"/>
      <name val="Century Gothic"/>
      <family val="2"/>
    </font>
    <font>
      <b/>
      <sz val="11"/>
      <name val="Century Gothic"/>
      <family val="2"/>
    </font>
    <font>
      <sz val="11"/>
      <name val="Century Gothic"/>
      <family val="2"/>
    </font>
    <font>
      <sz val="12"/>
      <name val="Century Gothic"/>
      <family val="2"/>
    </font>
    <font>
      <b/>
      <sz val="11"/>
      <color theme="1"/>
      <name val="Century Gothic"/>
      <family val="2"/>
    </font>
    <font>
      <sz val="11"/>
      <color theme="1"/>
      <name val="Century Gothic"/>
      <family val="2"/>
    </font>
    <font>
      <b/>
      <sz val="11"/>
      <color rgb="FF00B050"/>
      <name val="Century Gothic"/>
      <family val="2"/>
    </font>
    <font>
      <b/>
      <sz val="12"/>
      <color rgb="FF000000"/>
      <name val="Century Gothic"/>
      <family val="2"/>
    </font>
    <font>
      <sz val="10"/>
      <color rgb="FF000000"/>
      <name val="Century Gothic"/>
      <family val="2"/>
    </font>
    <font>
      <sz val="10"/>
      <color theme="1"/>
      <name val="Century Gothic"/>
      <family val="2"/>
    </font>
    <font>
      <b/>
      <i/>
      <sz val="16"/>
      <name val="Century Gothic"/>
      <family val="2"/>
    </font>
    <font>
      <b/>
      <i/>
      <sz val="11"/>
      <name val="Century Gothic"/>
      <family val="2"/>
    </font>
    <font>
      <i/>
      <sz val="11"/>
      <name val="Century Gothic"/>
      <family val="2"/>
    </font>
    <font>
      <b/>
      <sz val="10"/>
      <name val="Century Gothic"/>
      <family val="2"/>
    </font>
    <font>
      <b/>
      <sz val="12"/>
      <color rgb="FF00B050"/>
      <name val="Century Gothic"/>
      <family val="2"/>
    </font>
    <font>
      <b/>
      <i/>
      <sz val="14"/>
      <name val="Century Gothic"/>
      <family val="2"/>
    </font>
    <font>
      <b/>
      <i/>
      <sz val="12"/>
      <name val="Century Gothic"/>
      <family val="2"/>
    </font>
    <font>
      <b/>
      <sz val="16"/>
      <name val="Century Gothic"/>
      <family val="2"/>
    </font>
    <font>
      <b/>
      <sz val="18"/>
      <name val="Century Gothic"/>
      <family val="2"/>
    </font>
    <font>
      <sz val="10"/>
      <color rgb="FFFF0000"/>
      <name val="Century Gothic"/>
      <family val="2"/>
    </font>
    <font>
      <b/>
      <sz val="9"/>
      <name val="Times New Roman"/>
      <family val="1"/>
    </font>
    <font>
      <sz val="11"/>
      <color rgb="FF000000"/>
      <name val="Century Gothic"/>
      <family val="2"/>
    </font>
    <font>
      <sz val="16"/>
      <color rgb="FF3E3E3E"/>
      <name val="Courier New"/>
      <family val="3"/>
    </font>
    <font>
      <sz val="9"/>
      <name val="Geneva"/>
      <family val="2"/>
    </font>
    <font>
      <sz val="11"/>
      <name val="Times New Roman"/>
      <family val="1"/>
    </font>
    <font>
      <sz val="13"/>
      <color rgb="FF444444"/>
      <name val="Lucida Grande"/>
      <family val="2"/>
    </font>
    <font>
      <b/>
      <sz val="11"/>
      <name val="Times New Roman"/>
      <family val="1"/>
    </font>
    <font>
      <sz val="12"/>
      <color indexed="8"/>
      <name val="Times New Roman"/>
      <family val="1"/>
    </font>
    <font>
      <b/>
      <sz val="11"/>
      <color rgb="FFFF0000"/>
      <name val="Century Gothic"/>
      <family val="2"/>
    </font>
    <font>
      <sz val="12"/>
      <color theme="0"/>
      <name val="Century Gothic"/>
      <family val="2"/>
    </font>
    <font>
      <b/>
      <sz val="12"/>
      <color theme="1"/>
      <name val="Calibri"/>
      <family val="2"/>
      <scheme val="minor"/>
    </font>
    <font>
      <sz val="12"/>
      <name val="Calibri"/>
      <family val="2"/>
      <scheme val="minor"/>
    </font>
    <font>
      <b/>
      <i/>
      <sz val="10"/>
      <color rgb="FFFF0000"/>
      <name val="Century Gothic"/>
      <family val="2"/>
    </font>
    <font>
      <sz val="11"/>
      <color theme="1"/>
      <name val="Calibri"/>
      <family val="2"/>
      <scheme val="minor"/>
    </font>
    <font>
      <sz val="8"/>
      <color rgb="FF000000"/>
      <name val="Century Gothic"/>
      <family val="1"/>
    </font>
    <font>
      <sz val="12"/>
      <color rgb="FF000000"/>
      <name val="Century Gothic"/>
      <family val="2"/>
    </font>
    <font>
      <sz val="10"/>
      <color theme="1"/>
      <name val="Calibri"/>
      <family val="2"/>
      <scheme val="minor"/>
    </font>
    <font>
      <sz val="8"/>
      <name val="Century Gothic"/>
      <family val="1"/>
    </font>
    <font>
      <sz val="10"/>
      <name val="Calibri"/>
      <family val="2"/>
      <scheme val="minor"/>
    </font>
    <font>
      <sz val="8"/>
      <name val="Century Gothic"/>
      <family val="2"/>
    </font>
    <font>
      <b/>
      <sz val="14"/>
      <color rgb="FFFF0000"/>
      <name val="Century Gothic"/>
      <family val="2"/>
    </font>
    <font>
      <sz val="11"/>
      <color rgb="FFFF0000"/>
      <name val="Century Gothic"/>
      <family val="1"/>
    </font>
    <font>
      <b/>
      <i/>
      <sz val="8"/>
      <color rgb="FFFF0000"/>
      <name val="Century Gothic"/>
      <family val="1"/>
    </font>
    <font>
      <i/>
      <sz val="11"/>
      <color rgb="FFFF0000"/>
      <name val="Century Gothic"/>
      <family val="1"/>
    </font>
    <font>
      <sz val="12"/>
      <color rgb="FF000000"/>
      <name val="Calibri"/>
      <family val="2"/>
      <scheme val="minor"/>
    </font>
    <font>
      <sz val="11"/>
      <color theme="1"/>
      <name val="Arial Narrow"/>
      <family val="2"/>
    </font>
    <font>
      <sz val="12"/>
      <color theme="1"/>
      <name val="Century Gothic"/>
      <family val="1"/>
    </font>
    <font>
      <sz val="12"/>
      <color rgb="FF000000"/>
      <name val="Century Gothic"/>
      <family val="1"/>
    </font>
    <font>
      <sz val="7"/>
      <color rgb="FF000000"/>
      <name val="Century Gothic"/>
      <family val="1"/>
    </font>
    <font>
      <b/>
      <sz val="12"/>
      <color theme="1"/>
      <name val="Century Gothic"/>
      <family val="1"/>
    </font>
    <font>
      <b/>
      <sz val="12"/>
      <color rgb="FF000000"/>
      <name val="Century Gothic"/>
      <family val="1"/>
    </font>
    <font>
      <sz val="12"/>
      <color rgb="FFFF0000"/>
      <name val="Calibri"/>
      <family val="2"/>
      <scheme val="minor"/>
    </font>
    <font>
      <u/>
      <sz val="12"/>
      <color theme="10"/>
      <name val="Century Gothic"/>
      <family val="2"/>
    </font>
    <font>
      <b/>
      <sz val="11"/>
      <color rgb="FFFF0000"/>
      <name val="Century Gothic"/>
      <family val="1"/>
    </font>
    <font>
      <b/>
      <i/>
      <sz val="10"/>
      <name val="Century Gothic"/>
      <family val="2"/>
    </font>
    <font>
      <i/>
      <sz val="12"/>
      <color rgb="FF7F7F7F"/>
      <name val="Calibri"/>
      <family val="2"/>
      <scheme val="minor"/>
    </font>
    <font>
      <b/>
      <sz val="10"/>
      <name val="Arial"/>
      <family val="2"/>
    </font>
    <font>
      <sz val="11"/>
      <name val="Calibri"/>
      <family val="2"/>
    </font>
    <font>
      <sz val="10"/>
      <color theme="0"/>
      <name val="Arial"/>
      <family val="2"/>
    </font>
    <font>
      <sz val="10"/>
      <color theme="1"/>
      <name val="Arial"/>
      <family val="2"/>
    </font>
    <font>
      <sz val="8"/>
      <color indexed="81"/>
      <name val="Tahoma"/>
      <family val="2"/>
    </font>
    <font>
      <sz val="8"/>
      <color rgb="FF000000"/>
      <name val="Tahoma"/>
      <family val="2"/>
    </font>
    <font>
      <sz val="12"/>
      <color theme="0" tint="-0.249977111117893"/>
      <name val="Calibri"/>
      <family val="2"/>
      <scheme val="minor"/>
    </font>
    <font>
      <sz val="8.5"/>
      <color rgb="FF000000"/>
      <name val="Arial"/>
      <family val="2"/>
    </font>
    <font>
      <u/>
      <sz val="12"/>
      <name val="Calibri"/>
      <family val="2"/>
      <scheme val="minor"/>
    </font>
    <font>
      <sz val="11"/>
      <color theme="1"/>
      <name val="Century Gothic"/>
      <family val="1"/>
    </font>
    <font>
      <b/>
      <sz val="11"/>
      <name val="Century Gothic"/>
      <family val="1"/>
    </font>
    <font>
      <sz val="14"/>
      <color rgb="FF000000"/>
      <name val="Courier New"/>
      <family val="1"/>
    </font>
    <font>
      <sz val="10"/>
      <color rgb="FF0C0D0E"/>
      <name val="Var(--ff-mono)"/>
    </font>
    <font>
      <sz val="11"/>
      <name val="Arial"/>
      <family val="2"/>
    </font>
    <font>
      <b/>
      <sz val="12"/>
      <color rgb="FF2E36FF"/>
      <name val="Calibri"/>
      <family val="2"/>
      <scheme val="minor"/>
    </font>
  </fonts>
  <fills count="21">
    <fill>
      <patternFill patternType="none"/>
    </fill>
    <fill>
      <patternFill patternType="gray125"/>
    </fill>
    <fill>
      <patternFill patternType="solid">
        <fgColor rgb="FFEAEAEA"/>
        <bgColor indexed="64"/>
      </patternFill>
    </fill>
    <fill>
      <patternFill patternType="solid">
        <fgColor indexed="22"/>
        <bgColor indexed="64"/>
      </patternFill>
    </fill>
    <fill>
      <patternFill patternType="solid">
        <fgColor indexed="9"/>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mediumGray">
        <bgColor auto="1"/>
      </patternFill>
    </fill>
    <fill>
      <patternFill patternType="mediumGray"/>
    </fill>
    <fill>
      <patternFill patternType="mediumGray">
        <bgColor theme="0"/>
      </patternFill>
    </fill>
    <fill>
      <patternFill patternType="solid">
        <fgColor rgb="FF00B050"/>
        <bgColor indexed="64"/>
      </patternFill>
    </fill>
    <fill>
      <patternFill patternType="solid">
        <fgColor rgb="FFBFBFBF"/>
        <bgColor rgb="FF000000"/>
      </patternFill>
    </fill>
    <fill>
      <patternFill patternType="solid">
        <fgColor theme="0" tint="-0.14996795556505021"/>
        <bgColor indexed="64"/>
      </patternFill>
    </fill>
    <fill>
      <patternFill patternType="solid">
        <fgColor rgb="FFFFFF00"/>
        <bgColor rgb="FF000000"/>
      </patternFill>
    </fill>
    <fill>
      <patternFill patternType="solid">
        <fgColor rgb="FFD9D9D9"/>
        <bgColor rgb="FF000000"/>
      </patternFill>
    </fill>
    <fill>
      <patternFill patternType="solid">
        <fgColor rgb="FFFF0000"/>
        <bgColor indexed="64"/>
      </patternFill>
    </fill>
    <fill>
      <patternFill patternType="solid">
        <fgColor indexed="65"/>
        <bgColor indexed="64"/>
      </patternFill>
    </fill>
    <fill>
      <patternFill patternType="mediumGray">
        <fgColor rgb="FF000000"/>
      </patternFill>
    </fill>
    <fill>
      <patternFill patternType="solid">
        <fgColor rgb="FFFF6600"/>
        <bgColor indexed="64"/>
      </patternFill>
    </fill>
    <fill>
      <patternFill patternType="mediumGray">
        <bgColor theme="0" tint="-0.14996795556505021"/>
      </patternFill>
    </fill>
  </fills>
  <borders count="95">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top style="medium">
        <color rgb="FF000000"/>
      </top>
      <bottom style="medium">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medium">
        <color rgb="FF000000"/>
      </right>
      <top style="medium">
        <color rgb="FF000000"/>
      </top>
      <bottom style="medium">
        <color auto="1"/>
      </bottom>
      <diagonal/>
    </border>
    <border>
      <left/>
      <right style="medium">
        <color auto="1"/>
      </right>
      <top style="medium">
        <color rgb="FF000000"/>
      </top>
      <bottom style="medium">
        <color rgb="FF000000"/>
      </bottom>
      <diagonal/>
    </border>
    <border>
      <left/>
      <right style="medium">
        <color auto="1"/>
      </right>
      <top style="medium">
        <color rgb="FF000000"/>
      </top>
      <bottom/>
      <diagonal/>
    </border>
    <border>
      <left style="medium">
        <color auto="1"/>
      </left>
      <right style="medium">
        <color auto="1"/>
      </right>
      <top style="medium">
        <color rgb="FF000000"/>
      </top>
      <bottom style="medium">
        <color rgb="FF000000"/>
      </bottom>
      <diagonal/>
    </border>
    <border>
      <left style="medium">
        <color auto="1"/>
      </left>
      <right style="medium">
        <color auto="1"/>
      </right>
      <top style="medium">
        <color rgb="FF000000"/>
      </top>
      <bottom/>
      <diagonal/>
    </border>
    <border>
      <left style="medium">
        <color auto="1"/>
      </left>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style="medium">
        <color rgb="FF000000"/>
      </top>
      <bottom style="medium">
        <color rgb="FF000000"/>
      </bottom>
      <diagonal/>
    </border>
    <border>
      <left style="medium">
        <color auto="1"/>
      </left>
      <right/>
      <top style="medium">
        <color rgb="FF000000"/>
      </top>
      <bottom/>
      <diagonal/>
    </border>
    <border>
      <left style="medium">
        <color auto="1"/>
      </left>
      <right style="medium">
        <color rgb="FF000000"/>
      </right>
      <top style="medium">
        <color rgb="FF000000"/>
      </top>
      <bottom/>
      <diagonal/>
    </border>
    <border>
      <left style="medium">
        <color rgb="FF000000"/>
      </left>
      <right style="medium">
        <color auto="1"/>
      </right>
      <top style="medium">
        <color rgb="FF000000"/>
      </top>
      <bottom/>
      <diagonal/>
    </border>
    <border>
      <left style="medium">
        <color auto="1"/>
      </left>
      <right style="medium">
        <color rgb="FF000000"/>
      </right>
      <top/>
      <bottom/>
      <diagonal/>
    </border>
    <border>
      <left style="medium">
        <color rgb="FF000000"/>
      </left>
      <right style="medium">
        <color auto="1"/>
      </right>
      <top/>
      <bottom style="medium">
        <color rgb="FF000000"/>
      </bottom>
      <diagonal/>
    </border>
    <border>
      <left style="medium">
        <color auto="1"/>
      </left>
      <right style="medium">
        <color rgb="FF000000"/>
      </right>
      <top/>
      <bottom style="medium">
        <color rgb="FF000000"/>
      </bottom>
      <diagonal/>
    </border>
    <border>
      <left style="medium">
        <color rgb="FF000000"/>
      </left>
      <right style="medium">
        <color auto="1"/>
      </right>
      <top style="medium">
        <color rgb="FF000000"/>
      </top>
      <bottom style="medium">
        <color rgb="FF000000"/>
      </bottom>
      <diagonal/>
    </border>
    <border>
      <left/>
      <right style="medium">
        <color auto="1"/>
      </right>
      <top/>
      <bottom style="medium">
        <color rgb="FF000000"/>
      </bottom>
      <diagonal/>
    </border>
    <border>
      <left style="medium">
        <color auto="1"/>
      </left>
      <right style="medium">
        <color rgb="FF000000"/>
      </right>
      <top style="medium">
        <color rgb="FF000000"/>
      </top>
      <bottom style="medium">
        <color rgb="FF000000"/>
      </bottom>
      <diagonal/>
    </border>
    <border>
      <left style="medium">
        <color auto="1"/>
      </left>
      <right/>
      <top/>
      <bottom style="medium">
        <color rgb="FF000000"/>
      </bottom>
      <diagonal/>
    </border>
    <border>
      <left/>
      <right/>
      <top style="medium">
        <color auto="1"/>
      </top>
      <bottom style="medium">
        <color auto="1"/>
      </bottom>
      <diagonal/>
    </border>
    <border>
      <left style="medium">
        <color auto="1"/>
      </left>
      <right style="medium">
        <color rgb="FF000000"/>
      </right>
      <top/>
      <bottom style="medium">
        <color auto="1"/>
      </bottom>
      <diagonal/>
    </border>
    <border>
      <left/>
      <right style="medium">
        <color rgb="FF000000"/>
      </right>
      <top/>
      <bottom style="medium">
        <color auto="1"/>
      </bottom>
      <diagonal/>
    </border>
    <border>
      <left style="medium">
        <color auto="1"/>
      </left>
      <right style="medium">
        <color auto="1"/>
      </right>
      <top style="medium">
        <color rgb="FF000000"/>
      </top>
      <bottom style="medium">
        <color auto="1"/>
      </bottom>
      <diagonal/>
    </border>
    <border>
      <left/>
      <right/>
      <top style="medium">
        <color rgb="FF000000"/>
      </top>
      <bottom style="medium">
        <color auto="1"/>
      </bottom>
      <diagonal/>
    </border>
    <border>
      <left/>
      <right style="medium">
        <color auto="1"/>
      </right>
      <top style="medium">
        <color rgb="FF000000"/>
      </top>
      <bottom style="medium">
        <color auto="1"/>
      </bottom>
      <diagonal/>
    </border>
    <border>
      <left style="medium">
        <color auto="1"/>
      </left>
      <right style="medium">
        <color auto="1"/>
      </right>
      <top/>
      <bottom/>
      <diagonal/>
    </border>
    <border>
      <left/>
      <right/>
      <top/>
      <bottom style="hair">
        <color indexed="55"/>
      </bottom>
      <diagonal/>
    </border>
    <border>
      <left/>
      <right/>
      <top style="hair">
        <color indexed="55"/>
      </top>
      <bottom style="hair">
        <color indexed="55"/>
      </bottom>
      <diagonal/>
    </border>
    <border>
      <left style="medium">
        <color auto="1"/>
      </left>
      <right style="medium">
        <color auto="1"/>
      </right>
      <top style="medium">
        <color auto="1"/>
      </top>
      <bottom style="hair">
        <color indexed="55"/>
      </bottom>
      <diagonal/>
    </border>
    <border>
      <left style="medium">
        <color auto="1"/>
      </left>
      <right style="medium">
        <color auto="1"/>
      </right>
      <top style="hair">
        <color indexed="55"/>
      </top>
      <bottom style="hair">
        <color indexed="55"/>
      </bottom>
      <diagonal/>
    </border>
    <border>
      <left style="medium">
        <color auto="1"/>
      </left>
      <right style="medium">
        <color auto="1"/>
      </right>
      <top style="hair">
        <color indexed="55"/>
      </top>
      <bottom style="medium">
        <color auto="1"/>
      </bottom>
      <diagonal/>
    </border>
    <border>
      <left style="medium">
        <color rgb="FF000000"/>
      </left>
      <right style="medium">
        <color rgb="FF000000"/>
      </right>
      <top style="medium">
        <color auto="1"/>
      </top>
      <bottom/>
      <diagonal/>
    </border>
    <border>
      <left style="medium">
        <color rgb="FF000000"/>
      </left>
      <right style="medium">
        <color rgb="FF000000"/>
      </right>
      <top/>
      <bottom style="medium">
        <color auto="1"/>
      </bottom>
      <diagonal/>
    </border>
    <border>
      <left style="medium">
        <color auto="1"/>
      </left>
      <right style="medium">
        <color auto="1"/>
      </right>
      <top style="medium">
        <color auto="1"/>
      </top>
      <bottom style="medium">
        <color rgb="FF000000"/>
      </bottom>
      <diagonal/>
    </border>
    <border>
      <left style="medium">
        <color auto="1"/>
      </left>
      <right style="medium">
        <color auto="1"/>
      </right>
      <top style="hair">
        <color indexed="55"/>
      </top>
      <bottom/>
      <diagonal/>
    </border>
    <border>
      <left style="medium">
        <color rgb="FF000000"/>
      </left>
      <right/>
      <top style="medium">
        <color rgb="FF000000"/>
      </top>
      <bottom style="medium">
        <color auto="1"/>
      </bottom>
      <diagonal/>
    </border>
    <border>
      <left style="medium">
        <color rgb="FF000000"/>
      </left>
      <right/>
      <top style="medium">
        <color auto="1"/>
      </top>
      <bottom/>
      <diagonal/>
    </border>
    <border>
      <left/>
      <right style="medium">
        <color rgb="FF000000"/>
      </right>
      <top style="medium">
        <color auto="1"/>
      </top>
      <bottom/>
      <diagonal/>
    </border>
    <border>
      <left style="medium">
        <color auto="1"/>
      </left>
      <right style="medium">
        <color rgb="FF000000"/>
      </right>
      <top style="medium">
        <color auto="1"/>
      </top>
      <bottom style="medium">
        <color rgb="FF000000"/>
      </bottom>
      <diagonal/>
    </border>
    <border>
      <left style="medium">
        <color auto="1"/>
      </left>
      <right style="medium">
        <color rgb="FF000000"/>
      </right>
      <top style="medium">
        <color auto="1"/>
      </top>
      <bottom style="medium">
        <color auto="1"/>
      </bottom>
      <diagonal/>
    </border>
    <border>
      <left style="medium">
        <color rgb="FF000000"/>
      </left>
      <right style="medium">
        <color auto="1"/>
      </right>
      <top/>
      <bottom/>
      <diagonal/>
    </border>
    <border>
      <left/>
      <right/>
      <top style="thin">
        <color auto="1"/>
      </top>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diagonal/>
    </border>
    <border>
      <left/>
      <right style="medium">
        <color indexed="64"/>
      </right>
      <top style="thin">
        <color auto="1"/>
      </top>
      <bottom/>
      <diagonal/>
    </border>
    <border>
      <left style="thin">
        <color auto="1"/>
      </left>
      <right/>
      <top/>
      <bottom style="medium">
        <color auto="1"/>
      </bottom>
      <diagonal/>
    </border>
    <border>
      <left/>
      <right style="thin">
        <color auto="1"/>
      </right>
      <top style="medium">
        <color auto="1"/>
      </top>
      <bottom/>
      <diagonal/>
    </border>
    <border>
      <left/>
      <right style="thin">
        <color auto="1"/>
      </right>
      <top/>
      <bottom style="medium">
        <color auto="1"/>
      </bottom>
      <diagonal/>
    </border>
    <border>
      <left style="thin">
        <color indexed="64"/>
      </left>
      <right style="thin">
        <color indexed="64"/>
      </right>
      <top/>
      <bottom style="thin">
        <color indexed="64"/>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s>
  <cellStyleXfs count="1095">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8" fillId="0" borderId="0"/>
    <xf numFmtId="38" fontId="9" fillId="3" borderId="0" applyNumberFormat="0" applyBorder="0" applyAlignment="0" applyProtection="0"/>
    <xf numFmtId="10" fontId="9" fillId="4" borderId="26" applyNumberFormat="0" applyBorder="0" applyAlignment="0" applyProtection="0"/>
    <xf numFmtId="166" fontId="10" fillId="0" borderId="0"/>
    <xf numFmtId="10" fontId="8"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0" fontId="11" fillId="0" borderId="0"/>
    <xf numFmtId="44" fontId="11"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43" fillId="0" borderId="0"/>
    <xf numFmtId="43" fontId="43" fillId="0" borderId="0" applyFont="0" applyFill="0" applyBorder="0" applyAlignment="0" applyProtection="0"/>
    <xf numFmtId="44" fontId="43" fillId="0" borderId="0" applyFont="0" applyFill="0" applyBorder="0" applyAlignment="0" applyProtection="0"/>
    <xf numFmtId="0" fontId="43"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8" fillId="0" borderId="0"/>
    <xf numFmtId="44" fontId="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2"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5" fillId="0" borderId="0" applyNumberForma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79" fillId="0" borderId="0"/>
    <xf numFmtId="0" fontId="8" fillId="0" borderId="0"/>
  </cellStyleXfs>
  <cellXfs count="741">
    <xf numFmtId="0" fontId="0" fillId="0" borderId="0" xfId="0"/>
    <xf numFmtId="0" fontId="15" fillId="0" borderId="0" xfId="0" applyFont="1"/>
    <xf numFmtId="0" fontId="15" fillId="9" borderId="48" xfId="0" applyFont="1" applyFill="1" applyBorder="1" applyAlignment="1">
      <alignment vertical="center"/>
    </xf>
    <xf numFmtId="0" fontId="20" fillId="9" borderId="12" xfId="0" applyFont="1" applyFill="1" applyBorder="1" applyAlignment="1">
      <alignment horizontal="center" vertical="center" wrapText="1"/>
    </xf>
    <xf numFmtId="0" fontId="20" fillId="9" borderId="15" xfId="0" applyFont="1" applyFill="1" applyBorder="1" applyAlignment="1">
      <alignment horizontal="center" vertical="center" wrapText="1"/>
    </xf>
    <xf numFmtId="0" fontId="15" fillId="9" borderId="15" xfId="0" applyFont="1" applyFill="1" applyBorder="1"/>
    <xf numFmtId="0" fontId="15" fillId="9" borderId="13" xfId="0" applyFont="1" applyFill="1" applyBorder="1"/>
    <xf numFmtId="0" fontId="21" fillId="0" borderId="1"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10" xfId="0" applyFont="1" applyBorder="1" applyAlignment="1">
      <alignment horizontal="center" vertical="center"/>
    </xf>
    <xf numFmtId="0" fontId="22" fillId="8" borderId="15" xfId="0" applyFont="1" applyFill="1" applyBorder="1" applyAlignment="1">
      <alignment vertical="center" wrapText="1"/>
    </xf>
    <xf numFmtId="0" fontId="23" fillId="8" borderId="15" xfId="0" applyFont="1" applyFill="1" applyBorder="1"/>
    <xf numFmtId="0" fontId="22" fillId="8" borderId="13" xfId="0" applyFont="1" applyFill="1" applyBorder="1" applyAlignment="1">
      <alignment vertical="center" wrapText="1"/>
    </xf>
    <xf numFmtId="6" fontId="22" fillId="6" borderId="13" xfId="0" applyNumberFormat="1" applyFont="1" applyFill="1" applyBorder="1" applyAlignment="1">
      <alignment horizontal="center" vertical="center" wrapText="1"/>
    </xf>
    <xf numFmtId="8" fontId="15" fillId="0" borderId="0" xfId="0" applyNumberFormat="1" applyFont="1"/>
    <xf numFmtId="3" fontId="21" fillId="8" borderId="9" xfId="0" applyNumberFormat="1" applyFont="1" applyFill="1" applyBorder="1" applyAlignment="1">
      <alignment horizontal="center" vertical="center" wrapText="1"/>
    </xf>
    <xf numFmtId="164" fontId="24" fillId="9" borderId="15" xfId="0" applyNumberFormat="1" applyFont="1" applyFill="1" applyBorder="1" applyAlignment="1">
      <alignment horizontal="center" vertical="center" wrapText="1"/>
    </xf>
    <xf numFmtId="0" fontId="23" fillId="0" borderId="0" xfId="0" applyFont="1"/>
    <xf numFmtId="0" fontId="22" fillId="8" borderId="16" xfId="0" applyFont="1" applyFill="1" applyBorder="1" applyAlignment="1">
      <alignment horizontal="right" vertical="center" wrapText="1"/>
    </xf>
    <xf numFmtId="0" fontId="22" fillId="8" borderId="48" xfId="0" applyFont="1" applyFill="1" applyBorder="1" applyAlignment="1">
      <alignment horizontal="right" vertical="center" wrapText="1"/>
    </xf>
    <xf numFmtId="0" fontId="22" fillId="8" borderId="48" xfId="0" applyFont="1" applyFill="1" applyBorder="1"/>
    <xf numFmtId="0" fontId="22" fillId="9" borderId="48" xfId="0" applyFont="1" applyFill="1" applyBorder="1"/>
    <xf numFmtId="0" fontId="23" fillId="9" borderId="48" xfId="0" applyFont="1" applyFill="1" applyBorder="1"/>
    <xf numFmtId="0" fontId="23" fillId="8" borderId="25" xfId="0" applyFont="1" applyFill="1" applyBorder="1"/>
    <xf numFmtId="0" fontId="31" fillId="8" borderId="43" xfId="0" applyFont="1" applyFill="1" applyBorder="1" applyAlignment="1">
      <alignment horizontal="left" vertical="center" wrapText="1"/>
    </xf>
    <xf numFmtId="0" fontId="21" fillId="0" borderId="10"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45" xfId="0" applyFont="1" applyBorder="1" applyAlignment="1">
      <alignment horizontal="center" vertical="center" wrapText="1"/>
    </xf>
    <xf numFmtId="0" fontId="22" fillId="0" borderId="10" xfId="0" applyFont="1" applyBorder="1" applyAlignment="1">
      <alignment horizontal="left" vertical="center" wrapText="1"/>
    </xf>
    <xf numFmtId="0" fontId="32" fillId="0" borderId="11" xfId="0" applyFont="1" applyBorder="1" applyAlignment="1">
      <alignment horizontal="left" vertical="center" wrapText="1"/>
    </xf>
    <xf numFmtId="0" fontId="23" fillId="8" borderId="37" xfId="0" applyFont="1" applyFill="1" applyBorder="1" applyAlignment="1">
      <alignment horizontal="center" vertical="center"/>
    </xf>
    <xf numFmtId="0" fontId="22" fillId="8" borderId="48" xfId="0" applyFont="1" applyFill="1" applyBorder="1" applyAlignment="1">
      <alignment horizontal="left" vertical="center" wrapText="1"/>
    </xf>
    <xf numFmtId="0" fontId="32" fillId="0" borderId="10" xfId="0" applyFont="1" applyBorder="1" applyAlignment="1">
      <alignment horizontal="left" vertical="center" wrapText="1"/>
    </xf>
    <xf numFmtId="0" fontId="22" fillId="8" borderId="15" xfId="0" applyFont="1" applyFill="1" applyBorder="1" applyAlignment="1">
      <alignment horizontal="left" vertical="center" wrapText="1"/>
    </xf>
    <xf numFmtId="0" fontId="18" fillId="0" borderId="46" xfId="0" applyFont="1" applyBorder="1" applyAlignment="1">
      <alignment horizontal="center" vertical="center" wrapText="1"/>
    </xf>
    <xf numFmtId="0" fontId="31" fillId="0" borderId="10" xfId="0" applyFont="1" applyBorder="1" applyAlignment="1">
      <alignment horizontal="left" vertical="center" wrapText="1"/>
    </xf>
    <xf numFmtId="0" fontId="22" fillId="8" borderId="21" xfId="0" applyFont="1" applyFill="1" applyBorder="1" applyAlignment="1">
      <alignment vertical="center" wrapText="1"/>
    </xf>
    <xf numFmtId="6" fontId="22" fillId="8" borderId="22" xfId="0" applyNumberFormat="1" applyFont="1" applyFill="1" applyBorder="1" applyAlignment="1">
      <alignment horizontal="right" vertical="center" wrapText="1"/>
    </xf>
    <xf numFmtId="0" fontId="22" fillId="0" borderId="0" xfId="0" applyFont="1"/>
    <xf numFmtId="0" fontId="21" fillId="0" borderId="11" xfId="0" applyFont="1" applyBorder="1" applyAlignment="1">
      <alignment horizontal="center" vertical="center" wrapText="1"/>
    </xf>
    <xf numFmtId="0" fontId="21" fillId="0" borderId="6" xfId="0" applyFont="1" applyBorder="1" applyAlignment="1">
      <alignment horizontal="center" vertical="center" wrapText="1"/>
    </xf>
    <xf numFmtId="6" fontId="21" fillId="6" borderId="1" xfId="0" applyNumberFormat="1" applyFont="1" applyFill="1" applyBorder="1" applyAlignment="1">
      <alignment horizontal="center" vertical="center" wrapText="1"/>
    </xf>
    <xf numFmtId="0" fontId="12" fillId="0" borderId="0" xfId="0" applyFont="1"/>
    <xf numFmtId="9" fontId="15" fillId="0" borderId="0" xfId="7" applyFont="1"/>
    <xf numFmtId="6" fontId="15" fillId="0" borderId="0" xfId="0" applyNumberFormat="1" applyFont="1"/>
    <xf numFmtId="167" fontId="15" fillId="0" borderId="0" xfId="0" applyNumberFormat="1" applyFont="1"/>
    <xf numFmtId="0" fontId="26" fillId="10" borderId="21" xfId="0" applyFont="1" applyFill="1" applyBorder="1" applyAlignment="1">
      <alignment horizontal="left" vertical="center"/>
    </xf>
    <xf numFmtId="0" fontId="15" fillId="9" borderId="22" xfId="0" applyFont="1" applyFill="1" applyBorder="1" applyAlignment="1">
      <alignment vertical="center"/>
    </xf>
    <xf numFmtId="0" fontId="24" fillId="10" borderId="22" xfId="0" applyFont="1" applyFill="1" applyBorder="1" applyAlignment="1">
      <alignment horizontal="center" vertical="center" wrapText="1"/>
    </xf>
    <xf numFmtId="0" fontId="23" fillId="9" borderId="16" xfId="0" applyFont="1" applyFill="1" applyBorder="1"/>
    <xf numFmtId="0" fontId="35" fillId="9" borderId="17" xfId="0" applyFont="1" applyFill="1" applyBorder="1" applyAlignment="1">
      <alignment horizontal="center" vertical="center"/>
    </xf>
    <xf numFmtId="0" fontId="35" fillId="9" borderId="18" xfId="0" applyFont="1" applyFill="1" applyBorder="1" applyAlignment="1">
      <alignment horizontal="center" vertical="center"/>
    </xf>
    <xf numFmtId="0" fontId="35" fillId="0" borderId="0" xfId="0" applyFont="1" applyAlignment="1">
      <alignment horizontal="center" vertical="center"/>
    </xf>
    <xf numFmtId="0" fontId="21" fillId="0" borderId="33" xfId="0" applyFont="1" applyBorder="1" applyAlignment="1">
      <alignment vertical="center" wrapText="1"/>
    </xf>
    <xf numFmtId="0" fontId="22" fillId="0" borderId="43" xfId="0" applyFont="1" applyBorder="1" applyAlignment="1">
      <alignment vertical="center" wrapText="1"/>
    </xf>
    <xf numFmtId="0" fontId="22" fillId="0" borderId="51" xfId="0" applyFont="1" applyBorder="1" applyAlignment="1">
      <alignment vertical="center" wrapText="1"/>
    </xf>
    <xf numFmtId="0" fontId="22" fillId="0" borderId="27" xfId="0" applyFont="1" applyBorder="1" applyAlignment="1">
      <alignment vertical="center" wrapText="1"/>
    </xf>
    <xf numFmtId="0" fontId="23" fillId="9" borderId="19" xfId="0" applyFont="1" applyFill="1" applyBorder="1"/>
    <xf numFmtId="0" fontId="35" fillId="9" borderId="0" xfId="0" applyFont="1" applyFill="1" applyAlignment="1">
      <alignment horizontal="center" vertical="center"/>
    </xf>
    <xf numFmtId="0" fontId="35" fillId="9" borderId="20" xfId="0" applyFont="1" applyFill="1" applyBorder="1" applyAlignment="1">
      <alignment horizontal="center" vertical="center"/>
    </xf>
    <xf numFmtId="0" fontId="23" fillId="9" borderId="0" xfId="0" applyFont="1" applyFill="1"/>
    <xf numFmtId="0" fontId="22" fillId="7" borderId="33" xfId="0" applyFont="1" applyFill="1" applyBorder="1" applyAlignment="1">
      <alignment vertical="center" wrapText="1"/>
    </xf>
    <xf numFmtId="0" fontId="22" fillId="0" borderId="33" xfId="0" applyFont="1" applyBorder="1" applyAlignment="1">
      <alignment vertical="center" wrapText="1"/>
    </xf>
    <xf numFmtId="0" fontId="22" fillId="0" borderId="49" xfId="0" applyFont="1" applyBorder="1" applyAlignment="1">
      <alignment vertical="center" wrapText="1"/>
    </xf>
    <xf numFmtId="0" fontId="22" fillId="0" borderId="34" xfId="0" applyFont="1" applyBorder="1" applyAlignment="1">
      <alignment vertical="center" wrapText="1"/>
    </xf>
    <xf numFmtId="0" fontId="22" fillId="0" borderId="41" xfId="0" applyFont="1" applyBorder="1" applyAlignment="1">
      <alignment vertical="center" wrapText="1"/>
    </xf>
    <xf numFmtId="0" fontId="22" fillId="0" borderId="46" xfId="0" applyFont="1" applyBorder="1" applyAlignment="1">
      <alignment horizontal="left" vertical="center" wrapText="1"/>
    </xf>
    <xf numFmtId="0" fontId="23" fillId="9" borderId="20" xfId="0" applyFont="1" applyFill="1" applyBorder="1"/>
    <xf numFmtId="0" fontId="22" fillId="8" borderId="0" xfId="0" applyFont="1" applyFill="1" applyAlignment="1">
      <alignment horizontal="left" vertical="center" wrapText="1"/>
    </xf>
    <xf numFmtId="6" fontId="22" fillId="8" borderId="0" xfId="0" applyNumberFormat="1" applyFont="1" applyFill="1" applyAlignment="1">
      <alignment horizontal="center" vertical="center" wrapText="1"/>
    </xf>
    <xf numFmtId="0" fontId="22" fillId="9" borderId="0" xfId="0" applyFont="1" applyFill="1" applyAlignment="1">
      <alignment horizontal="left" vertical="center" wrapText="1"/>
    </xf>
    <xf numFmtId="6" fontId="22" fillId="9" borderId="0" xfId="0" applyNumberFormat="1" applyFont="1" applyFill="1" applyAlignment="1">
      <alignment horizontal="right" vertical="center" wrapText="1"/>
    </xf>
    <xf numFmtId="0" fontId="22" fillId="6" borderId="10" xfId="0" applyFont="1" applyFill="1" applyBorder="1" applyAlignment="1">
      <alignment horizontal="center" vertical="center" wrapText="1"/>
    </xf>
    <xf numFmtId="0" fontId="24" fillId="9" borderId="12" xfId="0" applyFont="1" applyFill="1" applyBorder="1" applyAlignment="1">
      <alignment horizontal="center" vertical="center" wrapText="1"/>
    </xf>
    <xf numFmtId="0" fontId="25" fillId="9" borderId="8" xfId="0" applyFont="1" applyFill="1" applyBorder="1" applyAlignment="1">
      <alignment vertical="center" wrapText="1"/>
    </xf>
    <xf numFmtId="3" fontId="24" fillId="9" borderId="8" xfId="0" applyNumberFormat="1" applyFont="1" applyFill="1" applyBorder="1" applyAlignment="1">
      <alignment horizontal="right" vertical="center" wrapText="1"/>
    </xf>
    <xf numFmtId="6" fontId="24" fillId="9" borderId="8" xfId="0" applyNumberFormat="1" applyFont="1" applyFill="1" applyBorder="1" applyAlignment="1">
      <alignment horizontal="right" vertical="center" wrapText="1"/>
    </xf>
    <xf numFmtId="0" fontId="24" fillId="9" borderId="8" xfId="0" applyFont="1" applyFill="1" applyBorder="1" applyAlignment="1">
      <alignment horizontal="right" vertical="center" wrapText="1"/>
    </xf>
    <xf numFmtId="0" fontId="24" fillId="9" borderId="8" xfId="0" applyFont="1" applyFill="1" applyBorder="1" applyAlignment="1">
      <alignment horizontal="center" vertical="center" wrapText="1"/>
    </xf>
    <xf numFmtId="3" fontId="26" fillId="9" borderId="8" xfId="0" applyNumberFormat="1" applyFont="1" applyFill="1" applyBorder="1" applyAlignment="1">
      <alignment horizontal="right" vertical="center" wrapText="1"/>
    </xf>
    <xf numFmtId="0" fontId="15" fillId="8" borderId="8" xfId="0" applyFont="1" applyFill="1" applyBorder="1"/>
    <xf numFmtId="0" fontId="15" fillId="8" borderId="9" xfId="0" applyFont="1" applyFill="1" applyBorder="1"/>
    <xf numFmtId="8" fontId="15" fillId="0" borderId="0" xfId="132" applyNumberFormat="1" applyFont="1"/>
    <xf numFmtId="171" fontId="40" fillId="0" borderId="0" xfId="28" applyNumberFormat="1" applyFont="1"/>
    <xf numFmtId="0" fontId="15" fillId="9" borderId="16" xfId="0" applyFont="1" applyFill="1" applyBorder="1" applyAlignment="1">
      <alignment horizontal="center" vertical="center" wrapText="1"/>
    </xf>
    <xf numFmtId="0" fontId="15" fillId="9" borderId="17" xfId="0" applyFont="1" applyFill="1" applyBorder="1" applyAlignment="1">
      <alignment horizontal="center" vertical="center"/>
    </xf>
    <xf numFmtId="0" fontId="15" fillId="9" borderId="18" xfId="0" applyFont="1" applyFill="1" applyBorder="1" applyAlignment="1">
      <alignment horizontal="center" vertical="center"/>
    </xf>
    <xf numFmtId="0" fontId="15" fillId="0" borderId="27" xfId="0" applyFont="1" applyBorder="1" applyAlignment="1">
      <alignment horizontal="center"/>
    </xf>
    <xf numFmtId="0" fontId="17" fillId="0" borderId="27" xfId="0" applyFont="1" applyBorder="1" applyAlignment="1">
      <alignment horizontal="center" wrapText="1"/>
    </xf>
    <xf numFmtId="0" fontId="23" fillId="9" borderId="5" xfId="0" applyFont="1" applyFill="1" applyBorder="1"/>
    <xf numFmtId="6" fontId="23" fillId="0" borderId="0" xfId="0" applyNumberFormat="1" applyFont="1"/>
    <xf numFmtId="0" fontId="15" fillId="9" borderId="25" xfId="0" applyFont="1" applyFill="1" applyBorder="1" applyAlignment="1">
      <alignment vertical="center"/>
    </xf>
    <xf numFmtId="168" fontId="34" fillId="9" borderId="17" xfId="7" applyNumberFormat="1" applyFont="1" applyFill="1" applyBorder="1" applyAlignment="1">
      <alignment horizontal="center" vertical="center"/>
    </xf>
    <xf numFmtId="0" fontId="25" fillId="0" borderId="27" xfId="0" applyFont="1" applyBorder="1" applyAlignment="1">
      <alignment horizontal="center" vertical="center" wrapText="1"/>
    </xf>
    <xf numFmtId="0" fontId="24" fillId="0" borderId="62" xfId="0" applyFont="1" applyBorder="1" applyAlignment="1">
      <alignment horizontal="center" vertical="center" wrapText="1"/>
    </xf>
    <xf numFmtId="165" fontId="41" fillId="12" borderId="23" xfId="0" applyNumberFormat="1" applyFont="1" applyFill="1" applyBorder="1" applyAlignment="1">
      <alignment horizontal="center" vertical="center" wrapText="1"/>
    </xf>
    <xf numFmtId="0" fontId="41" fillId="0" borderId="29" xfId="0" applyFont="1" applyBorder="1" applyAlignment="1">
      <alignment horizontal="center" vertical="center" wrapText="1"/>
    </xf>
    <xf numFmtId="172" fontId="15" fillId="6" borderId="27" xfId="0" applyNumberFormat="1" applyFont="1" applyFill="1" applyBorder="1" applyAlignment="1">
      <alignment horizontal="center"/>
    </xf>
    <xf numFmtId="0" fontId="20" fillId="0" borderId="27" xfId="0" applyFont="1" applyBorder="1" applyAlignment="1">
      <alignment horizontal="center" vertical="center" wrapText="1"/>
    </xf>
    <xf numFmtId="0" fontId="20" fillId="0" borderId="25" xfId="0" applyFont="1" applyBorder="1" applyAlignment="1">
      <alignment horizontal="center" vertical="center" wrapText="1"/>
    </xf>
    <xf numFmtId="0" fontId="42" fillId="0" borderId="0" xfId="0" applyFont="1"/>
    <xf numFmtId="165" fontId="41" fillId="12" borderId="27" xfId="0" applyNumberFormat="1" applyFont="1" applyFill="1" applyBorder="1" applyAlignment="1">
      <alignment horizontal="center" vertical="center" wrapText="1"/>
    </xf>
    <xf numFmtId="165" fontId="41" fillId="12" borderId="29" xfId="0" applyNumberFormat="1" applyFont="1" applyFill="1" applyBorder="1" applyAlignment="1">
      <alignment horizontal="center" vertical="center" wrapText="1"/>
    </xf>
    <xf numFmtId="165" fontId="22" fillId="6" borderId="13" xfId="131" applyNumberFormat="1" applyFont="1" applyFill="1" applyBorder="1" applyAlignment="1">
      <alignment horizontal="center" vertical="center" wrapText="1"/>
    </xf>
    <xf numFmtId="165" fontId="21" fillId="6" borderId="9" xfId="131" applyNumberFormat="1" applyFont="1" applyFill="1" applyBorder="1" applyAlignment="1">
      <alignment horizontal="center" vertical="center" wrapText="1"/>
    </xf>
    <xf numFmtId="0" fontId="44" fillId="0" borderId="0" xfId="411" applyFont="1"/>
    <xf numFmtId="165" fontId="22" fillId="6" borderId="45" xfId="0" applyNumberFormat="1" applyFont="1" applyFill="1" applyBorder="1" applyAlignment="1">
      <alignment horizontal="center" vertical="center" wrapText="1"/>
    </xf>
    <xf numFmtId="165" fontId="21" fillId="8" borderId="45" xfId="0" applyNumberFormat="1" applyFont="1" applyFill="1" applyBorder="1" applyAlignment="1">
      <alignment horizontal="center" vertical="center" wrapText="1"/>
    </xf>
    <xf numFmtId="165" fontId="22" fillId="6" borderId="13" xfId="0" applyNumberFormat="1" applyFont="1" applyFill="1" applyBorder="1" applyAlignment="1">
      <alignment horizontal="center" vertical="center" wrapText="1"/>
    </xf>
    <xf numFmtId="0" fontId="29" fillId="0" borderId="27" xfId="0" applyFont="1" applyBorder="1" applyAlignment="1">
      <alignment horizontal="center"/>
    </xf>
    <xf numFmtId="0" fontId="22" fillId="8" borderId="14" xfId="0" applyFont="1" applyFill="1" applyBorder="1" applyAlignment="1">
      <alignment horizontal="left" vertical="center" wrapText="1"/>
    </xf>
    <xf numFmtId="0" fontId="22" fillId="8" borderId="11" xfId="0" applyFont="1" applyFill="1" applyBorder="1" applyAlignment="1">
      <alignment horizontal="left" vertical="center" wrapText="1"/>
    </xf>
    <xf numFmtId="0" fontId="22" fillId="8" borderId="10" xfId="0" applyFont="1" applyFill="1" applyBorder="1" applyAlignment="1">
      <alignment horizontal="left" vertical="center" wrapText="1"/>
    </xf>
    <xf numFmtId="0" fontId="45" fillId="0" borderId="0" xfId="0" applyFont="1"/>
    <xf numFmtId="0" fontId="22" fillId="7" borderId="33" xfId="0" applyFont="1" applyFill="1" applyBorder="1" applyAlignment="1">
      <alignment horizontal="left" vertical="center" wrapText="1"/>
    </xf>
    <xf numFmtId="0" fontId="22" fillId="0" borderId="33" xfId="0" applyFont="1" applyBorder="1" applyAlignment="1">
      <alignment horizontal="left" vertical="center" wrapText="1"/>
    </xf>
    <xf numFmtId="0" fontId="22" fillId="0" borderId="34" xfId="0" applyFont="1" applyBorder="1" applyAlignment="1">
      <alignment horizontal="left" vertical="center" wrapText="1"/>
    </xf>
    <xf numFmtId="0" fontId="22" fillId="7" borderId="27" xfId="0" applyFont="1" applyFill="1" applyBorder="1" applyAlignment="1">
      <alignment horizontal="left" vertical="center" wrapText="1"/>
    </xf>
    <xf numFmtId="0" fontId="22" fillId="0" borderId="50" xfId="0" applyFont="1" applyBorder="1" applyAlignment="1">
      <alignment horizontal="left" vertical="center" wrapText="1"/>
    </xf>
    <xf numFmtId="0" fontId="21" fillId="13" borderId="6" xfId="0" applyFont="1" applyFill="1" applyBorder="1" applyAlignment="1">
      <alignment horizontal="center" vertical="center" wrapText="1"/>
    </xf>
    <xf numFmtId="0" fontId="17" fillId="5" borderId="27" xfId="0" applyFont="1" applyFill="1" applyBorder="1" applyAlignment="1" applyProtection="1">
      <alignment horizontal="center" wrapText="1"/>
      <protection locked="0"/>
    </xf>
    <xf numFmtId="6" fontId="25" fillId="5" borderId="27" xfId="0" applyNumberFormat="1" applyFont="1" applyFill="1" applyBorder="1" applyAlignment="1" applyProtection="1">
      <alignment horizontal="center" vertical="center" wrapText="1"/>
      <protection locked="0"/>
    </xf>
    <xf numFmtId="0" fontId="22" fillId="5" borderId="10" xfId="0" applyFont="1" applyFill="1" applyBorder="1" applyAlignment="1" applyProtection="1">
      <alignment horizontal="left" vertical="center" wrapText="1"/>
      <protection locked="0"/>
    </xf>
    <xf numFmtId="0" fontId="48" fillId="0" borderId="27" xfId="0" applyFont="1" applyBorder="1" applyAlignment="1">
      <alignment horizontal="center" vertical="center" wrapText="1"/>
    </xf>
    <xf numFmtId="2" fontId="22" fillId="6" borderId="13" xfId="0" applyNumberFormat="1" applyFont="1" applyFill="1" applyBorder="1" applyAlignment="1">
      <alignment horizontal="center" vertical="center" wrapText="1"/>
    </xf>
    <xf numFmtId="165" fontId="22" fillId="8" borderId="48" xfId="0" applyNumberFormat="1" applyFont="1" applyFill="1" applyBorder="1" applyAlignment="1">
      <alignment horizontal="center" vertical="center" wrapText="1"/>
    </xf>
    <xf numFmtId="165" fontId="22" fillId="8" borderId="25" xfId="0" applyNumberFormat="1" applyFont="1" applyFill="1" applyBorder="1" applyAlignment="1">
      <alignment horizontal="center" vertical="center" wrapText="1"/>
    </xf>
    <xf numFmtId="10" fontId="22" fillId="6" borderId="18" xfId="0" applyNumberFormat="1" applyFont="1" applyFill="1" applyBorder="1" applyAlignment="1" applyProtection="1">
      <alignment horizontal="center" vertical="center" wrapText="1"/>
      <protection hidden="1"/>
    </xf>
    <xf numFmtId="9" fontId="22" fillId="13" borderId="1" xfId="0" applyNumberFormat="1" applyFont="1" applyFill="1" applyBorder="1" applyAlignment="1" applyProtection="1">
      <alignment horizontal="center" vertical="center" wrapText="1"/>
      <protection hidden="1"/>
    </xf>
    <xf numFmtId="165" fontId="22" fillId="6" borderId="32" xfId="0" applyNumberFormat="1" applyFont="1" applyFill="1" applyBorder="1" applyAlignment="1" applyProtection="1">
      <alignment horizontal="center" vertical="center" wrapText="1"/>
      <protection hidden="1"/>
    </xf>
    <xf numFmtId="6" fontId="22" fillId="6" borderId="31" xfId="0" applyNumberFormat="1" applyFont="1" applyFill="1" applyBorder="1" applyAlignment="1" applyProtection="1">
      <alignment horizontal="center" vertical="center" wrapText="1"/>
      <protection hidden="1"/>
    </xf>
    <xf numFmtId="6" fontId="22" fillId="6" borderId="45" xfId="0" applyNumberFormat="1" applyFont="1" applyFill="1" applyBorder="1" applyAlignment="1" applyProtection="1">
      <alignment horizontal="center" vertical="center" wrapText="1"/>
      <protection hidden="1"/>
    </xf>
    <xf numFmtId="165" fontId="22" fillId="6" borderId="9" xfId="0" applyNumberFormat="1" applyFont="1" applyFill="1" applyBorder="1" applyAlignment="1" applyProtection="1">
      <alignment horizontal="center" vertical="center" wrapText="1"/>
      <protection hidden="1"/>
    </xf>
    <xf numFmtId="165" fontId="22" fillId="6" borderId="45" xfId="0" applyNumberFormat="1" applyFont="1" applyFill="1" applyBorder="1" applyAlignment="1" applyProtection="1">
      <alignment horizontal="center" vertical="center" wrapText="1"/>
      <protection hidden="1"/>
    </xf>
    <xf numFmtId="165" fontId="22" fillId="6" borderId="6" xfId="131" applyNumberFormat="1" applyFont="1" applyFill="1" applyBorder="1" applyAlignment="1" applyProtection="1">
      <alignment horizontal="center" vertical="center" wrapText="1"/>
      <protection hidden="1"/>
    </xf>
    <xf numFmtId="6" fontId="21" fillId="6" borderId="9" xfId="0" applyNumberFormat="1" applyFont="1" applyFill="1" applyBorder="1" applyAlignment="1" applyProtection="1">
      <alignment horizontal="center" vertical="center" wrapText="1"/>
      <protection hidden="1"/>
    </xf>
    <xf numFmtId="165" fontId="22" fillId="6" borderId="45" xfId="131" applyNumberFormat="1" applyFont="1" applyFill="1" applyBorder="1" applyAlignment="1" applyProtection="1">
      <alignment horizontal="center" vertical="center" wrapText="1"/>
      <protection hidden="1"/>
    </xf>
    <xf numFmtId="165" fontId="22" fillId="6" borderId="13" xfId="0" applyNumberFormat="1" applyFont="1" applyFill="1" applyBorder="1" applyAlignment="1" applyProtection="1">
      <alignment horizontal="center" vertical="center" wrapText="1"/>
      <protection hidden="1"/>
    </xf>
    <xf numFmtId="0" fontId="47" fillId="0" borderId="0" xfId="0" applyFont="1"/>
    <xf numFmtId="0" fontId="22" fillId="6" borderId="1" xfId="0" applyFont="1" applyFill="1" applyBorder="1" applyAlignment="1">
      <alignment horizontal="left" vertical="center" wrapText="1"/>
    </xf>
    <xf numFmtId="0" fontId="46" fillId="0" borderId="0" xfId="0" applyFont="1" applyAlignment="1">
      <alignment vertical="center" wrapText="1"/>
    </xf>
    <xf numFmtId="0" fontId="22" fillId="6" borderId="12" xfId="0" applyFont="1" applyFill="1" applyBorder="1" applyAlignment="1">
      <alignment horizontal="left" vertical="center" wrapText="1"/>
    </xf>
    <xf numFmtId="0" fontId="18" fillId="2" borderId="27" xfId="0" applyFont="1" applyFill="1" applyBorder="1" applyAlignment="1">
      <alignment horizontal="center" vertical="center" wrapText="1"/>
    </xf>
    <xf numFmtId="165" fontId="15" fillId="5" borderId="23" xfId="131" applyNumberFormat="1" applyFont="1" applyFill="1" applyBorder="1" applyAlignment="1" applyProtection="1">
      <alignment horizontal="center" vertical="center"/>
      <protection locked="0"/>
    </xf>
    <xf numFmtId="0" fontId="22" fillId="6" borderId="27" xfId="0" applyFont="1" applyFill="1" applyBorder="1" applyAlignment="1" applyProtection="1">
      <alignment horizontal="center" vertical="center" wrapText="1"/>
      <protection hidden="1"/>
    </xf>
    <xf numFmtId="0" fontId="22" fillId="6" borderId="51" xfId="0" applyFont="1" applyFill="1" applyBorder="1" applyAlignment="1" applyProtection="1">
      <alignment horizontal="center" vertical="center" wrapText="1"/>
      <protection hidden="1"/>
    </xf>
    <xf numFmtId="0" fontId="49" fillId="0" borderId="0" xfId="0" applyFont="1"/>
    <xf numFmtId="0" fontId="23" fillId="0" borderId="0" xfId="0" applyFont="1" applyProtection="1">
      <protection locked="0"/>
    </xf>
    <xf numFmtId="0" fontId="23" fillId="0" borderId="0" xfId="0" applyFont="1" applyAlignment="1" applyProtection="1">
      <alignment horizontal="center"/>
      <protection locked="0"/>
    </xf>
    <xf numFmtId="0" fontId="15" fillId="9" borderId="54" xfId="0" applyFont="1" applyFill="1" applyBorder="1" applyAlignment="1">
      <alignment horizontal="center" vertical="center"/>
    </xf>
    <xf numFmtId="0" fontId="15" fillId="9" borderId="29" xfId="0" applyFont="1" applyFill="1" applyBorder="1" applyAlignment="1">
      <alignment horizontal="center" vertical="center"/>
    </xf>
    <xf numFmtId="0" fontId="15" fillId="9" borderId="34" xfId="0" applyFont="1" applyFill="1" applyBorder="1" applyAlignment="1">
      <alignment horizontal="center" vertical="center"/>
    </xf>
    <xf numFmtId="0" fontId="22" fillId="0" borderId="67" xfId="0" applyFont="1" applyBorder="1" applyAlignment="1">
      <alignment vertical="center" wrapText="1"/>
    </xf>
    <xf numFmtId="0" fontId="22" fillId="0" borderId="68" xfId="0" applyFont="1" applyBorder="1" applyAlignment="1">
      <alignment vertical="center" wrapText="1"/>
    </xf>
    <xf numFmtId="0" fontId="22" fillId="0" borderId="0" xfId="0" applyFont="1" applyAlignment="1">
      <alignment wrapText="1"/>
    </xf>
    <xf numFmtId="0" fontId="50" fillId="0" borderId="0" xfId="0" applyFont="1"/>
    <xf numFmtId="0" fontId="48" fillId="0" borderId="68" xfId="0" applyFont="1" applyBorder="1" applyAlignment="1">
      <alignment vertical="center" wrapText="1"/>
    </xf>
    <xf numFmtId="0" fontId="48" fillId="0" borderId="33" xfId="0" applyFont="1" applyBorder="1" applyAlignment="1">
      <alignment horizontal="left" vertical="center" wrapText="1"/>
    </xf>
    <xf numFmtId="0" fontId="48" fillId="7" borderId="27" xfId="0" applyFont="1" applyFill="1" applyBorder="1" applyAlignment="1">
      <alignment horizontal="left" vertical="center" wrapText="1"/>
    </xf>
    <xf numFmtId="0" fontId="48" fillId="0" borderId="1" xfId="0" applyFont="1" applyBorder="1" applyAlignment="1">
      <alignment horizontal="left" vertical="center" wrapText="1"/>
    </xf>
    <xf numFmtId="0" fontId="48" fillId="7" borderId="51" xfId="0" applyFont="1" applyFill="1" applyBorder="1" applyAlignment="1">
      <alignment vertical="center" wrapText="1"/>
    </xf>
    <xf numFmtId="0" fontId="48" fillId="0" borderId="49" xfId="0" applyFont="1" applyBorder="1" applyAlignment="1">
      <alignment vertical="center" wrapText="1"/>
    </xf>
    <xf numFmtId="0" fontId="48" fillId="0" borderId="10" xfId="0" applyFont="1" applyBorder="1" applyAlignment="1">
      <alignment horizontal="left" vertical="center" wrapText="1"/>
    </xf>
    <xf numFmtId="165" fontId="22" fillId="15" borderId="45" xfId="0" applyNumberFormat="1" applyFont="1" applyFill="1" applyBorder="1" applyAlignment="1">
      <alignment horizontal="center" vertical="center" wrapText="1"/>
    </xf>
    <xf numFmtId="0" fontId="35" fillId="0" borderId="0" xfId="0" applyFont="1" applyAlignment="1" applyProtection="1">
      <alignment vertical="center"/>
      <protection locked="0"/>
    </xf>
    <xf numFmtId="0" fontId="35" fillId="0" borderId="0" xfId="0" applyFont="1" applyAlignment="1" applyProtection="1">
      <alignment horizontal="center" vertical="center"/>
      <protection locked="0"/>
    </xf>
    <xf numFmtId="6" fontId="24" fillId="13" borderId="1" xfId="0" applyNumberFormat="1" applyFont="1" applyFill="1" applyBorder="1" applyAlignment="1" applyProtection="1">
      <alignment horizontal="center" vertical="center" wrapText="1"/>
      <protection hidden="1"/>
    </xf>
    <xf numFmtId="6" fontId="24" fillId="13" borderId="45" xfId="0" applyNumberFormat="1" applyFont="1" applyFill="1" applyBorder="1" applyAlignment="1" applyProtection="1">
      <alignment horizontal="center" vertical="center" wrapText="1"/>
      <protection hidden="1"/>
    </xf>
    <xf numFmtId="0" fontId="25" fillId="9" borderId="28" xfId="0" applyFont="1" applyFill="1" applyBorder="1" applyAlignment="1">
      <alignment vertical="top"/>
    </xf>
    <xf numFmtId="0" fontId="25" fillId="9" borderId="54" xfId="0" applyFont="1" applyFill="1" applyBorder="1" applyAlignment="1">
      <alignment vertical="top"/>
    </xf>
    <xf numFmtId="0" fontId="25" fillId="9" borderId="29" xfId="0" applyFont="1" applyFill="1" applyBorder="1" applyAlignment="1">
      <alignment vertical="top"/>
    </xf>
    <xf numFmtId="0" fontId="52" fillId="13" borderId="54" xfId="0" applyFont="1" applyFill="1" applyBorder="1"/>
    <xf numFmtId="165" fontId="52" fillId="13" borderId="54" xfId="0" applyNumberFormat="1" applyFont="1" applyFill="1" applyBorder="1"/>
    <xf numFmtId="175" fontId="52" fillId="13" borderId="54" xfId="805" applyNumberFormat="1" applyFont="1" applyFill="1" applyBorder="1"/>
    <xf numFmtId="170" fontId="52" fillId="13" borderId="54" xfId="0" applyNumberFormat="1" applyFont="1" applyFill="1" applyBorder="1"/>
    <xf numFmtId="0" fontId="52" fillId="13" borderId="54" xfId="0" applyFont="1" applyFill="1" applyBorder="1" applyAlignment="1">
      <alignment wrapText="1"/>
    </xf>
    <xf numFmtId="165" fontId="52" fillId="13" borderId="29" xfId="0" applyNumberFormat="1" applyFont="1" applyFill="1" applyBorder="1"/>
    <xf numFmtId="0" fontId="41" fillId="0" borderId="29" xfId="0" applyFont="1" applyBorder="1" applyAlignment="1">
      <alignment vertical="center" wrapText="1"/>
    </xf>
    <xf numFmtId="0" fontId="41" fillId="0" borderId="27" xfId="0" applyFont="1" applyBorder="1" applyAlignment="1">
      <alignment horizontal="center" vertical="center"/>
    </xf>
    <xf numFmtId="0" fontId="41" fillId="0" borderId="27" xfId="0" applyFont="1" applyBorder="1" applyAlignment="1">
      <alignment vertical="center" wrapText="1"/>
    </xf>
    <xf numFmtId="0" fontId="25" fillId="9" borderId="54" xfId="0" applyFont="1" applyFill="1" applyBorder="1" applyAlignment="1">
      <alignment vertical="center"/>
    </xf>
    <xf numFmtId="0" fontId="25" fillId="0" borderId="27" xfId="0" applyFont="1" applyBorder="1" applyAlignment="1">
      <alignment horizontal="center" vertical="center"/>
    </xf>
    <xf numFmtId="0" fontId="24" fillId="8" borderId="24" xfId="0" applyFont="1" applyFill="1" applyBorder="1"/>
    <xf numFmtId="0" fontId="53" fillId="8" borderId="48" xfId="0" applyFont="1" applyFill="1" applyBorder="1"/>
    <xf numFmtId="0" fontId="53" fillId="8" borderId="25" xfId="0" applyFont="1" applyFill="1" applyBorder="1"/>
    <xf numFmtId="0" fontId="20" fillId="0" borderId="18" xfId="0" applyFont="1" applyBorder="1" applyAlignment="1">
      <alignment horizontal="center" vertical="center" wrapText="1"/>
    </xf>
    <xf numFmtId="0" fontId="41" fillId="0" borderId="29" xfId="0" applyFont="1" applyBorder="1" applyAlignment="1">
      <alignment horizontal="center" vertical="center"/>
    </xf>
    <xf numFmtId="0" fontId="20" fillId="0" borderId="17" xfId="0" applyFont="1" applyBorder="1" applyAlignment="1">
      <alignment horizontal="center" vertical="center" wrapText="1"/>
    </xf>
    <xf numFmtId="10" fontId="15" fillId="8" borderId="54" xfId="805" applyNumberFormat="1" applyFont="1" applyFill="1" applyBorder="1" applyAlignment="1">
      <alignment horizontal="center" vertical="center" wrapText="1"/>
    </xf>
    <xf numFmtId="165" fontId="55" fillId="6" borderId="27" xfId="0" applyNumberFormat="1" applyFont="1" applyFill="1" applyBorder="1" applyAlignment="1">
      <alignment horizontal="center" vertical="center" wrapText="1"/>
    </xf>
    <xf numFmtId="165" fontId="27" fillId="13" borderId="29" xfId="0" applyNumberFormat="1" applyFont="1" applyFill="1" applyBorder="1" applyAlignment="1">
      <alignment horizontal="center" vertical="center" wrapText="1"/>
    </xf>
    <xf numFmtId="165" fontId="55" fillId="13" borderId="27" xfId="0" applyNumberFormat="1" applyFont="1" applyFill="1" applyBorder="1" applyAlignment="1">
      <alignment horizontal="center" vertical="center" wrapText="1"/>
    </xf>
    <xf numFmtId="165" fontId="27" fillId="13" borderId="28" xfId="0" applyNumberFormat="1" applyFont="1" applyFill="1" applyBorder="1" applyAlignment="1">
      <alignment horizontal="center" vertical="center" wrapText="1"/>
    </xf>
    <xf numFmtId="170" fontId="0" fillId="0" borderId="0" xfId="7" applyNumberFormat="1" applyFont="1"/>
    <xf numFmtId="0" fontId="57" fillId="0" borderId="27" xfId="0" applyFont="1" applyBorder="1" applyAlignment="1">
      <alignment vertical="center" wrapText="1"/>
    </xf>
    <xf numFmtId="0" fontId="57" fillId="0" borderId="29" xfId="0" applyFont="1" applyBorder="1" applyAlignment="1">
      <alignment vertical="center" wrapText="1"/>
    </xf>
    <xf numFmtId="175" fontId="27" fillId="6" borderId="29" xfId="7" applyNumberFormat="1" applyFont="1" applyFill="1" applyBorder="1" applyAlignment="1">
      <alignment horizontal="center" vertical="center" wrapText="1"/>
    </xf>
    <xf numFmtId="172" fontId="27" fillId="13" borderId="27" xfId="0" applyNumberFormat="1" applyFont="1" applyFill="1" applyBorder="1" applyAlignment="1">
      <alignment horizontal="center" vertical="center"/>
    </xf>
    <xf numFmtId="0" fontId="60" fillId="0" borderId="0" xfId="0" applyFont="1"/>
    <xf numFmtId="0" fontId="50" fillId="16" borderId="24" xfId="0" applyFont="1" applyFill="1" applyBorder="1" applyAlignment="1">
      <alignment horizontal="center" vertical="center"/>
    </xf>
    <xf numFmtId="165" fontId="52" fillId="13" borderId="54" xfId="0" applyNumberFormat="1" applyFont="1" applyFill="1" applyBorder="1" applyAlignment="1">
      <alignment wrapText="1"/>
    </xf>
    <xf numFmtId="5" fontId="61" fillId="9" borderId="64" xfId="131" applyNumberFormat="1" applyFont="1" applyFill="1" applyBorder="1" applyAlignment="1">
      <alignment horizontal="center" vertical="center" wrapText="1"/>
    </xf>
    <xf numFmtId="5" fontId="61" fillId="9" borderId="3" xfId="131" applyNumberFormat="1" applyFont="1" applyFill="1" applyBorder="1" applyAlignment="1">
      <alignment horizontal="center" vertical="center" wrapText="1"/>
    </xf>
    <xf numFmtId="0" fontId="62" fillId="17" borderId="30" xfId="0" applyFont="1" applyFill="1" applyBorder="1" applyAlignment="1">
      <alignment horizontal="left" vertical="center"/>
    </xf>
    <xf numFmtId="0" fontId="59" fillId="0" borderId="29" xfId="0" applyFont="1" applyBorder="1" applyAlignment="1">
      <alignment vertical="center" wrapText="1"/>
    </xf>
    <xf numFmtId="0" fontId="59" fillId="0" borderId="27" xfId="0" applyFont="1" applyBorder="1" applyAlignment="1">
      <alignment vertical="center" wrapText="1"/>
    </xf>
    <xf numFmtId="0" fontId="54" fillId="0" borderId="29" xfId="0" applyFont="1" applyBorder="1" applyAlignment="1">
      <alignment vertical="center" wrapText="1"/>
    </xf>
    <xf numFmtId="10" fontId="55" fillId="18" borderId="28" xfId="0" applyNumberFormat="1" applyFont="1" applyFill="1" applyBorder="1" applyAlignment="1" applyProtection="1">
      <alignment horizontal="center" vertical="center" wrapText="1"/>
      <protection locked="0"/>
    </xf>
    <xf numFmtId="10" fontId="55" fillId="18" borderId="54" xfId="0" applyNumberFormat="1" applyFont="1" applyFill="1" applyBorder="1" applyAlignment="1" applyProtection="1">
      <alignment horizontal="center" vertical="center" wrapText="1"/>
      <protection locked="0"/>
    </xf>
    <xf numFmtId="10" fontId="55" fillId="18" borderId="29" xfId="0" applyNumberFormat="1" applyFont="1" applyFill="1" applyBorder="1" applyAlignment="1" applyProtection="1">
      <alignment horizontal="center" vertical="center" wrapText="1"/>
      <protection locked="0"/>
    </xf>
    <xf numFmtId="10" fontId="55" fillId="18" borderId="28" xfId="0" applyNumberFormat="1" applyFont="1" applyFill="1" applyBorder="1" applyAlignment="1">
      <alignment horizontal="center" vertical="center" wrapText="1"/>
    </xf>
    <xf numFmtId="10" fontId="55" fillId="18" borderId="54" xfId="0" applyNumberFormat="1" applyFont="1" applyFill="1" applyBorder="1" applyAlignment="1">
      <alignment horizontal="center" vertical="center" wrapText="1"/>
    </xf>
    <xf numFmtId="10" fontId="55" fillId="18" borderId="29" xfId="0" applyNumberFormat="1" applyFont="1" applyFill="1" applyBorder="1" applyAlignment="1">
      <alignment horizontal="center" vertical="center" wrapText="1"/>
    </xf>
    <xf numFmtId="3" fontId="22" fillId="6" borderId="36" xfId="0" applyNumberFormat="1" applyFont="1" applyFill="1" applyBorder="1" applyAlignment="1">
      <alignment horizontal="center" vertical="center" wrapText="1"/>
    </xf>
    <xf numFmtId="165" fontId="25" fillId="13" borderId="27" xfId="0" applyNumberFormat="1" applyFont="1" applyFill="1" applyBorder="1" applyAlignment="1" applyProtection="1">
      <alignment horizontal="center" vertical="center" wrapText="1"/>
      <protection hidden="1"/>
    </xf>
    <xf numFmtId="165" fontId="24" fillId="13" borderId="62" xfId="0" applyNumberFormat="1" applyFont="1" applyFill="1" applyBorder="1" applyAlignment="1" applyProtection="1">
      <alignment horizontal="center" vertical="center" wrapText="1"/>
      <protection hidden="1"/>
    </xf>
    <xf numFmtId="165" fontId="21" fillId="6" borderId="9" xfId="0" applyNumberFormat="1" applyFont="1" applyFill="1" applyBorder="1" applyAlignment="1" applyProtection="1">
      <alignment horizontal="center" vertical="center" wrapText="1"/>
      <protection hidden="1"/>
    </xf>
    <xf numFmtId="165" fontId="22" fillId="8" borderId="22" xfId="0" applyNumberFormat="1" applyFont="1" applyFill="1" applyBorder="1" applyAlignment="1">
      <alignment horizontal="right" vertical="center" wrapText="1"/>
    </xf>
    <xf numFmtId="165" fontId="22" fillId="8" borderId="52" xfId="0" applyNumberFormat="1" applyFont="1" applyFill="1" applyBorder="1" applyAlignment="1">
      <alignment horizontal="right" vertical="center" wrapText="1"/>
    </xf>
    <xf numFmtId="165" fontId="23" fillId="8" borderId="53" xfId="0" applyNumberFormat="1" applyFont="1" applyFill="1" applyBorder="1"/>
    <xf numFmtId="172" fontId="22" fillId="6" borderId="9" xfId="0" applyNumberFormat="1" applyFont="1" applyFill="1" applyBorder="1" applyAlignment="1" applyProtection="1">
      <alignment horizontal="center" vertical="center" wrapText="1"/>
      <protection hidden="1"/>
    </xf>
    <xf numFmtId="173" fontId="22" fillId="5" borderId="31" xfId="0" applyNumberFormat="1" applyFont="1" applyFill="1" applyBorder="1" applyAlignment="1" applyProtection="1">
      <alignment horizontal="center" vertical="center" wrapText="1"/>
      <protection locked="0"/>
    </xf>
    <xf numFmtId="0" fontId="22" fillId="5" borderId="12" xfId="0" applyFont="1" applyFill="1" applyBorder="1" applyAlignment="1" applyProtection="1">
      <alignment horizontal="center" vertical="center" wrapText="1"/>
      <protection locked="0"/>
    </xf>
    <xf numFmtId="0" fontId="22" fillId="5" borderId="44" xfId="0" applyFont="1" applyFill="1" applyBorder="1" applyAlignment="1" applyProtection="1">
      <alignment horizontal="center" vertical="center" wrapText="1"/>
      <protection locked="0"/>
    </xf>
    <xf numFmtId="49" fontId="22" fillId="5" borderId="31" xfId="0" applyNumberFormat="1" applyFont="1" applyFill="1" applyBorder="1" applyAlignment="1" applyProtection="1">
      <alignment horizontal="center" vertical="center" wrapText="1"/>
      <protection locked="0"/>
    </xf>
    <xf numFmtId="0" fontId="22" fillId="5" borderId="53" xfId="0" applyFont="1" applyFill="1" applyBorder="1" applyAlignment="1" applyProtection="1">
      <alignment horizontal="center" vertical="center" wrapText="1"/>
      <protection locked="0"/>
    </xf>
    <xf numFmtId="3" fontId="22" fillId="5" borderId="18" xfId="950" applyNumberFormat="1" applyFont="1" applyFill="1" applyBorder="1" applyAlignment="1" applyProtection="1">
      <alignment horizontal="center" vertical="center" wrapText="1"/>
      <protection locked="0"/>
    </xf>
    <xf numFmtId="0" fontId="22" fillId="5" borderId="31" xfId="0" applyFont="1" applyFill="1" applyBorder="1" applyAlignment="1" applyProtection="1">
      <alignment horizontal="center" vertical="center" wrapText="1"/>
      <protection locked="0"/>
    </xf>
    <xf numFmtId="10" fontId="22" fillId="14" borderId="32" xfId="0" applyNumberFormat="1" applyFont="1" applyFill="1" applyBorder="1" applyAlignment="1" applyProtection="1">
      <alignment horizontal="center" vertical="center" wrapText="1"/>
      <protection locked="0"/>
    </xf>
    <xf numFmtId="174" fontId="22" fillId="5" borderId="30" xfId="0" applyNumberFormat="1" applyFont="1" applyFill="1" applyBorder="1" applyAlignment="1" applyProtection="1">
      <alignment horizontal="center" vertical="center" wrapText="1"/>
      <protection locked="0"/>
    </xf>
    <xf numFmtId="0" fontId="22" fillId="5" borderId="25" xfId="0" applyFont="1" applyFill="1" applyBorder="1" applyAlignment="1" applyProtection="1">
      <alignment horizontal="center" vertical="center" wrapText="1"/>
      <protection locked="0"/>
    </xf>
    <xf numFmtId="0" fontId="22" fillId="5" borderId="27" xfId="0" applyFont="1" applyFill="1" applyBorder="1" applyAlignment="1" applyProtection="1">
      <alignment horizontal="center" vertical="center" wrapText="1"/>
      <protection locked="0"/>
    </xf>
    <xf numFmtId="6" fontId="22" fillId="5" borderId="45" xfId="0" applyNumberFormat="1" applyFont="1" applyFill="1" applyBorder="1" applyAlignment="1" applyProtection="1">
      <alignment horizontal="center" vertical="center" wrapText="1"/>
      <protection locked="0"/>
    </xf>
    <xf numFmtId="10" fontId="15" fillId="5" borderId="27" xfId="0" applyNumberFormat="1" applyFont="1" applyFill="1" applyBorder="1" applyAlignment="1" applyProtection="1">
      <alignment horizontal="center" vertical="center"/>
      <protection locked="0"/>
    </xf>
    <xf numFmtId="6" fontId="22" fillId="5" borderId="9" xfId="0" applyNumberFormat="1" applyFont="1" applyFill="1" applyBorder="1" applyAlignment="1" applyProtection="1">
      <alignment horizontal="center" vertical="center" wrapText="1"/>
      <protection locked="0"/>
    </xf>
    <xf numFmtId="0" fontId="22" fillId="5" borderId="9" xfId="0" applyFont="1" applyFill="1" applyBorder="1" applyAlignment="1" applyProtection="1">
      <alignment horizontal="center" vertical="center" wrapText="1"/>
      <protection locked="0"/>
    </xf>
    <xf numFmtId="10" fontId="22" fillId="5" borderId="9" xfId="0" applyNumberFormat="1" applyFont="1" applyFill="1" applyBorder="1" applyAlignment="1" applyProtection="1">
      <alignment horizontal="center" vertical="center" wrapText="1"/>
      <protection locked="0"/>
    </xf>
    <xf numFmtId="0" fontId="22" fillId="5" borderId="1" xfId="0" applyFont="1" applyFill="1" applyBorder="1" applyAlignment="1" applyProtection="1">
      <alignment horizontal="center" vertical="center" wrapText="1"/>
      <protection locked="0"/>
    </xf>
    <xf numFmtId="165" fontId="55" fillId="5" borderId="27" xfId="0" applyNumberFormat="1" applyFont="1" applyFill="1" applyBorder="1" applyAlignment="1" applyProtection="1">
      <alignment horizontal="center" vertical="center" wrapText="1"/>
      <protection locked="0"/>
    </xf>
    <xf numFmtId="10" fontId="15" fillId="5" borderId="27" xfId="0" applyNumberFormat="1" applyFont="1" applyFill="1" applyBorder="1" applyAlignment="1" applyProtection="1">
      <alignment horizontal="center"/>
      <protection locked="0"/>
    </xf>
    <xf numFmtId="0" fontId="22" fillId="5" borderId="13" xfId="0" applyFont="1" applyFill="1" applyBorder="1" applyAlignment="1" applyProtection="1">
      <alignment horizontal="center" vertical="center" wrapText="1"/>
      <protection locked="0"/>
    </xf>
    <xf numFmtId="165" fontId="22" fillId="5" borderId="9" xfId="0" applyNumberFormat="1" applyFont="1" applyFill="1" applyBorder="1" applyAlignment="1" applyProtection="1">
      <alignment horizontal="center" vertical="center" wrapText="1"/>
      <protection locked="0"/>
    </xf>
    <xf numFmtId="3" fontId="22" fillId="5" borderId="9" xfId="0" applyNumberFormat="1" applyFont="1" applyFill="1" applyBorder="1" applyAlignment="1" applyProtection="1">
      <alignment horizontal="center" vertical="center" wrapText="1"/>
      <protection locked="0"/>
    </xf>
    <xf numFmtId="165" fontId="22" fillId="5" borderId="13" xfId="0" applyNumberFormat="1" applyFont="1" applyFill="1" applyBorder="1" applyAlignment="1" applyProtection="1">
      <alignment horizontal="center" vertical="center" wrapText="1"/>
      <protection locked="0"/>
    </xf>
    <xf numFmtId="165" fontId="22" fillId="5" borderId="9" xfId="950" applyNumberFormat="1" applyFont="1" applyFill="1" applyBorder="1" applyAlignment="1" applyProtection="1">
      <alignment horizontal="center" vertical="center" wrapText="1"/>
      <protection locked="0"/>
    </xf>
    <xf numFmtId="37" fontId="22" fillId="5" borderId="9" xfId="950" applyNumberFormat="1" applyFont="1" applyFill="1" applyBorder="1" applyAlignment="1" applyProtection="1">
      <alignment horizontal="center" vertical="center" wrapText="1"/>
      <protection locked="0"/>
    </xf>
    <xf numFmtId="0" fontId="64" fillId="0" borderId="0" xfId="0" applyFont="1"/>
    <xf numFmtId="174" fontId="22" fillId="6" borderId="30" xfId="0" applyNumberFormat="1" applyFont="1" applyFill="1" applyBorder="1" applyAlignment="1">
      <alignment horizontal="center" vertical="center" wrapText="1"/>
    </xf>
    <xf numFmtId="165" fontId="0" fillId="0" borderId="0" xfId="0" applyNumberFormat="1"/>
    <xf numFmtId="1" fontId="22" fillId="6" borderId="31" xfId="0" applyNumberFormat="1" applyFont="1" applyFill="1" applyBorder="1" applyAlignment="1" applyProtection="1">
      <alignment horizontal="center" vertical="center" wrapText="1"/>
      <protection hidden="1"/>
    </xf>
    <xf numFmtId="0" fontId="61" fillId="6" borderId="16" xfId="0" applyFont="1" applyFill="1" applyBorder="1" applyAlignment="1" applyProtection="1">
      <alignment vertical="center" wrapText="1"/>
      <protection hidden="1"/>
    </xf>
    <xf numFmtId="0" fontId="61" fillId="6" borderId="18" xfId="0" applyFont="1" applyFill="1" applyBorder="1" applyAlignment="1" applyProtection="1">
      <alignment vertical="center" wrapText="1"/>
      <protection hidden="1"/>
    </xf>
    <xf numFmtId="0" fontId="61" fillId="6" borderId="21" xfId="0" applyFont="1" applyFill="1" applyBorder="1" applyAlignment="1" applyProtection="1">
      <alignment vertical="center" wrapText="1"/>
      <protection hidden="1"/>
    </xf>
    <xf numFmtId="0" fontId="61" fillId="6" borderId="23" xfId="0" applyFont="1" applyFill="1" applyBorder="1" applyAlignment="1" applyProtection="1">
      <alignment vertical="center" wrapText="1"/>
      <protection hidden="1"/>
    </xf>
    <xf numFmtId="0" fontId="0" fillId="0" borderId="23" xfId="0" applyBorder="1" applyAlignment="1">
      <alignment horizontal="center" vertical="center" wrapText="1"/>
    </xf>
    <xf numFmtId="0" fontId="24" fillId="0" borderId="27" xfId="0" applyFont="1" applyBorder="1" applyAlignment="1">
      <alignment horizontal="center" vertical="center" wrapText="1"/>
    </xf>
    <xf numFmtId="0" fontId="22" fillId="19" borderId="25" xfId="0" applyFont="1" applyFill="1" applyBorder="1" applyAlignment="1" applyProtection="1">
      <alignment horizontal="center" vertical="center" wrapText="1"/>
      <protection locked="0"/>
    </xf>
    <xf numFmtId="0" fontId="65" fillId="0" borderId="0" xfId="0" applyFont="1" applyAlignment="1">
      <alignment vertical="center"/>
    </xf>
    <xf numFmtId="3" fontId="21" fillId="6" borderId="9" xfId="131" applyNumberFormat="1" applyFont="1" applyFill="1" applyBorder="1" applyAlignment="1">
      <alignment horizontal="center" vertical="center" wrapText="1"/>
    </xf>
    <xf numFmtId="176" fontId="22" fillId="6" borderId="27" xfId="0" applyNumberFormat="1" applyFont="1" applyFill="1" applyBorder="1" applyAlignment="1" applyProtection="1">
      <alignment horizontal="center" vertical="center" wrapText="1"/>
      <protection hidden="1"/>
    </xf>
    <xf numFmtId="0" fontId="67" fillId="0" borderId="26" xfId="0" applyFont="1" applyBorder="1" applyAlignment="1">
      <alignment vertical="center" wrapText="1"/>
    </xf>
    <xf numFmtId="0" fontId="69" fillId="0" borderId="26" xfId="0" applyFont="1" applyBorder="1"/>
    <xf numFmtId="0" fontId="70" fillId="0" borderId="26" xfId="0" applyFont="1" applyBorder="1" applyAlignment="1">
      <alignment vertical="center" wrapText="1"/>
    </xf>
    <xf numFmtId="0" fontId="24" fillId="10" borderId="27" xfId="0" applyFont="1" applyFill="1" applyBorder="1" applyAlignment="1">
      <alignment horizontal="center" vertical="center" wrapText="1"/>
    </xf>
    <xf numFmtId="0" fontId="26" fillId="10" borderId="24" xfId="0" applyFont="1" applyFill="1" applyBorder="1" applyAlignment="1">
      <alignment horizontal="left" vertical="center"/>
    </xf>
    <xf numFmtId="6" fontId="24" fillId="13" borderId="27" xfId="0" applyNumberFormat="1" applyFont="1" applyFill="1" applyBorder="1" applyAlignment="1" applyProtection="1">
      <alignment horizontal="center" vertical="center" wrapText="1"/>
      <protection hidden="1"/>
    </xf>
    <xf numFmtId="0" fontId="33" fillId="0" borderId="0" xfId="951" applyFont="1"/>
    <xf numFmtId="0" fontId="12" fillId="0" borderId="0" xfId="951" applyFont="1"/>
    <xf numFmtId="0" fontId="33" fillId="0" borderId="55" xfId="951" applyFont="1" applyBorder="1" applyAlignment="1">
      <alignment horizontal="left"/>
    </xf>
    <xf numFmtId="0" fontId="13" fillId="0" borderId="0" xfId="951" applyFont="1" applyAlignment="1">
      <alignment horizontal="left"/>
    </xf>
    <xf numFmtId="0" fontId="13" fillId="0" borderId="0" xfId="951" applyFont="1" applyAlignment="1">
      <alignment horizontal="right"/>
    </xf>
    <xf numFmtId="44" fontId="12" fillId="0" borderId="0" xfId="951" applyNumberFormat="1" applyFont="1"/>
    <xf numFmtId="6" fontId="13" fillId="6" borderId="57" xfId="951" applyNumberFormat="1" applyFont="1" applyFill="1" applyBorder="1" applyAlignment="1">
      <alignment horizontal="center"/>
    </xf>
    <xf numFmtId="170" fontId="13" fillId="6" borderId="58" xfId="951" applyNumberFormat="1" applyFont="1" applyFill="1" applyBorder="1" applyAlignment="1">
      <alignment horizontal="center"/>
    </xf>
    <xf numFmtId="172" fontId="12" fillId="0" borderId="0" xfId="951" applyNumberFormat="1" applyFont="1"/>
    <xf numFmtId="1" fontId="13" fillId="6" borderId="58" xfId="951" applyNumberFormat="1" applyFont="1" applyFill="1" applyBorder="1" applyAlignment="1">
      <alignment horizontal="center"/>
    </xf>
    <xf numFmtId="14" fontId="12" fillId="0" borderId="0" xfId="951" applyNumberFormat="1" applyFont="1"/>
    <xf numFmtId="8" fontId="12" fillId="0" borderId="0" xfId="951" applyNumberFormat="1" applyFont="1"/>
    <xf numFmtId="14" fontId="13" fillId="5" borderId="59" xfId="951" applyNumberFormat="1" applyFont="1" applyFill="1" applyBorder="1" applyAlignment="1">
      <alignment horizontal="center"/>
    </xf>
    <xf numFmtId="0" fontId="13" fillId="0" borderId="55" xfId="951" applyFont="1" applyBorder="1" applyAlignment="1">
      <alignment horizontal="left"/>
    </xf>
    <xf numFmtId="14" fontId="13" fillId="0" borderId="55" xfId="951" applyNumberFormat="1" applyFont="1" applyBorder="1" applyAlignment="1">
      <alignment horizontal="left"/>
    </xf>
    <xf numFmtId="1" fontId="13" fillId="6" borderId="27" xfId="951" applyNumberFormat="1" applyFont="1" applyFill="1" applyBorder="1" applyAlignment="1">
      <alignment horizontal="center"/>
    </xf>
    <xf numFmtId="9" fontId="39" fillId="0" borderId="0" xfId="1029" applyFont="1"/>
    <xf numFmtId="44" fontId="13" fillId="6" borderId="58" xfId="952" applyFont="1" applyFill="1" applyBorder="1" applyAlignment="1">
      <alignment horizontal="center"/>
    </xf>
    <xf numFmtId="8" fontId="13" fillId="0" borderId="0" xfId="951" applyNumberFormat="1" applyFont="1" applyAlignment="1">
      <alignment horizontal="left"/>
    </xf>
    <xf numFmtId="44" fontId="13" fillId="6" borderId="63" xfId="952" applyFont="1" applyFill="1" applyBorder="1" applyAlignment="1">
      <alignment horizontal="center"/>
    </xf>
    <xf numFmtId="172" fontId="13" fillId="6" borderId="29" xfId="951" applyNumberFormat="1" applyFont="1" applyFill="1" applyBorder="1" applyAlignment="1">
      <alignment horizontal="center"/>
    </xf>
    <xf numFmtId="44" fontId="13" fillId="0" borderId="0" xfId="951" applyNumberFormat="1" applyFont="1" applyAlignment="1">
      <alignment horizontal="left"/>
    </xf>
    <xf numFmtId="0" fontId="13" fillId="0" borderId="55" xfId="951" applyFont="1" applyBorder="1" applyAlignment="1">
      <alignment horizontal="right" wrapText="1"/>
    </xf>
    <xf numFmtId="0" fontId="13" fillId="0" borderId="56" xfId="951" applyFont="1" applyBorder="1" applyAlignment="1">
      <alignment horizontal="center" wrapText="1"/>
    </xf>
    <xf numFmtId="172" fontId="33" fillId="0" borderId="0" xfId="951" applyNumberFormat="1" applyFont="1" applyAlignment="1">
      <alignment horizontal="center"/>
    </xf>
    <xf numFmtId="0" fontId="33" fillId="0" borderId="0" xfId="951" applyFont="1" applyAlignment="1">
      <alignment wrapText="1"/>
    </xf>
    <xf numFmtId="0" fontId="12" fillId="0" borderId="26" xfId="951" applyFont="1" applyBorder="1" applyAlignment="1">
      <alignment horizontal="center" wrapText="1"/>
    </xf>
    <xf numFmtId="0" fontId="12" fillId="0" borderId="26" xfId="951" applyFont="1" applyBorder="1" applyAlignment="1">
      <alignment wrapText="1"/>
    </xf>
    <xf numFmtId="0" fontId="12" fillId="0" borderId="0" xfId="951" applyFont="1" applyAlignment="1">
      <alignment wrapText="1"/>
    </xf>
    <xf numFmtId="0" fontId="12" fillId="0" borderId="0" xfId="951" applyFont="1" applyAlignment="1">
      <alignment horizontal="center"/>
    </xf>
    <xf numFmtId="172" fontId="12" fillId="0" borderId="0" xfId="951" applyNumberFormat="1" applyFont="1" applyAlignment="1">
      <alignment horizontal="center"/>
    </xf>
    <xf numFmtId="172" fontId="33" fillId="0" borderId="0" xfId="951" applyNumberFormat="1" applyFont="1"/>
    <xf numFmtId="0" fontId="12" fillId="0" borderId="26" xfId="951" applyFont="1" applyBorder="1" applyAlignment="1">
      <alignment horizontal="center"/>
    </xf>
    <xf numFmtId="172" fontId="12" fillId="0" borderId="26" xfId="951" applyNumberFormat="1" applyFont="1" applyBorder="1" applyAlignment="1">
      <alignment horizontal="center"/>
    </xf>
    <xf numFmtId="14" fontId="12" fillId="0" borderId="0" xfId="951" applyNumberFormat="1" applyFont="1" applyAlignment="1">
      <alignment horizontal="center"/>
    </xf>
    <xf numFmtId="0" fontId="33" fillId="0" borderId="0" xfId="951" applyFont="1" applyAlignment="1">
      <alignment horizontal="center"/>
    </xf>
    <xf numFmtId="2" fontId="13" fillId="6" borderId="27" xfId="951" applyNumberFormat="1" applyFont="1" applyFill="1" applyBorder="1" applyAlignment="1">
      <alignment horizontal="center"/>
    </xf>
    <xf numFmtId="172" fontId="39" fillId="5" borderId="0" xfId="951" applyNumberFormat="1" applyFont="1" applyFill="1" applyAlignment="1">
      <alignment horizontal="center"/>
    </xf>
    <xf numFmtId="0" fontId="22" fillId="5" borderId="4" xfId="0" applyFont="1" applyFill="1" applyBorder="1" applyAlignment="1" applyProtection="1">
      <alignment horizontal="center" vertical="center" wrapText="1"/>
      <protection locked="0"/>
    </xf>
    <xf numFmtId="0" fontId="22" fillId="5" borderId="30" xfId="0" applyFont="1" applyFill="1" applyBorder="1" applyAlignment="1" applyProtection="1">
      <alignment horizontal="center" vertical="center" wrapText="1"/>
      <protection locked="0"/>
    </xf>
    <xf numFmtId="0" fontId="22" fillId="5" borderId="32" xfId="0" applyFont="1" applyFill="1" applyBorder="1" applyAlignment="1" applyProtection="1">
      <alignment horizontal="center" vertical="center" wrapText="1"/>
      <protection locked="0"/>
    </xf>
    <xf numFmtId="0" fontId="71" fillId="0" borderId="0" xfId="0" applyFont="1" applyAlignment="1">
      <alignment wrapText="1"/>
    </xf>
    <xf numFmtId="0" fontId="6" fillId="0" borderId="0" xfId="1089"/>
    <xf numFmtId="0" fontId="66" fillId="0" borderId="26" xfId="0" applyFont="1" applyBorder="1" applyAlignment="1">
      <alignment vertical="center" wrapText="1"/>
    </xf>
    <xf numFmtId="0" fontId="15" fillId="0" borderId="26" xfId="0" applyFont="1" applyBorder="1"/>
    <xf numFmtId="0" fontId="15" fillId="0" borderId="26" xfId="0" applyFont="1" applyBorder="1" applyAlignment="1">
      <alignment vertical="center" wrapText="1"/>
    </xf>
    <xf numFmtId="2" fontId="15" fillId="0" borderId="0" xfId="0" applyNumberFormat="1" applyFont="1"/>
    <xf numFmtId="0" fontId="22" fillId="0" borderId="0" xfId="0" applyFont="1" applyAlignment="1">
      <alignment horizontal="left"/>
    </xf>
    <xf numFmtId="49" fontId="22" fillId="0" borderId="0" xfId="0" applyNumberFormat="1" applyFont="1" applyAlignment="1">
      <alignment horizontal="left"/>
    </xf>
    <xf numFmtId="0" fontId="18" fillId="0" borderId="27" xfId="0" applyFont="1" applyBorder="1" applyAlignment="1">
      <alignment horizontal="center" wrapText="1"/>
    </xf>
    <xf numFmtId="0" fontId="23" fillId="0" borderId="26" xfId="0" applyFont="1" applyBorder="1" applyAlignment="1" applyProtection="1">
      <alignment horizontal="left" vertical="center" wrapText="1"/>
      <protection locked="0"/>
    </xf>
    <xf numFmtId="0" fontId="66" fillId="0" borderId="26" xfId="0" applyFont="1" applyBorder="1" applyAlignment="1" applyProtection="1">
      <alignment horizontal="left" vertical="center" wrapText="1"/>
      <protection locked="0"/>
    </xf>
    <xf numFmtId="0" fontId="23" fillId="9" borderId="22" xfId="0" applyFont="1" applyFill="1" applyBorder="1"/>
    <xf numFmtId="0" fontId="22" fillId="9" borderId="22" xfId="0" applyFont="1" applyFill="1" applyBorder="1" applyAlignment="1">
      <alignment horizontal="left" vertical="center" wrapText="1"/>
    </xf>
    <xf numFmtId="6" fontId="22" fillId="9" borderId="22" xfId="0" applyNumberFormat="1" applyFont="1" applyFill="1" applyBorder="1" applyAlignment="1">
      <alignment horizontal="right" vertical="center" wrapText="1"/>
    </xf>
    <xf numFmtId="0" fontId="23" fillId="9" borderId="23" xfId="0" applyFont="1" applyFill="1" applyBorder="1"/>
    <xf numFmtId="0" fontId="66" fillId="0" borderId="26" xfId="0" applyFont="1" applyBorder="1"/>
    <xf numFmtId="0" fontId="66" fillId="0" borderId="26" xfId="0" applyFont="1" applyBorder="1" applyAlignment="1">
      <alignment wrapText="1"/>
    </xf>
    <xf numFmtId="0" fontId="6" fillId="0" borderId="26" xfId="1089" applyBorder="1"/>
    <xf numFmtId="0" fontId="6" fillId="0" borderId="26" xfId="1089" applyBorder="1" applyAlignment="1" applyProtection="1">
      <alignment horizontal="left" vertical="center" wrapText="1"/>
      <protection locked="0"/>
    </xf>
    <xf numFmtId="0" fontId="66" fillId="0" borderId="71" xfId="0" applyFont="1" applyBorder="1" applyAlignment="1">
      <alignment vertical="center" wrapText="1"/>
    </xf>
    <xf numFmtId="0" fontId="67" fillId="0" borderId="71" xfId="0" applyFont="1" applyBorder="1" applyAlignment="1">
      <alignment vertical="center" wrapText="1"/>
    </xf>
    <xf numFmtId="168" fontId="34" fillId="9" borderId="17" xfId="1029" applyNumberFormat="1" applyFont="1" applyFill="1" applyBorder="1" applyAlignment="1">
      <alignment horizontal="center" vertical="center"/>
    </xf>
    <xf numFmtId="9" fontId="15" fillId="0" borderId="0" xfId="1029" applyFont="1"/>
    <xf numFmtId="0" fontId="24" fillId="0" borderId="24" xfId="0" applyFont="1" applyBorder="1" applyAlignment="1">
      <alignment horizontal="center" vertical="center" wrapText="1"/>
    </xf>
    <xf numFmtId="0" fontId="48" fillId="0" borderId="24" xfId="0" applyFont="1" applyBorder="1" applyAlignment="1">
      <alignment horizontal="center" vertical="center" wrapText="1"/>
    </xf>
    <xf numFmtId="8" fontId="15" fillId="0" borderId="0" xfId="1030" applyNumberFormat="1" applyFont="1"/>
    <xf numFmtId="165" fontId="24" fillId="13" borderId="28" xfId="0" applyNumberFormat="1" applyFont="1" applyFill="1" applyBorder="1" applyAlignment="1" applyProtection="1">
      <alignment horizontal="center" vertical="center" wrapText="1"/>
      <protection hidden="1"/>
    </xf>
    <xf numFmtId="6" fontId="24" fillId="13" borderId="8" xfId="0" applyNumberFormat="1" applyFont="1" applyFill="1" applyBorder="1" applyAlignment="1" applyProtection="1">
      <alignment horizontal="center" vertical="center" wrapText="1"/>
      <protection hidden="1"/>
    </xf>
    <xf numFmtId="10" fontId="15" fillId="5" borderId="26" xfId="0" applyNumberFormat="1" applyFont="1" applyFill="1" applyBorder="1" applyAlignment="1" applyProtection="1">
      <alignment horizontal="center"/>
      <protection locked="0"/>
    </xf>
    <xf numFmtId="0" fontId="24" fillId="0" borderId="73" xfId="0" applyFont="1" applyBorder="1" applyAlignment="1">
      <alignment horizontal="center" vertical="center" wrapText="1"/>
    </xf>
    <xf numFmtId="0" fontId="24" fillId="0" borderId="74" xfId="0" applyFont="1" applyBorder="1" applyAlignment="1">
      <alignment horizontal="center" vertical="center" wrapText="1"/>
    </xf>
    <xf numFmtId="0" fontId="24" fillId="0" borderId="26" xfId="0" applyFont="1" applyBorder="1" applyAlignment="1">
      <alignment horizontal="center" vertical="center" wrapText="1"/>
    </xf>
    <xf numFmtId="0" fontId="24" fillId="0" borderId="76" xfId="0" applyFont="1" applyBorder="1" applyAlignment="1">
      <alignment horizontal="center" vertical="center" wrapText="1"/>
    </xf>
    <xf numFmtId="0" fontId="25" fillId="0" borderId="75" xfId="0" applyFont="1" applyBorder="1" applyAlignment="1">
      <alignment horizontal="center" vertical="center" wrapText="1"/>
    </xf>
    <xf numFmtId="0" fontId="26" fillId="10" borderId="75" xfId="0" applyFont="1" applyFill="1" applyBorder="1" applyAlignment="1">
      <alignment horizontal="left" vertical="center"/>
    </xf>
    <xf numFmtId="0" fontId="15" fillId="9" borderId="26" xfId="0" applyFont="1" applyFill="1" applyBorder="1" applyAlignment="1">
      <alignment vertical="center"/>
    </xf>
    <xf numFmtId="0" fontId="24" fillId="10" borderId="26" xfId="0" applyFont="1" applyFill="1" applyBorder="1" applyAlignment="1">
      <alignment horizontal="center" vertical="center" wrapText="1"/>
    </xf>
    <xf numFmtId="5" fontId="61" fillId="9" borderId="0" xfId="131" applyNumberFormat="1" applyFont="1" applyFill="1" applyBorder="1" applyAlignment="1">
      <alignment horizontal="center" vertical="center" wrapText="1"/>
    </xf>
    <xf numFmtId="0" fontId="61" fillId="9" borderId="0" xfId="0" applyFont="1" applyFill="1" applyAlignment="1">
      <alignment horizontal="right" vertical="center" wrapText="1"/>
    </xf>
    <xf numFmtId="0" fontId="62" fillId="17" borderId="0" xfId="0" applyFont="1" applyFill="1" applyAlignment="1">
      <alignment horizontal="left" vertical="center" wrapText="1"/>
    </xf>
    <xf numFmtId="0" fontId="63" fillId="17" borderId="0" xfId="0" applyFont="1" applyFill="1" applyAlignment="1">
      <alignment horizontal="right" vertical="center" wrapText="1"/>
    </xf>
    <xf numFmtId="0" fontId="22" fillId="8" borderId="37" xfId="0" applyFont="1" applyFill="1" applyBorder="1" applyAlignment="1">
      <alignment vertical="center" wrapText="1"/>
    </xf>
    <xf numFmtId="169" fontId="22" fillId="6" borderId="13" xfId="1030" applyNumberFormat="1" applyFont="1" applyFill="1" applyBorder="1" applyAlignment="1">
      <alignment horizontal="center" vertical="center" wrapText="1"/>
    </xf>
    <xf numFmtId="3" fontId="22" fillId="5" borderId="9" xfId="1030" applyNumberFormat="1" applyFont="1" applyFill="1" applyBorder="1" applyAlignment="1" applyProtection="1">
      <alignment horizontal="center" vertical="center" wrapText="1"/>
      <protection locked="0"/>
    </xf>
    <xf numFmtId="37" fontId="22" fillId="5" borderId="9" xfId="1030" applyNumberFormat="1" applyFont="1" applyFill="1" applyBorder="1" applyAlignment="1" applyProtection="1">
      <alignment horizontal="center" vertical="center" wrapText="1"/>
      <protection locked="0"/>
    </xf>
    <xf numFmtId="165" fontId="22" fillId="5" borderId="9" xfId="1030" applyNumberFormat="1" applyFont="1" applyFill="1" applyBorder="1" applyAlignment="1" applyProtection="1">
      <alignment horizontal="center" vertical="center" wrapText="1"/>
      <protection locked="0"/>
    </xf>
    <xf numFmtId="49" fontId="22" fillId="0" borderId="0" xfId="0" applyNumberFormat="1" applyFont="1"/>
    <xf numFmtId="0" fontId="64" fillId="0" borderId="26" xfId="0" applyFont="1" applyBorder="1" applyAlignment="1">
      <alignment horizontal="center" vertical="center"/>
    </xf>
    <xf numFmtId="165" fontId="55" fillId="14" borderId="71" xfId="0" applyNumberFormat="1" applyFont="1" applyFill="1" applyBorder="1" applyAlignment="1" applyProtection="1">
      <alignment horizontal="center"/>
      <protection locked="0"/>
    </xf>
    <xf numFmtId="3" fontId="25" fillId="5" borderId="26" xfId="0" applyNumberFormat="1" applyFont="1" applyFill="1" applyBorder="1" applyAlignment="1" applyProtection="1">
      <alignment horizontal="center" vertical="center" wrapText="1"/>
      <protection locked="0"/>
    </xf>
    <xf numFmtId="0" fontId="22" fillId="6" borderId="15" xfId="0" applyFont="1" applyFill="1" applyBorder="1" applyAlignment="1">
      <alignment horizontal="left" vertical="center" wrapText="1"/>
    </xf>
    <xf numFmtId="0" fontId="22" fillId="6" borderId="13" xfId="0" applyFont="1" applyFill="1" applyBorder="1" applyAlignment="1">
      <alignment horizontal="left" vertical="center" wrapText="1"/>
    </xf>
    <xf numFmtId="0" fontId="15" fillId="9" borderId="16" xfId="0" applyFont="1" applyFill="1" applyBorder="1" applyAlignment="1">
      <alignment horizontal="center" vertical="center"/>
    </xf>
    <xf numFmtId="0" fontId="24" fillId="0" borderId="75" xfId="0" applyFont="1" applyBorder="1" applyAlignment="1">
      <alignment horizontal="center" vertical="center" wrapText="1"/>
    </xf>
    <xf numFmtId="0" fontId="71" fillId="0" borderId="75" xfId="0" applyFont="1" applyBorder="1" applyAlignment="1">
      <alignment horizontal="center" vertical="center" wrapText="1"/>
    </xf>
    <xf numFmtId="0" fontId="15" fillId="9" borderId="20" xfId="0" applyFont="1" applyFill="1" applyBorder="1" applyAlignment="1">
      <alignment horizontal="center" vertical="center"/>
    </xf>
    <xf numFmtId="0" fontId="71" fillId="0" borderId="75" xfId="0" applyFont="1" applyBorder="1" applyAlignment="1">
      <alignment horizontal="center" vertical="center"/>
    </xf>
    <xf numFmtId="165" fontId="25" fillId="5" borderId="76" xfId="0" applyNumberFormat="1" applyFont="1" applyFill="1" applyBorder="1" applyAlignment="1" applyProtection="1">
      <alignment horizontal="center" vertical="center" wrapText="1"/>
      <protection locked="0"/>
    </xf>
    <xf numFmtId="6" fontId="24" fillId="10" borderId="76" xfId="0" applyNumberFormat="1" applyFont="1" applyFill="1" applyBorder="1" applyAlignment="1">
      <alignment horizontal="center" vertical="center" wrapText="1"/>
    </xf>
    <xf numFmtId="0" fontId="12" fillId="0" borderId="75" xfId="0" applyFont="1" applyBorder="1" applyAlignment="1">
      <alignment horizontal="left"/>
    </xf>
    <xf numFmtId="0" fontId="51" fillId="0" borderId="26" xfId="0" applyFont="1" applyBorder="1"/>
    <xf numFmtId="0" fontId="51" fillId="0" borderId="76" xfId="0" applyFont="1" applyBorder="1"/>
    <xf numFmtId="6" fontId="21" fillId="5" borderId="9" xfId="0" applyNumberFormat="1" applyFont="1" applyFill="1" applyBorder="1" applyAlignment="1" applyProtection="1">
      <alignment horizontal="center" vertical="center" wrapText="1"/>
      <protection locked="0"/>
    </xf>
    <xf numFmtId="165" fontId="61" fillId="5" borderId="9" xfId="950" applyNumberFormat="1" applyFont="1" applyFill="1" applyBorder="1" applyAlignment="1" applyProtection="1">
      <alignment horizontal="center" vertical="center" wrapText="1"/>
      <protection locked="0"/>
    </xf>
    <xf numFmtId="169" fontId="15" fillId="0" borderId="0" xfId="132" applyNumberFormat="1" applyFont="1"/>
    <xf numFmtId="165" fontId="22" fillId="15" borderId="36" xfId="0" applyNumberFormat="1" applyFont="1" applyFill="1" applyBorder="1" applyAlignment="1">
      <alignment horizontal="center" vertical="center" wrapText="1"/>
    </xf>
    <xf numFmtId="0" fontId="73" fillId="7" borderId="25" xfId="0" applyFont="1" applyFill="1" applyBorder="1" applyAlignment="1">
      <alignment horizontal="center" wrapText="1"/>
    </xf>
    <xf numFmtId="165" fontId="21" fillId="13" borderId="62" xfId="0" applyNumberFormat="1" applyFont="1" applyFill="1" applyBorder="1" applyAlignment="1" applyProtection="1">
      <alignment horizontal="center" vertical="center" wrapText="1"/>
      <protection hidden="1"/>
    </xf>
    <xf numFmtId="0" fontId="74" fillId="9" borderId="0" xfId="0" applyFont="1" applyFill="1" applyAlignment="1">
      <alignment horizontal="left" vertical="center" wrapText="1"/>
    </xf>
    <xf numFmtId="0" fontId="0" fillId="0" borderId="0" xfId="0" applyAlignment="1">
      <alignment wrapText="1"/>
    </xf>
    <xf numFmtId="0" fontId="51" fillId="0" borderId="0" xfId="0" applyFont="1"/>
    <xf numFmtId="0" fontId="19" fillId="11" borderId="0" xfId="0" applyFont="1" applyFill="1" applyAlignment="1">
      <alignment horizontal="center" vertical="center" wrapText="1"/>
    </xf>
    <xf numFmtId="0" fontId="19" fillId="11" borderId="8" xfId="0" applyFont="1" applyFill="1" applyBorder="1" applyAlignment="1">
      <alignment horizontal="center" vertical="center" wrapText="1"/>
    </xf>
    <xf numFmtId="10" fontId="25" fillId="5" borderId="27" xfId="0" applyNumberFormat="1" applyFont="1" applyFill="1" applyBorder="1" applyAlignment="1" applyProtection="1">
      <alignment horizontal="center" vertical="center"/>
      <protection locked="0"/>
    </xf>
    <xf numFmtId="0" fontId="22" fillId="0" borderId="0" xfId="0" applyFont="1" applyAlignment="1">
      <alignment vertical="center"/>
    </xf>
    <xf numFmtId="0" fontId="21" fillId="15" borderId="6" xfId="0" applyFont="1" applyFill="1" applyBorder="1" applyAlignment="1">
      <alignment horizontal="center" vertical="center" wrapText="1"/>
    </xf>
    <xf numFmtId="37" fontId="22" fillId="5" borderId="9" xfId="1091" applyNumberFormat="1" applyFont="1" applyFill="1" applyBorder="1" applyAlignment="1" applyProtection="1">
      <alignment horizontal="center" vertical="center" wrapText="1"/>
      <protection locked="0"/>
    </xf>
    <xf numFmtId="3" fontId="21" fillId="20" borderId="9" xfId="1092" applyNumberFormat="1" applyFont="1" applyFill="1" applyBorder="1" applyAlignment="1">
      <alignment horizontal="center" vertical="center" wrapText="1"/>
    </xf>
    <xf numFmtId="0" fontId="24" fillId="9" borderId="2" xfId="0" applyFont="1" applyFill="1" applyBorder="1" applyAlignment="1">
      <alignment horizontal="center" vertical="center" wrapText="1"/>
    </xf>
    <xf numFmtId="0" fontId="25" fillId="9" borderId="0" xfId="0" applyFont="1" applyFill="1" applyAlignment="1">
      <alignment vertical="center" wrapText="1"/>
    </xf>
    <xf numFmtId="3" fontId="24" fillId="9" borderId="0" xfId="0" applyNumberFormat="1" applyFont="1" applyFill="1" applyAlignment="1">
      <alignment horizontal="right" vertical="center" wrapText="1"/>
    </xf>
    <xf numFmtId="6" fontId="24" fillId="9" borderId="0" xfId="0" applyNumberFormat="1" applyFont="1" applyFill="1" applyAlignment="1">
      <alignment horizontal="right" vertical="center" wrapText="1"/>
    </xf>
    <xf numFmtId="0" fontId="15" fillId="8" borderId="0" xfId="0" applyFont="1" applyFill="1"/>
    <xf numFmtId="0" fontId="76" fillId="4" borderId="0" xfId="0" applyFont="1" applyFill="1" applyAlignment="1">
      <alignment horizontal="left" vertical="top" wrapText="1"/>
    </xf>
    <xf numFmtId="0" fontId="0" fillId="4" borderId="0" xfId="0" applyFill="1" applyAlignment="1">
      <alignment horizontal="left" vertical="top" wrapText="1"/>
    </xf>
    <xf numFmtId="0" fontId="0" fillId="4" borderId="0" xfId="0" applyFill="1"/>
    <xf numFmtId="0" fontId="8" fillId="4" borderId="0" xfId="0" applyFont="1" applyFill="1"/>
    <xf numFmtId="0" fontId="6" fillId="4" borderId="0" xfId="1089" applyFill="1" applyAlignment="1" applyProtection="1"/>
    <xf numFmtId="0" fontId="77" fillId="4" borderId="0" xfId="1090" applyFont="1" applyFill="1" applyAlignment="1" applyProtection="1"/>
    <xf numFmtId="0" fontId="78" fillId="16" borderId="0" xfId="0" applyFont="1" applyFill="1"/>
    <xf numFmtId="178" fontId="8" fillId="4" borderId="0" xfId="0" applyNumberFormat="1" applyFont="1" applyFill="1"/>
    <xf numFmtId="0" fontId="8" fillId="0" borderId="0" xfId="0" applyFont="1"/>
    <xf numFmtId="0" fontId="0" fillId="5" borderId="0" xfId="0" applyFill="1"/>
    <xf numFmtId="0" fontId="8" fillId="0" borderId="0" xfId="0" applyFont="1" applyAlignment="1">
      <alignment wrapText="1"/>
    </xf>
    <xf numFmtId="0" fontId="51" fillId="0" borderId="0" xfId="0" applyFont="1" applyAlignment="1">
      <alignment wrapText="1"/>
    </xf>
    <xf numFmtId="0" fontId="51" fillId="5" borderId="0" xfId="0" applyFont="1" applyFill="1" applyAlignment="1">
      <alignment wrapText="1"/>
    </xf>
    <xf numFmtId="0" fontId="82" fillId="0" borderId="0" xfId="0" applyFont="1" applyAlignment="1">
      <alignment wrapText="1"/>
    </xf>
    <xf numFmtId="180" fontId="51" fillId="0" borderId="0" xfId="1091" applyNumberFormat="1" applyFont="1" applyAlignment="1">
      <alignment wrapText="1"/>
    </xf>
    <xf numFmtId="180" fontId="82" fillId="0" borderId="0" xfId="1091" applyNumberFormat="1" applyFont="1" applyAlignment="1">
      <alignment wrapText="1"/>
    </xf>
    <xf numFmtId="0" fontId="83" fillId="0" borderId="0" xfId="0" applyFont="1"/>
    <xf numFmtId="0" fontId="82" fillId="0" borderId="0" xfId="0" applyFont="1"/>
    <xf numFmtId="180" fontId="82" fillId="0" borderId="0" xfId="1091" applyNumberFormat="1" applyFont="1"/>
    <xf numFmtId="0" fontId="51" fillId="5" borderId="0" xfId="0" applyFont="1" applyFill="1"/>
    <xf numFmtId="3" fontId="22" fillId="6" borderId="9" xfId="1091" applyNumberFormat="1" applyFont="1" applyFill="1" applyBorder="1" applyAlignment="1" applyProtection="1">
      <alignment horizontal="center" vertical="center" wrapText="1"/>
    </xf>
    <xf numFmtId="37" fontId="22" fillId="6" borderId="9" xfId="1091" applyNumberFormat="1" applyFont="1" applyFill="1" applyBorder="1" applyAlignment="1" applyProtection="1">
      <alignment horizontal="center" vertical="center" wrapText="1"/>
    </xf>
    <xf numFmtId="3" fontId="21" fillId="6" borderId="9" xfId="1092" applyNumberFormat="1" applyFont="1" applyFill="1" applyBorder="1" applyAlignment="1" applyProtection="1">
      <alignment horizontal="center" vertical="center" wrapText="1"/>
    </xf>
    <xf numFmtId="169" fontId="22" fillId="6" borderId="13" xfId="1030" applyNumberFormat="1" applyFont="1" applyFill="1" applyBorder="1" applyAlignment="1" applyProtection="1">
      <alignment horizontal="center" vertical="center" wrapText="1"/>
    </xf>
    <xf numFmtId="0" fontId="22" fillId="5" borderId="13" xfId="0" applyFont="1" applyFill="1" applyBorder="1" applyAlignment="1" applyProtection="1">
      <alignment horizontal="left" vertical="center" wrapText="1"/>
      <protection locked="0"/>
    </xf>
    <xf numFmtId="0" fontId="8" fillId="5" borderId="0" xfId="0" applyFont="1" applyFill="1"/>
    <xf numFmtId="0" fontId="6" fillId="5" borderId="0" xfId="1089" applyFill="1" applyAlignment="1" applyProtection="1"/>
    <xf numFmtId="0" fontId="84" fillId="5" borderId="0" xfId="1089" applyFont="1" applyFill="1" applyAlignment="1" applyProtection="1"/>
    <xf numFmtId="11" fontId="0" fillId="5" borderId="0" xfId="0" applyNumberFormat="1" applyFill="1"/>
    <xf numFmtId="179" fontId="79" fillId="5" borderId="85" xfId="1093" applyNumberFormat="1" applyFill="1" applyBorder="1"/>
    <xf numFmtId="179" fontId="79" fillId="5" borderId="0" xfId="1093" applyNumberFormat="1" applyFill="1"/>
    <xf numFmtId="0" fontId="85" fillId="7" borderId="51" xfId="0" applyFont="1" applyFill="1" applyBorder="1" applyAlignment="1">
      <alignment vertical="center" wrapText="1"/>
    </xf>
    <xf numFmtId="3" fontId="15" fillId="0" borderId="0" xfId="0" applyNumberFormat="1" applyFont="1"/>
    <xf numFmtId="165" fontId="86" fillId="6" borderId="45" xfId="0" applyNumberFormat="1" applyFont="1" applyFill="1" applyBorder="1" applyAlignment="1" applyProtection="1">
      <alignment horizontal="center" vertical="center" wrapText="1"/>
      <protection hidden="1"/>
    </xf>
    <xf numFmtId="172" fontId="12" fillId="0" borderId="26" xfId="0" applyNumberFormat="1" applyFont="1" applyBorder="1" applyAlignment="1">
      <alignment horizontal="center"/>
    </xf>
    <xf numFmtId="172" fontId="12" fillId="0" borderId="85" xfId="0" applyNumberFormat="1" applyFont="1" applyBorder="1" applyAlignment="1">
      <alignment horizontal="center"/>
    </xf>
    <xf numFmtId="0" fontId="87" fillId="0" borderId="0" xfId="0" applyFont="1"/>
    <xf numFmtId="0" fontId="88" fillId="0" borderId="0" xfId="0" applyFont="1"/>
    <xf numFmtId="43" fontId="51" fillId="0" borderId="0" xfId="1091" applyFont="1" applyAlignment="1">
      <alignment wrapText="1"/>
    </xf>
    <xf numFmtId="43" fontId="51" fillId="0" borderId="0" xfId="1091" applyFont="1"/>
    <xf numFmtId="0" fontId="82" fillId="5" borderId="0" xfId="0" applyFont="1" applyFill="1"/>
    <xf numFmtId="0" fontId="15" fillId="5" borderId="27" xfId="0" applyFont="1" applyFill="1" applyBorder="1" applyAlignment="1" applyProtection="1">
      <alignment horizontal="center"/>
      <protection locked="0"/>
    </xf>
    <xf numFmtId="0" fontId="22" fillId="5" borderId="1" xfId="0" applyFont="1" applyFill="1" applyBorder="1" applyAlignment="1" applyProtection="1">
      <alignment horizontal="left" vertical="center" wrapText="1"/>
      <protection locked="0"/>
    </xf>
    <xf numFmtId="0" fontId="22" fillId="5" borderId="9" xfId="0" applyFont="1" applyFill="1" applyBorder="1" applyAlignment="1" applyProtection="1">
      <alignment horizontal="left" vertical="center" wrapText="1"/>
      <protection locked="0"/>
    </xf>
    <xf numFmtId="181" fontId="83" fillId="0" borderId="0" xfId="0" applyNumberFormat="1" applyFont="1" applyAlignment="1">
      <alignment wrapText="1"/>
    </xf>
    <xf numFmtId="182" fontId="83" fillId="0" borderId="0" xfId="0" applyNumberFormat="1" applyFont="1" applyAlignment="1">
      <alignment wrapText="1"/>
    </xf>
    <xf numFmtId="181" fontId="83" fillId="0" borderId="0" xfId="0" applyNumberFormat="1" applyFont="1"/>
    <xf numFmtId="182" fontId="83" fillId="0" borderId="0" xfId="0" applyNumberFormat="1" applyFont="1"/>
    <xf numFmtId="0" fontId="89" fillId="5" borderId="0" xfId="1094" applyFont="1" applyFill="1"/>
    <xf numFmtId="0" fontId="8" fillId="5" borderId="0" xfId="1094" applyFill="1"/>
    <xf numFmtId="177" fontId="15" fillId="5" borderId="26" xfId="0" applyNumberFormat="1" applyFont="1" applyFill="1" applyBorder="1" applyAlignment="1" applyProtection="1">
      <alignment horizontal="center" vertical="center" wrapText="1"/>
      <protection locked="0"/>
    </xf>
    <xf numFmtId="177" fontId="25" fillId="13" borderId="26" xfId="0" applyNumberFormat="1" applyFont="1" applyFill="1" applyBorder="1" applyAlignment="1">
      <alignment horizontal="center" vertical="center" wrapText="1"/>
    </xf>
    <xf numFmtId="165" fontId="25" fillId="13" borderId="26" xfId="0" applyNumberFormat="1" applyFont="1" applyFill="1" applyBorder="1" applyAlignment="1">
      <alignment horizontal="center" vertical="center" wrapText="1"/>
    </xf>
    <xf numFmtId="3" fontId="25" fillId="13" borderId="26" xfId="0" applyNumberFormat="1" applyFont="1" applyFill="1" applyBorder="1" applyAlignment="1">
      <alignment horizontal="center" vertical="center" wrapText="1"/>
    </xf>
    <xf numFmtId="165" fontId="25" fillId="13" borderId="76" xfId="0" applyNumberFormat="1" applyFont="1" applyFill="1" applyBorder="1" applyAlignment="1">
      <alignment horizontal="center" vertical="center" wrapText="1"/>
    </xf>
    <xf numFmtId="165" fontId="24" fillId="13" borderId="26" xfId="0" applyNumberFormat="1" applyFont="1" applyFill="1" applyBorder="1" applyAlignment="1">
      <alignment horizontal="center" vertical="center" wrapText="1"/>
    </xf>
    <xf numFmtId="3" fontId="24" fillId="13" borderId="26" xfId="0" applyNumberFormat="1" applyFont="1" applyFill="1" applyBorder="1" applyAlignment="1">
      <alignment horizontal="center" vertical="center" wrapText="1"/>
    </xf>
    <xf numFmtId="165" fontId="24" fillId="13" borderId="76" xfId="0" applyNumberFormat="1" applyFont="1" applyFill="1" applyBorder="1" applyAlignment="1">
      <alignment horizontal="center" vertical="center" wrapText="1"/>
    </xf>
    <xf numFmtId="165" fontId="22" fillId="5" borderId="9" xfId="1091" applyNumberFormat="1" applyFont="1" applyFill="1" applyBorder="1" applyAlignment="1" applyProtection="1">
      <alignment horizontal="center" vertical="center" wrapText="1"/>
      <protection locked="0"/>
    </xf>
    <xf numFmtId="3" fontId="22" fillId="5" borderId="9" xfId="1091" applyNumberFormat="1" applyFont="1" applyFill="1" applyBorder="1" applyAlignment="1" applyProtection="1">
      <alignment horizontal="center" vertical="center" wrapText="1"/>
      <protection locked="0"/>
    </xf>
    <xf numFmtId="165" fontId="55" fillId="14" borderId="27" xfId="0" applyNumberFormat="1" applyFont="1" applyFill="1" applyBorder="1" applyAlignment="1" applyProtection="1">
      <alignment horizontal="center" vertical="center" wrapText="1"/>
      <protection locked="0"/>
    </xf>
    <xf numFmtId="175" fontId="55" fillId="14" borderId="27" xfId="959" applyNumberFormat="1" applyFont="1" applyFill="1" applyBorder="1" applyAlignment="1" applyProtection="1">
      <alignment horizontal="center" vertical="center" wrapText="1"/>
      <protection locked="0"/>
    </xf>
    <xf numFmtId="165" fontId="22" fillId="14" borderId="9" xfId="0" applyNumberFormat="1" applyFont="1" applyFill="1" applyBorder="1" applyAlignment="1" applyProtection="1">
      <alignment horizontal="center" vertical="center" wrapText="1"/>
      <protection locked="0"/>
    </xf>
    <xf numFmtId="10" fontId="41" fillId="14" borderId="27" xfId="0" applyNumberFormat="1" applyFont="1" applyFill="1" applyBorder="1" applyAlignment="1" applyProtection="1">
      <alignment horizontal="center" vertical="center"/>
      <protection locked="0"/>
    </xf>
    <xf numFmtId="0" fontId="90" fillId="0" borderId="0" xfId="0" applyFont="1"/>
    <xf numFmtId="172" fontId="15" fillId="5" borderId="27" xfId="0" applyNumberFormat="1" applyFont="1" applyFill="1" applyBorder="1" applyAlignment="1">
      <alignment horizontal="center"/>
    </xf>
    <xf numFmtId="0" fontId="41" fillId="5" borderId="29" xfId="0" applyFont="1" applyFill="1" applyBorder="1" applyAlignment="1">
      <alignment horizontal="center" vertical="center" wrapText="1"/>
    </xf>
    <xf numFmtId="165" fontId="41" fillId="14" borderId="23" xfId="0" applyNumberFormat="1" applyFont="1" applyFill="1" applyBorder="1" applyAlignment="1">
      <alignment horizontal="center" vertical="center" wrapText="1"/>
    </xf>
    <xf numFmtId="165" fontId="41" fillId="14" borderId="29" xfId="0" applyNumberFormat="1" applyFont="1" applyFill="1" applyBorder="1" applyAlignment="1">
      <alignment horizontal="center" vertical="center" wrapText="1"/>
    </xf>
    <xf numFmtId="9" fontId="39" fillId="0" borderId="0" xfId="1029" applyFont="1" applyBorder="1"/>
    <xf numFmtId="165" fontId="33" fillId="0" borderId="0" xfId="951" applyNumberFormat="1" applyFont="1"/>
    <xf numFmtId="0" fontId="12" fillId="0" borderId="26" xfId="951" applyFont="1" applyBorder="1"/>
    <xf numFmtId="2" fontId="12" fillId="0" borderId="0" xfId="951" applyNumberFormat="1" applyFont="1"/>
    <xf numFmtId="0" fontId="12" fillId="5" borderId="0" xfId="951" applyFont="1" applyFill="1" applyAlignment="1">
      <alignment horizontal="center"/>
    </xf>
    <xf numFmtId="14" fontId="12" fillId="5" borderId="0" xfId="951" applyNumberFormat="1" applyFont="1" applyFill="1" applyAlignment="1">
      <alignment horizontal="center"/>
    </xf>
    <xf numFmtId="172" fontId="12" fillId="5" borderId="0" xfId="951" applyNumberFormat="1" applyFont="1" applyFill="1" applyAlignment="1">
      <alignment horizontal="center"/>
    </xf>
    <xf numFmtId="165" fontId="33" fillId="5" borderId="0" xfId="951" applyNumberFormat="1" applyFont="1" applyFill="1"/>
    <xf numFmtId="0" fontId="12" fillId="5" borderId="0" xfId="951" applyFont="1" applyFill="1"/>
    <xf numFmtId="0" fontId="33" fillId="5" borderId="0" xfId="951" applyFont="1" applyFill="1" applyAlignment="1">
      <alignment horizontal="center"/>
    </xf>
    <xf numFmtId="0" fontId="33" fillId="5" borderId="0" xfId="951" applyFont="1" applyFill="1"/>
    <xf numFmtId="49" fontId="33" fillId="0" borderId="55" xfId="951" applyNumberFormat="1" applyFont="1" applyBorder="1" applyAlignment="1">
      <alignment horizontal="left"/>
    </xf>
    <xf numFmtId="0" fontId="22" fillId="14" borderId="13" xfId="0" applyFont="1" applyFill="1" applyBorder="1" applyAlignment="1" applyProtection="1">
      <alignment horizontal="center" vertical="center" wrapText="1"/>
      <protection locked="0"/>
    </xf>
    <xf numFmtId="165" fontId="25" fillId="5" borderId="27" xfId="0" applyNumberFormat="1" applyFont="1" applyFill="1" applyBorder="1" applyAlignment="1" applyProtection="1">
      <alignment horizontal="center" vertical="center"/>
      <protection locked="0"/>
    </xf>
    <xf numFmtId="0" fontId="72" fillId="0" borderId="70" xfId="1089" applyFont="1" applyBorder="1" applyAlignment="1">
      <alignment horizontal="left"/>
    </xf>
    <xf numFmtId="0" fontId="30" fillId="11" borderId="0" xfId="0" applyFont="1" applyFill="1" applyAlignment="1">
      <alignment horizontal="center" vertical="center"/>
    </xf>
    <xf numFmtId="0" fontId="6" fillId="0" borderId="71" xfId="1089" applyBorder="1"/>
    <xf numFmtId="0" fontId="6" fillId="0" borderId="26" xfId="1089" applyBorder="1"/>
    <xf numFmtId="0" fontId="66" fillId="0" borderId="71" xfId="0" applyFont="1" applyBorder="1"/>
    <xf numFmtId="0" fontId="0" fillId="0" borderId="71" xfId="0" applyBorder="1"/>
    <xf numFmtId="0" fontId="66" fillId="0" borderId="26" xfId="0" applyFont="1" applyBorder="1"/>
    <xf numFmtId="0" fontId="0" fillId="0" borderId="26" xfId="0" applyBorder="1"/>
    <xf numFmtId="0" fontId="36" fillId="0" borderId="28" xfId="0" applyFont="1" applyBorder="1" applyAlignment="1">
      <alignment horizontal="center" vertical="center" wrapText="1"/>
    </xf>
    <xf numFmtId="0" fontId="36" fillId="0" borderId="54" xfId="0" applyFont="1" applyBorder="1" applyAlignment="1">
      <alignment horizontal="center" vertical="center" wrapText="1"/>
    </xf>
    <xf numFmtId="0" fontId="36" fillId="0" borderId="29" xfId="0" applyFont="1" applyBorder="1" applyAlignment="1">
      <alignment horizontal="center" vertical="center" wrapText="1"/>
    </xf>
    <xf numFmtId="0" fontId="30" fillId="11" borderId="16" xfId="0" applyFont="1" applyFill="1" applyBorder="1" applyAlignment="1">
      <alignment horizontal="center" vertical="center"/>
    </xf>
    <xf numFmtId="0" fontId="30" fillId="11" borderId="17" xfId="0" applyFont="1" applyFill="1" applyBorder="1" applyAlignment="1">
      <alignment horizontal="center" vertical="center"/>
    </xf>
    <xf numFmtId="0" fontId="30" fillId="11" borderId="83" xfId="0" applyFont="1" applyFill="1" applyBorder="1" applyAlignment="1">
      <alignment horizontal="center" vertical="center"/>
    </xf>
    <xf numFmtId="0" fontId="30" fillId="11" borderId="21" xfId="0" applyFont="1" applyFill="1" applyBorder="1" applyAlignment="1">
      <alignment horizontal="center" vertical="center"/>
    </xf>
    <xf numFmtId="0" fontId="30" fillId="11" borderId="22" xfId="0" applyFont="1" applyFill="1" applyBorder="1" applyAlignment="1">
      <alignment horizontal="center" vertical="center"/>
    </xf>
    <xf numFmtId="0" fontId="30" fillId="11" borderId="84" xfId="0" applyFont="1" applyFill="1" applyBorder="1" applyAlignment="1">
      <alignment horizontal="center" vertical="center"/>
    </xf>
    <xf numFmtId="0" fontId="21" fillId="0" borderId="35" xfId="0" applyFont="1" applyBorder="1" applyAlignment="1">
      <alignment horizontal="center" vertical="center" wrapText="1"/>
    </xf>
    <xf numFmtId="0" fontId="21" fillId="0" borderId="36" xfId="0" applyFont="1" applyBorder="1" applyAlignment="1">
      <alignment horizontal="center" vertical="center" wrapText="1"/>
    </xf>
    <xf numFmtId="0" fontId="21" fillId="0" borderId="37" xfId="0" applyFont="1" applyBorder="1" applyAlignment="1">
      <alignment horizontal="center" vertical="center" wrapText="1"/>
    </xf>
    <xf numFmtId="0" fontId="21" fillId="0" borderId="31"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8" xfId="0" applyFont="1" applyBorder="1" applyAlignment="1">
      <alignment horizontal="center" vertical="center" wrapText="1"/>
    </xf>
    <xf numFmtId="0" fontId="21" fillId="0" borderId="38" xfId="0" applyFont="1" applyBorder="1" applyAlignment="1">
      <alignment horizontal="center" vertical="center" wrapText="1"/>
    </xf>
    <xf numFmtId="0" fontId="21" fillId="0" borderId="32" xfId="0" applyFont="1" applyBorder="1" applyAlignment="1">
      <alignment horizontal="center" vertical="center" wrapText="1"/>
    </xf>
    <xf numFmtId="0" fontId="0" fillId="0" borderId="54" xfId="0" applyBorder="1" applyAlignment="1">
      <alignment horizontal="center" vertical="center" wrapText="1"/>
    </xf>
    <xf numFmtId="0" fontId="0" fillId="0" borderId="54" xfId="0" applyBorder="1"/>
    <xf numFmtId="0" fontId="0" fillId="0" borderId="29" xfId="0" applyBorder="1"/>
    <xf numFmtId="0" fontId="23" fillId="9" borderId="17" xfId="0" applyFont="1" applyFill="1" applyBorder="1"/>
    <xf numFmtId="0" fontId="0" fillId="0" borderId="22" xfId="0" applyBorder="1"/>
    <xf numFmtId="0" fontId="18" fillId="0" borderId="2" xfId="0" applyFont="1" applyBorder="1" applyAlignment="1">
      <alignment vertical="center"/>
    </xf>
    <xf numFmtId="0" fontId="0" fillId="0" borderId="3" xfId="0" applyBorder="1"/>
    <xf numFmtId="0" fontId="0" fillId="0" borderId="4" xfId="0" applyBorder="1"/>
    <xf numFmtId="0" fontId="12" fillId="5" borderId="7" xfId="0" applyFont="1" applyFill="1" applyBorder="1" applyAlignment="1" applyProtection="1">
      <alignment horizontal="left" wrapText="1"/>
      <protection locked="0"/>
    </xf>
    <xf numFmtId="0" fontId="0" fillId="0" borderId="8" xfId="0" applyBorder="1"/>
    <xf numFmtId="0" fontId="0" fillId="0" borderId="9" xfId="0" applyBorder="1"/>
    <xf numFmtId="0" fontId="12" fillId="0" borderId="7" xfId="0" applyFont="1" applyBorder="1" applyAlignment="1">
      <alignment horizontal="left"/>
    </xf>
    <xf numFmtId="0" fontId="18" fillId="0" borderId="65" xfId="0" applyFont="1" applyBorder="1" applyAlignment="1">
      <alignment vertical="center"/>
    </xf>
    <xf numFmtId="0" fontId="0" fillId="0" borderId="17" xfId="0" applyBorder="1"/>
    <xf numFmtId="0" fontId="0" fillId="0" borderId="66" xfId="0" applyBorder="1"/>
    <xf numFmtId="0" fontId="12" fillId="0" borderId="5" xfId="0" applyFont="1" applyBorder="1" applyAlignment="1">
      <alignment vertical="center"/>
    </xf>
    <xf numFmtId="0" fontId="0" fillId="0" borderId="0" xfId="0" applyAlignment="1">
      <alignment vertical="center"/>
    </xf>
    <xf numFmtId="0" fontId="0" fillId="0" borderId="6" xfId="0" applyBorder="1" applyAlignment="1">
      <alignment vertical="center"/>
    </xf>
    <xf numFmtId="0" fontId="12" fillId="0" borderId="5" xfId="0" applyFont="1" applyBorder="1" applyAlignment="1">
      <alignment vertical="center" wrapText="1"/>
    </xf>
    <xf numFmtId="0" fontId="0" fillId="0" borderId="0" xfId="0" applyAlignment="1">
      <alignment vertical="center" wrapText="1"/>
    </xf>
    <xf numFmtId="0" fontId="0" fillId="0" borderId="6" xfId="0" applyBorder="1" applyAlignment="1">
      <alignment vertical="center" wrapText="1"/>
    </xf>
    <xf numFmtId="0" fontId="12" fillId="5" borderId="21" xfId="0" applyFont="1" applyFill="1" applyBorder="1" applyAlignment="1" applyProtection="1">
      <alignment horizontal="left" wrapText="1"/>
      <protection locked="0"/>
    </xf>
    <xf numFmtId="0" fontId="12" fillId="5" borderId="22" xfId="0" applyFont="1" applyFill="1" applyBorder="1" applyAlignment="1" applyProtection="1">
      <alignment horizontal="left" wrapText="1"/>
      <protection locked="0"/>
    </xf>
    <xf numFmtId="0" fontId="0" fillId="0" borderId="22" xfId="0" applyBorder="1" applyAlignment="1" applyProtection="1">
      <alignment wrapText="1"/>
      <protection locked="0"/>
    </xf>
    <xf numFmtId="0" fontId="0" fillId="0" borderId="23" xfId="0" applyBorder="1" applyAlignment="1" applyProtection="1">
      <alignment wrapText="1"/>
      <protection locked="0"/>
    </xf>
    <xf numFmtId="0" fontId="18" fillId="0" borderId="16" xfId="0" applyFont="1" applyBorder="1" applyAlignment="1">
      <alignment vertical="center" wrapText="1"/>
    </xf>
    <xf numFmtId="0" fontId="18" fillId="0" borderId="17" xfId="0" applyFont="1" applyBorder="1" applyAlignment="1">
      <alignment vertical="center" wrapText="1"/>
    </xf>
    <xf numFmtId="0" fontId="0" fillId="0" borderId="18" xfId="0" applyBorder="1"/>
    <xf numFmtId="0" fontId="14" fillId="11" borderId="19" xfId="0" applyFont="1" applyFill="1" applyBorder="1" applyAlignment="1">
      <alignment horizontal="center" vertical="center" wrapText="1"/>
    </xf>
    <xf numFmtId="0" fontId="14" fillId="11" borderId="0" xfId="0" applyFont="1" applyFill="1" applyAlignment="1">
      <alignment horizontal="center" vertical="center" wrapText="1"/>
    </xf>
    <xf numFmtId="0" fontId="14" fillId="11" borderId="20" xfId="0" applyFont="1" applyFill="1" applyBorder="1" applyAlignment="1">
      <alignment horizontal="center" vertical="center" wrapText="1"/>
    </xf>
    <xf numFmtId="0" fontId="14" fillId="11" borderId="21" xfId="0" applyFont="1" applyFill="1" applyBorder="1" applyAlignment="1">
      <alignment horizontal="center" vertical="center" wrapText="1"/>
    </xf>
    <xf numFmtId="0" fontId="14" fillId="11" borderId="22" xfId="0" applyFont="1" applyFill="1" applyBorder="1" applyAlignment="1">
      <alignment horizontal="center" vertical="center" wrapText="1"/>
    </xf>
    <xf numFmtId="0" fontId="14" fillId="11" borderId="23" xfId="0" applyFont="1" applyFill="1" applyBorder="1" applyAlignment="1">
      <alignment horizontal="center" vertical="center" wrapText="1"/>
    </xf>
    <xf numFmtId="0" fontId="29" fillId="0" borderId="19" xfId="0" applyFont="1" applyBorder="1" applyAlignment="1">
      <alignment wrapText="1"/>
    </xf>
    <xf numFmtId="0" fontId="29" fillId="0" borderId="0" xfId="0" applyFont="1" applyAlignment="1">
      <alignment wrapText="1"/>
    </xf>
    <xf numFmtId="0" fontId="29" fillId="0" borderId="20" xfId="0" applyFont="1" applyBorder="1" applyAlignment="1">
      <alignment wrapText="1"/>
    </xf>
    <xf numFmtId="0" fontId="17" fillId="0" borderId="16" xfId="0" applyFont="1" applyBorder="1" applyAlignment="1">
      <alignment horizontal="left" vertical="center" wrapText="1"/>
    </xf>
    <xf numFmtId="0" fontId="17" fillId="0" borderId="17" xfId="0" applyFont="1" applyBorder="1" applyAlignment="1">
      <alignment horizontal="left" vertical="center" wrapText="1"/>
    </xf>
    <xf numFmtId="0" fontId="17" fillId="0" borderId="18" xfId="0" applyFont="1" applyBorder="1" applyAlignment="1">
      <alignment horizontal="left" vertical="center" wrapText="1"/>
    </xf>
    <xf numFmtId="0" fontId="29" fillId="0" borderId="21" xfId="0" applyFont="1" applyBorder="1" applyAlignment="1">
      <alignment horizontal="left"/>
    </xf>
    <xf numFmtId="0" fontId="29" fillId="0" borderId="22" xfId="0" applyFont="1" applyBorder="1" applyAlignment="1">
      <alignment horizontal="left"/>
    </xf>
    <xf numFmtId="0" fontId="29" fillId="0" borderId="23" xfId="0" applyFont="1" applyBorder="1" applyAlignment="1">
      <alignment horizontal="left"/>
    </xf>
    <xf numFmtId="0" fontId="0" fillId="0" borderId="0" xfId="0"/>
    <xf numFmtId="0" fontId="24" fillId="0" borderId="27" xfId="0" applyFont="1" applyBorder="1" applyAlignment="1">
      <alignment horizontal="center" vertical="center" wrapText="1"/>
    </xf>
    <xf numFmtId="0" fontId="24" fillId="0" borderId="38" xfId="0" applyFont="1" applyBorder="1" applyAlignment="1">
      <alignment horizontal="center" vertical="center" wrapText="1"/>
    </xf>
    <xf numFmtId="0" fontId="24" fillId="0" borderId="3"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0" xfId="0" applyFont="1" applyAlignment="1">
      <alignment horizontal="center" vertical="center" wrapText="1"/>
    </xf>
    <xf numFmtId="0" fontId="24" fillId="0" borderId="4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2"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40" xfId="0" applyFont="1" applyBorder="1" applyAlignment="1">
      <alignment horizontal="center" vertical="center" wrapText="1"/>
    </xf>
    <xf numFmtId="0" fontId="24" fillId="0" borderId="42" xfId="0" applyFont="1" applyBorder="1" applyAlignment="1">
      <alignment horizontal="center" vertical="center" wrapText="1"/>
    </xf>
    <xf numFmtId="0" fontId="12" fillId="0" borderId="19" xfId="0" applyFont="1" applyBorder="1" applyAlignment="1">
      <alignment horizontal="left"/>
    </xf>
    <xf numFmtId="0" fontId="0" fillId="0" borderId="20" xfId="0" applyBorder="1"/>
    <xf numFmtId="0" fontId="17" fillId="0" borderId="65" xfId="0" applyFont="1" applyBorder="1" applyAlignment="1">
      <alignment vertical="center" wrapText="1"/>
    </xf>
    <xf numFmtId="0" fontId="17" fillId="0" borderId="17" xfId="0" applyFont="1" applyBorder="1" applyAlignment="1">
      <alignment vertical="center" wrapText="1"/>
    </xf>
    <xf numFmtId="0" fontId="12" fillId="5" borderId="23" xfId="0" applyFont="1" applyFill="1" applyBorder="1" applyAlignment="1" applyProtection="1">
      <alignment horizontal="left" wrapText="1"/>
      <protection locked="0"/>
    </xf>
    <xf numFmtId="0" fontId="12" fillId="0" borderId="19" xfId="0" applyFont="1" applyBorder="1" applyAlignment="1">
      <alignment wrapText="1"/>
    </xf>
    <xf numFmtId="0" fontId="0" fillId="0" borderId="0" xfId="0" applyAlignment="1">
      <alignment wrapText="1"/>
    </xf>
    <xf numFmtId="0" fontId="0" fillId="0" borderId="20" xfId="0" applyBorder="1" applyAlignment="1">
      <alignment wrapText="1"/>
    </xf>
    <xf numFmtId="0" fontId="51" fillId="0" borderId="0" xfId="0" applyFont="1"/>
    <xf numFmtId="0" fontId="51" fillId="0" borderId="20" xfId="0" applyFont="1" applyBorder="1"/>
    <xf numFmtId="0" fontId="12" fillId="0" borderId="19" xfId="0" applyFont="1" applyBorder="1"/>
    <xf numFmtId="0" fontId="12" fillId="0" borderId="21" xfId="0" applyFont="1" applyBorder="1"/>
    <xf numFmtId="0" fontId="0" fillId="0" borderId="23" xfId="0" applyBorder="1"/>
    <xf numFmtId="0" fontId="17" fillId="0" borderId="24" xfId="0" applyFont="1" applyBorder="1" applyAlignment="1">
      <alignment vertical="center" wrapText="1"/>
    </xf>
    <xf numFmtId="0" fontId="17" fillId="0" borderId="48" xfId="0" applyFont="1" applyBorder="1" applyAlignment="1">
      <alignment vertical="center" wrapText="1"/>
    </xf>
    <xf numFmtId="0" fontId="0" fillId="0" borderId="25" xfId="0" applyBorder="1"/>
    <xf numFmtId="0" fontId="12" fillId="5" borderId="21" xfId="0" applyFont="1" applyFill="1" applyBorder="1" applyAlignment="1" applyProtection="1">
      <alignment wrapText="1"/>
      <protection locked="0"/>
    </xf>
    <xf numFmtId="0" fontId="12" fillId="5" borderId="22" xfId="0" applyFont="1" applyFill="1" applyBorder="1" applyAlignment="1" applyProtection="1">
      <alignment wrapText="1"/>
      <protection locked="0"/>
    </xf>
    <xf numFmtId="0" fontId="24" fillId="0" borderId="69" xfId="0" applyFont="1" applyBorder="1" applyAlignment="1">
      <alignment horizontal="center" vertical="center" wrapText="1"/>
    </xf>
    <xf numFmtId="0" fontId="17" fillId="0" borderId="16" xfId="0" applyFont="1" applyBorder="1" applyAlignment="1">
      <alignment vertical="center" wrapText="1"/>
    </xf>
    <xf numFmtId="0" fontId="15" fillId="9" borderId="16" xfId="0" applyFont="1" applyFill="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3" xfId="0" applyBorder="1" applyAlignment="1">
      <alignment horizontal="center" vertical="center"/>
    </xf>
    <xf numFmtId="0" fontId="14" fillId="11" borderId="16" xfId="0" applyFont="1" applyFill="1" applyBorder="1" applyAlignment="1">
      <alignment horizontal="center" vertical="center" wrapText="1"/>
    </xf>
    <xf numFmtId="0" fontId="14" fillId="11" borderId="17" xfId="0" applyFont="1" applyFill="1" applyBorder="1" applyAlignment="1">
      <alignment horizontal="center" vertical="center" wrapText="1"/>
    </xf>
    <xf numFmtId="0" fontId="14" fillId="11" borderId="18" xfId="0" applyFont="1" applyFill="1" applyBorder="1" applyAlignment="1">
      <alignment horizontal="center" vertical="center" wrapText="1"/>
    </xf>
    <xf numFmtId="0" fontId="24" fillId="0" borderId="72" xfId="0" applyFont="1" applyBorder="1" applyAlignment="1">
      <alignment horizontal="center" vertical="center" wrapText="1"/>
    </xf>
    <xf numFmtId="0" fontId="24" fillId="0" borderId="75" xfId="0" applyFont="1" applyBorder="1" applyAlignment="1">
      <alignment horizontal="center" vertical="center" wrapText="1"/>
    </xf>
    <xf numFmtId="0" fontId="12" fillId="0" borderId="86" xfId="0" applyFont="1" applyBorder="1" applyAlignment="1">
      <alignment horizontal="left" vertical="center" wrapText="1"/>
    </xf>
    <xf numFmtId="0" fontId="51" fillId="0" borderId="87" xfId="0" applyFont="1" applyBorder="1" applyAlignment="1">
      <alignment vertical="center" wrapText="1"/>
    </xf>
    <xf numFmtId="0" fontId="51" fillId="0" borderId="88" xfId="0" applyFont="1" applyBorder="1" applyAlignment="1">
      <alignment vertical="center" wrapText="1"/>
    </xf>
    <xf numFmtId="0" fontId="0" fillId="0" borderId="80" xfId="0" applyBorder="1" applyAlignment="1">
      <alignment horizontal="center" vertical="center"/>
    </xf>
    <xf numFmtId="0" fontId="0" fillId="0" borderId="70" xfId="0" applyBorder="1" applyAlignment="1">
      <alignment horizontal="center"/>
    </xf>
    <xf numFmtId="0" fontId="0" fillId="0" borderId="81" xfId="0" applyBorder="1" applyAlignment="1">
      <alignment horizontal="center"/>
    </xf>
    <xf numFmtId="0" fontId="0" fillId="0" borderId="82"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17" fillId="0" borderId="92" xfId="0" applyFont="1" applyBorder="1" applyAlignment="1">
      <alignment vertical="center" wrapText="1"/>
    </xf>
    <xf numFmtId="0" fontId="17" fillId="0" borderId="93" xfId="0" applyFont="1" applyBorder="1" applyAlignment="1">
      <alignment vertical="center" wrapText="1"/>
    </xf>
    <xf numFmtId="0" fontId="17" fillId="0" borderId="94" xfId="0" applyFont="1" applyBorder="1" applyAlignment="1">
      <alignment vertical="center" wrapText="1"/>
    </xf>
    <xf numFmtId="0" fontId="12" fillId="5" borderId="89" xfId="0" applyFont="1" applyFill="1" applyBorder="1" applyAlignment="1" applyProtection="1">
      <alignment horizontal="left" wrapText="1"/>
      <protection locked="0"/>
    </xf>
    <xf numFmtId="0" fontId="12" fillId="5" borderId="90" xfId="0" applyFont="1" applyFill="1" applyBorder="1" applyAlignment="1" applyProtection="1">
      <alignment horizontal="left" wrapText="1"/>
      <protection locked="0"/>
    </xf>
    <xf numFmtId="0" fontId="12" fillId="5" borderId="91" xfId="0" applyFont="1" applyFill="1" applyBorder="1" applyAlignment="1" applyProtection="1">
      <alignment horizontal="left" wrapText="1"/>
      <protection locked="0"/>
    </xf>
    <xf numFmtId="0" fontId="17" fillId="0" borderId="75" xfId="0" applyFont="1" applyBorder="1" applyAlignment="1">
      <alignment vertical="center" wrapText="1"/>
    </xf>
    <xf numFmtId="0" fontId="17" fillId="0" borderId="26" xfId="0" applyFont="1" applyBorder="1" applyAlignment="1">
      <alignment vertical="center" wrapText="1"/>
    </xf>
    <xf numFmtId="0" fontId="17" fillId="0" borderId="76" xfId="0" applyFont="1" applyBorder="1" applyAlignment="1">
      <alignment vertical="center" wrapText="1"/>
    </xf>
    <xf numFmtId="0" fontId="12" fillId="0" borderId="77" xfId="0" applyFont="1" applyBorder="1" applyAlignment="1">
      <alignment horizontal="left" vertical="center" wrapText="1"/>
    </xf>
    <xf numFmtId="0" fontId="12" fillId="0" borderId="78" xfId="0" applyFont="1" applyBorder="1" applyAlignment="1">
      <alignment horizontal="left" vertical="center" wrapText="1"/>
    </xf>
    <xf numFmtId="0" fontId="12" fillId="0" borderId="79" xfId="0" applyFont="1" applyBorder="1" applyAlignment="1">
      <alignment horizontal="left" vertical="center" wrapText="1"/>
    </xf>
    <xf numFmtId="0" fontId="12" fillId="0" borderId="75" xfId="0" applyFont="1" applyBorder="1" applyAlignment="1">
      <alignment wrapText="1"/>
    </xf>
    <xf numFmtId="0" fontId="51" fillId="0" borderId="26" xfId="0" applyFont="1" applyBorder="1" applyAlignment="1">
      <alignment wrapText="1"/>
    </xf>
    <xf numFmtId="0" fontId="51" fillId="0" borderId="76" xfId="0" applyFont="1" applyBorder="1" applyAlignment="1">
      <alignment wrapText="1"/>
    </xf>
    <xf numFmtId="0" fontId="12" fillId="0" borderId="75" xfId="0" applyFont="1" applyBorder="1" applyAlignment="1">
      <alignment horizontal="left" wrapText="1"/>
    </xf>
    <xf numFmtId="0" fontId="12" fillId="0" borderId="75" xfId="0" applyFont="1" applyBorder="1" applyAlignment="1">
      <alignment horizontal="left"/>
    </xf>
    <xf numFmtId="0" fontId="51" fillId="0" borderId="26" xfId="0" applyFont="1" applyBorder="1"/>
    <xf numFmtId="0" fontId="51" fillId="0" borderId="76" xfId="0" applyFont="1" applyBorder="1"/>
    <xf numFmtId="0" fontId="21" fillId="0" borderId="60" xfId="0" applyFont="1" applyBorder="1" applyAlignment="1">
      <alignment horizontal="center" vertical="center" wrapText="1"/>
    </xf>
    <xf numFmtId="0" fontId="21" fillId="0" borderId="61" xfId="0" applyFont="1" applyBorder="1" applyAlignment="1">
      <alignment horizontal="center" vertical="center" wrapText="1"/>
    </xf>
    <xf numFmtId="0" fontId="12" fillId="0" borderId="21" xfId="0" applyFont="1" applyBorder="1" applyAlignment="1">
      <alignment horizontal="left" wrapText="1"/>
    </xf>
    <xf numFmtId="0" fontId="0" fillId="0" borderId="22" xfId="0" applyBorder="1" applyAlignment="1">
      <alignment horizontal="left" wrapText="1"/>
    </xf>
    <xf numFmtId="0" fontId="0" fillId="0" borderId="23" xfId="0" applyBorder="1" applyAlignment="1">
      <alignment horizontal="left" wrapText="1"/>
    </xf>
    <xf numFmtId="0" fontId="12" fillId="0" borderId="0" xfId="0" applyFont="1" applyAlignment="1">
      <alignment horizontal="left"/>
    </xf>
    <xf numFmtId="0" fontId="12" fillId="0" borderId="20" xfId="0" applyFont="1" applyBorder="1" applyAlignment="1">
      <alignment horizontal="left"/>
    </xf>
    <xf numFmtId="0" fontId="21" fillId="0" borderId="12" xfId="0" applyFont="1" applyBorder="1" applyAlignment="1">
      <alignment horizontal="center" vertical="center" wrapText="1"/>
    </xf>
    <xf numFmtId="0" fontId="21" fillId="0" borderId="15" xfId="0" applyFont="1" applyBorder="1" applyAlignment="1">
      <alignment horizontal="center" vertical="center" wrapText="1"/>
    </xf>
    <xf numFmtId="0" fontId="12" fillId="0" borderId="19" xfId="0" applyFont="1" applyBorder="1" applyAlignment="1">
      <alignment horizontal="left" wrapText="1"/>
    </xf>
    <xf numFmtId="0" fontId="12" fillId="0" borderId="0" xfId="0" applyFont="1" applyAlignment="1">
      <alignment horizontal="left" wrapText="1"/>
    </xf>
    <xf numFmtId="0" fontId="12" fillId="0" borderId="20" xfId="0" applyFont="1" applyBorder="1" applyAlignment="1">
      <alignment horizontal="left" wrapText="1"/>
    </xf>
    <xf numFmtId="0" fontId="17" fillId="0" borderId="65" xfId="0" applyFont="1" applyBorder="1" applyAlignment="1">
      <alignment horizontal="left" vertical="center" wrapText="1"/>
    </xf>
    <xf numFmtId="0" fontId="21" fillId="17" borderId="7" xfId="0" applyFont="1" applyFill="1" applyBorder="1" applyAlignment="1">
      <alignment horizontal="center" vertical="center" wrapText="1"/>
    </xf>
    <xf numFmtId="0" fontId="50" fillId="0" borderId="8" xfId="0" applyFont="1" applyBorder="1" applyAlignment="1">
      <alignment horizontal="center" vertical="center" wrapText="1"/>
    </xf>
    <xf numFmtId="0" fontId="50" fillId="0" borderId="45" xfId="0" applyFont="1" applyBorder="1" applyAlignment="1">
      <alignment horizontal="center" vertical="center" wrapText="1"/>
    </xf>
    <xf numFmtId="0" fontId="21" fillId="0" borderId="11"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7" xfId="0" applyFont="1" applyBorder="1" applyAlignment="1">
      <alignment horizontal="center" vertical="center" wrapText="1"/>
    </xf>
    <xf numFmtId="0" fontId="19" fillId="11" borderId="0" xfId="0" applyFont="1" applyFill="1" applyAlignment="1">
      <alignment horizontal="center" vertical="center" wrapText="1"/>
    </xf>
    <xf numFmtId="0" fontId="22" fillId="9" borderId="24" xfId="0" applyFont="1" applyFill="1" applyBorder="1" applyAlignment="1">
      <alignment horizontal="center" vertical="center" wrapText="1"/>
    </xf>
    <xf numFmtId="0" fontId="22" fillId="9" borderId="48" xfId="0" applyFont="1" applyFill="1" applyBorder="1" applyAlignment="1">
      <alignment horizontal="center" vertical="center" wrapText="1"/>
    </xf>
    <xf numFmtId="0" fontId="22" fillId="9" borderId="25" xfId="0" applyFont="1" applyFill="1" applyBorder="1" applyAlignment="1">
      <alignment horizontal="center" vertical="center" wrapText="1"/>
    </xf>
    <xf numFmtId="0" fontId="48" fillId="0" borderId="14" xfId="0" applyFont="1" applyBorder="1" applyAlignment="1">
      <alignment horizontal="center" vertical="center" wrapText="1"/>
    </xf>
    <xf numFmtId="0" fontId="48" fillId="0" borderId="10" xfId="0" applyFont="1" applyBorder="1" applyAlignment="1">
      <alignment horizontal="center" vertical="center" wrapText="1"/>
    </xf>
    <xf numFmtId="0" fontId="48" fillId="0" borderId="11" xfId="0" applyFont="1" applyBorder="1" applyAlignment="1">
      <alignment horizontal="center" vertical="center" wrapText="1"/>
    </xf>
    <xf numFmtId="0" fontId="48" fillId="0" borderId="5" xfId="0" applyFont="1" applyBorder="1" applyAlignment="1">
      <alignment horizontal="center" vertical="center" wrapText="1"/>
    </xf>
    <xf numFmtId="0" fontId="48" fillId="0" borderId="7"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43" xfId="0" applyFont="1" applyBorder="1" applyAlignment="1">
      <alignment horizontal="center" vertical="center" wrapText="1"/>
    </xf>
    <xf numFmtId="0" fontId="56" fillId="0" borderId="19" xfId="0" applyFont="1" applyBorder="1" applyAlignment="1">
      <alignment horizontal="left"/>
    </xf>
    <xf numFmtId="0" fontId="56" fillId="0" borderId="0" xfId="0" applyFont="1" applyAlignment="1">
      <alignment horizontal="left"/>
    </xf>
    <xf numFmtId="0" fontId="56" fillId="0" borderId="0" xfId="0" applyFont="1"/>
    <xf numFmtId="0" fontId="12" fillId="0" borderId="21" xfId="0" applyFont="1" applyBorder="1" applyAlignment="1">
      <alignment horizontal="left"/>
    </xf>
    <xf numFmtId="0" fontId="12" fillId="0" borderId="22" xfId="0" applyFont="1" applyBorder="1" applyAlignment="1">
      <alignment horizontal="left"/>
    </xf>
    <xf numFmtId="0" fontId="24" fillId="0" borderId="16" xfId="0" applyFont="1" applyBorder="1" applyAlignment="1">
      <alignment horizontal="left"/>
    </xf>
    <xf numFmtId="0" fontId="24" fillId="0" borderId="17" xfId="0" applyFont="1" applyBorder="1" applyAlignment="1">
      <alignment horizontal="left"/>
    </xf>
    <xf numFmtId="0" fontId="0" fillId="5" borderId="21" xfId="0" applyFill="1" applyBorder="1" applyAlignment="1" applyProtection="1">
      <alignment horizontal="left"/>
      <protection locked="0"/>
    </xf>
    <xf numFmtId="0" fontId="0" fillId="5" borderId="22" xfId="0" applyFill="1" applyBorder="1" applyAlignment="1" applyProtection="1">
      <alignment horizontal="left"/>
      <protection locked="0"/>
    </xf>
    <xf numFmtId="0" fontId="0" fillId="0" borderId="22" xfId="0" applyBorder="1" applyProtection="1">
      <protection locked="0"/>
    </xf>
    <xf numFmtId="0" fontId="0" fillId="0" borderId="23" xfId="0" applyBorder="1" applyProtection="1">
      <protection locked="0"/>
    </xf>
    <xf numFmtId="2" fontId="24" fillId="0" borderId="16" xfId="0" applyNumberFormat="1" applyFont="1" applyBorder="1" applyAlignment="1">
      <alignment horizontal="left"/>
    </xf>
    <xf numFmtId="2" fontId="24" fillId="0" borderId="17" xfId="0" applyNumberFormat="1" applyFont="1" applyBorder="1" applyAlignment="1">
      <alignment horizontal="left"/>
    </xf>
    <xf numFmtId="2" fontId="0" fillId="0" borderId="17" xfId="0" applyNumberFormat="1" applyBorder="1"/>
    <xf numFmtId="0" fontId="12" fillId="0" borderId="19" xfId="0" applyFont="1" applyBorder="1" applyAlignment="1">
      <alignment horizontal="left" vertical="center" wrapText="1"/>
    </xf>
    <xf numFmtId="0" fontId="12" fillId="0" borderId="0" xfId="0" applyFont="1" applyAlignment="1">
      <alignment horizontal="left" vertical="center" wrapText="1"/>
    </xf>
    <xf numFmtId="0" fontId="58" fillId="0" borderId="0" xfId="0" applyFont="1" applyAlignment="1">
      <alignment vertical="center"/>
    </xf>
    <xf numFmtId="0" fontId="25" fillId="9" borderId="16" xfId="0" applyFont="1" applyFill="1" applyBorder="1" applyAlignment="1">
      <alignment vertical="top"/>
    </xf>
    <xf numFmtId="0" fontId="0" fillId="0" borderId="54" xfId="0" applyBorder="1" applyAlignment="1">
      <alignment vertical="top"/>
    </xf>
    <xf numFmtId="0" fontId="0" fillId="0" borderId="29" xfId="0" applyBorder="1" applyAlignment="1">
      <alignment vertical="top"/>
    </xf>
    <xf numFmtId="0" fontId="20" fillId="0" borderId="24" xfId="0" applyFont="1" applyBorder="1" applyAlignment="1">
      <alignment horizontal="center" vertical="center" wrapText="1"/>
    </xf>
    <xf numFmtId="0" fontId="20" fillId="0" borderId="25" xfId="0" applyFont="1" applyBorder="1" applyAlignment="1">
      <alignment horizontal="center" vertical="center" wrapText="1"/>
    </xf>
    <xf numFmtId="0" fontId="21" fillId="0" borderId="16" xfId="0" applyFont="1" applyBorder="1" applyAlignment="1">
      <alignment horizontal="left" vertical="center" wrapText="1"/>
    </xf>
    <xf numFmtId="0" fontId="21" fillId="0" borderId="17" xfId="0" applyFont="1" applyBorder="1" applyAlignment="1">
      <alignment horizontal="left" vertical="center" wrapText="1"/>
    </xf>
    <xf numFmtId="0" fontId="21" fillId="0" borderId="18" xfId="0" applyFont="1" applyBorder="1" applyAlignment="1">
      <alignment horizontal="left" vertical="center" wrapText="1"/>
    </xf>
    <xf numFmtId="0" fontId="22" fillId="5" borderId="21" xfId="0" applyFont="1" applyFill="1" applyBorder="1" applyAlignment="1" applyProtection="1">
      <alignment horizontal="left"/>
      <protection locked="0"/>
    </xf>
    <xf numFmtId="0" fontId="22" fillId="5" borderId="22" xfId="0" applyFont="1" applyFill="1" applyBorder="1" applyAlignment="1" applyProtection="1">
      <alignment horizontal="left"/>
      <protection locked="0"/>
    </xf>
    <xf numFmtId="0" fontId="22" fillId="5" borderId="23" xfId="0" applyFont="1" applyFill="1" applyBorder="1" applyAlignment="1" applyProtection="1">
      <alignment horizontal="left"/>
      <protection locked="0"/>
    </xf>
    <xf numFmtId="0" fontId="30" fillId="11" borderId="0" xfId="0" applyFont="1" applyFill="1" applyAlignment="1">
      <alignment horizontal="center" vertical="center" wrapText="1"/>
    </xf>
    <xf numFmtId="0" fontId="30" fillId="11" borderId="22" xfId="0" applyFont="1" applyFill="1" applyBorder="1" applyAlignment="1">
      <alignment horizontal="center" vertical="center" wrapText="1"/>
    </xf>
    <xf numFmtId="0" fontId="12" fillId="0" borderId="19" xfId="0" applyFont="1" applyBorder="1" applyAlignment="1">
      <alignment horizontal="left" vertical="center"/>
    </xf>
    <xf numFmtId="0" fontId="12" fillId="0" borderId="0" xfId="0" applyFont="1" applyAlignment="1">
      <alignment horizontal="left" vertical="center"/>
    </xf>
    <xf numFmtId="0" fontId="12" fillId="0" borderId="20" xfId="0" applyFont="1" applyBorder="1" applyAlignment="1">
      <alignment horizontal="left" vertical="center"/>
    </xf>
    <xf numFmtId="0" fontId="12" fillId="0" borderId="21" xfId="0" applyFont="1" applyBorder="1" applyAlignment="1">
      <alignment horizontal="left" vertical="center"/>
    </xf>
    <xf numFmtId="0" fontId="12" fillId="0" borderId="22" xfId="0" applyFont="1" applyBorder="1" applyAlignment="1">
      <alignment horizontal="left" vertical="center"/>
    </xf>
    <xf numFmtId="0" fontId="12" fillId="0" borderId="23" xfId="0" applyFont="1" applyBorder="1" applyAlignment="1">
      <alignment horizontal="left" vertical="center"/>
    </xf>
    <xf numFmtId="0" fontId="18" fillId="0" borderId="39" xfId="0" applyFont="1" applyBorder="1" applyAlignment="1">
      <alignment horizontal="center" vertical="center" wrapText="1"/>
    </xf>
    <xf numFmtId="0" fontId="18" fillId="0" borderId="41" xfId="0" applyFont="1" applyBorder="1" applyAlignment="1">
      <alignment horizontal="center" vertical="center" wrapText="1"/>
    </xf>
    <xf numFmtId="0" fontId="18" fillId="0" borderId="43" xfId="0" applyFont="1" applyBorder="1" applyAlignment="1">
      <alignment horizontal="center" vertical="center" wrapText="1"/>
    </xf>
    <xf numFmtId="0" fontId="29" fillId="5" borderId="7" xfId="0" applyFont="1" applyFill="1" applyBorder="1" applyAlignment="1" applyProtection="1">
      <alignment horizontal="left" wrapText="1"/>
      <protection locked="0"/>
    </xf>
    <xf numFmtId="0" fontId="29" fillId="5" borderId="8" xfId="0" applyFont="1" applyFill="1" applyBorder="1" applyAlignment="1" applyProtection="1">
      <alignment horizontal="left" wrapText="1"/>
      <protection locked="0"/>
    </xf>
    <xf numFmtId="0" fontId="29" fillId="5" borderId="9" xfId="0" applyFont="1" applyFill="1" applyBorder="1" applyAlignment="1" applyProtection="1">
      <alignment horizontal="left" wrapText="1"/>
      <protection locked="0"/>
    </xf>
    <xf numFmtId="0" fontId="27" fillId="0" borderId="2" xfId="0" applyFont="1" applyBorder="1" applyAlignment="1">
      <alignment horizontal="left" vertical="center" wrapText="1"/>
    </xf>
    <xf numFmtId="0" fontId="27" fillId="0" borderId="3" xfId="0" applyFont="1" applyBorder="1" applyAlignment="1">
      <alignment horizontal="left" vertical="center" wrapText="1"/>
    </xf>
    <xf numFmtId="0" fontId="27" fillId="0" borderId="4" xfId="0" applyFont="1" applyBorder="1" applyAlignment="1">
      <alignment horizontal="left" vertical="center" wrapText="1"/>
    </xf>
    <xf numFmtId="0" fontId="28" fillId="0" borderId="5" xfId="0" applyFont="1" applyBorder="1" applyAlignment="1">
      <alignment horizontal="left" vertical="center" wrapText="1"/>
    </xf>
    <xf numFmtId="0" fontId="28" fillId="0" borderId="0" xfId="0" applyFont="1" applyAlignment="1">
      <alignment horizontal="left" vertical="center" wrapText="1"/>
    </xf>
    <xf numFmtId="0" fontId="28" fillId="0" borderId="6" xfId="0" applyFont="1" applyBorder="1" applyAlignment="1">
      <alignment horizontal="left" vertical="center" wrapText="1"/>
    </xf>
    <xf numFmtId="0" fontId="29" fillId="0" borderId="5" xfId="0" applyFont="1" applyBorder="1" applyAlignment="1">
      <alignment horizontal="left" vertical="center" wrapText="1"/>
    </xf>
    <xf numFmtId="0" fontId="29" fillId="0" borderId="0" xfId="0" applyFont="1" applyAlignment="1">
      <alignment horizontal="left" vertical="center" wrapText="1"/>
    </xf>
    <xf numFmtId="0" fontId="29" fillId="0" borderId="6" xfId="0" applyFont="1" applyBorder="1" applyAlignment="1">
      <alignment horizontal="left" vertical="center" wrapText="1"/>
    </xf>
    <xf numFmtId="0" fontId="24" fillId="0" borderId="12"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13" xfId="0" applyFont="1" applyBorder="1" applyAlignment="1">
      <alignment horizontal="center" vertical="center" wrapText="1"/>
    </xf>
    <xf numFmtId="0" fontId="29" fillId="0" borderId="7" xfId="0" applyFont="1" applyBorder="1" applyAlignment="1">
      <alignment horizontal="left" vertical="center" wrapText="1"/>
    </xf>
    <xf numFmtId="0" fontId="29" fillId="0" borderId="8" xfId="0" applyFont="1" applyBorder="1" applyAlignment="1">
      <alignment horizontal="left" vertical="center" wrapText="1"/>
    </xf>
    <xf numFmtId="0" fontId="29" fillId="0" borderId="9" xfId="0" applyFont="1" applyBorder="1" applyAlignment="1">
      <alignment horizontal="left" vertical="center" wrapText="1"/>
    </xf>
    <xf numFmtId="0" fontId="19" fillId="11" borderId="8" xfId="0" applyFont="1" applyFill="1" applyBorder="1" applyAlignment="1">
      <alignment horizontal="center" vertical="center" wrapText="1"/>
    </xf>
    <xf numFmtId="0" fontId="21" fillId="0" borderId="14" xfId="0" applyFont="1" applyBorder="1" applyAlignment="1">
      <alignment horizontal="center" vertical="center" wrapText="1"/>
    </xf>
    <xf numFmtId="0" fontId="21" fillId="0" borderId="4"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3" xfId="0" applyFont="1" applyBorder="1" applyAlignment="1">
      <alignment horizontal="center" vertical="center" wrapText="1"/>
    </xf>
    <xf numFmtId="0" fontId="0" fillId="0" borderId="10" xfId="0" applyBorder="1" applyAlignment="1">
      <alignment horizontal="center" vertical="center" wrapText="1"/>
    </xf>
    <xf numFmtId="0" fontId="29" fillId="0" borderId="19" xfId="0" applyFont="1" applyBorder="1" applyAlignment="1">
      <alignment horizontal="left" vertical="center" wrapText="1"/>
    </xf>
    <xf numFmtId="0" fontId="27" fillId="0" borderId="16" xfId="0" applyFont="1" applyBorder="1" applyAlignment="1">
      <alignment horizontal="left" vertical="center" wrapText="1"/>
    </xf>
    <xf numFmtId="0" fontId="27" fillId="0" borderId="17" xfId="0" applyFont="1" applyBorder="1" applyAlignment="1">
      <alignment horizontal="left" vertical="center" wrapText="1"/>
    </xf>
    <xf numFmtId="0" fontId="12" fillId="5" borderId="24" xfId="0" applyFont="1" applyFill="1" applyBorder="1" applyAlignment="1" applyProtection="1">
      <alignment horizontal="left" wrapText="1"/>
      <protection locked="0"/>
    </xf>
    <xf numFmtId="0" fontId="12" fillId="5" borderId="48" xfId="0" applyFont="1" applyFill="1" applyBorder="1" applyAlignment="1" applyProtection="1">
      <alignment horizontal="left" wrapText="1"/>
      <protection locked="0"/>
    </xf>
    <xf numFmtId="0" fontId="0" fillId="0" borderId="48" xfId="0" applyBorder="1" applyAlignment="1">
      <alignment horizontal="left" wrapText="1"/>
    </xf>
    <xf numFmtId="0" fontId="0" fillId="0" borderId="25" xfId="0" applyBorder="1" applyAlignment="1">
      <alignment horizontal="left" wrapText="1"/>
    </xf>
    <xf numFmtId="0" fontId="28" fillId="0" borderId="19" xfId="0" applyFont="1" applyBorder="1" applyAlignment="1">
      <alignment horizontal="left" vertical="center" wrapText="1"/>
    </xf>
    <xf numFmtId="0" fontId="18" fillId="0" borderId="16" xfId="0" applyFont="1" applyBorder="1" applyAlignment="1">
      <alignment horizontal="left" vertical="center"/>
    </xf>
    <xf numFmtId="0" fontId="18" fillId="0" borderId="17" xfId="0" applyFont="1" applyBorder="1" applyAlignment="1">
      <alignment horizontal="left" vertical="center"/>
    </xf>
    <xf numFmtId="0" fontId="18" fillId="0" borderId="18" xfId="0" applyFont="1" applyBorder="1" applyAlignment="1">
      <alignment horizontal="left" vertical="center"/>
    </xf>
    <xf numFmtId="0" fontId="15" fillId="9" borderId="24" xfId="0" applyFont="1" applyFill="1" applyBorder="1" applyAlignment="1">
      <alignment horizontal="center" vertical="center"/>
    </xf>
    <xf numFmtId="0" fontId="15" fillId="9" borderId="48" xfId="0" applyFont="1" applyFill="1" applyBorder="1" applyAlignment="1">
      <alignment horizontal="center" vertical="center"/>
    </xf>
    <xf numFmtId="0" fontId="15" fillId="9" borderId="25" xfId="0" applyFont="1" applyFill="1" applyBorder="1" applyAlignment="1">
      <alignment horizontal="center" vertical="center"/>
    </xf>
    <xf numFmtId="0" fontId="0" fillId="0" borderId="0" xfId="0" applyAlignment="1">
      <alignment horizontal="left" vertical="center"/>
    </xf>
    <xf numFmtId="0" fontId="0" fillId="0" borderId="20" xfId="0" applyBorder="1" applyAlignment="1">
      <alignment horizontal="left" vertical="center"/>
    </xf>
    <xf numFmtId="0" fontId="23" fillId="0" borderId="24" xfId="0" applyFont="1" applyBorder="1" applyAlignment="1">
      <alignment horizontal="center" vertical="center"/>
    </xf>
    <xf numFmtId="0" fontId="23" fillId="0" borderId="25" xfId="0" applyFont="1" applyBorder="1" applyAlignment="1">
      <alignment horizontal="center" vertical="center"/>
    </xf>
    <xf numFmtId="0" fontId="14" fillId="11" borderId="0" xfId="0" applyFont="1" applyFill="1" applyAlignment="1">
      <alignment horizontal="center" vertical="center"/>
    </xf>
    <xf numFmtId="0" fontId="16" fillId="9" borderId="24" xfId="0" applyFont="1" applyFill="1" applyBorder="1" applyAlignment="1">
      <alignment horizontal="center" vertical="center"/>
    </xf>
    <xf numFmtId="0" fontId="16" fillId="9" borderId="48" xfId="0" applyFont="1" applyFill="1" applyBorder="1" applyAlignment="1">
      <alignment horizontal="center" vertical="center"/>
    </xf>
    <xf numFmtId="0" fontId="16" fillId="9" borderId="25" xfId="0" applyFont="1" applyFill="1" applyBorder="1" applyAlignment="1">
      <alignment horizontal="center" vertical="center"/>
    </xf>
    <xf numFmtId="0" fontId="12" fillId="0" borderId="20" xfId="0" applyFont="1" applyBorder="1" applyAlignment="1">
      <alignment horizontal="left" vertical="center" wrapText="1"/>
    </xf>
    <xf numFmtId="0" fontId="17" fillId="2" borderId="24" xfId="0" applyFont="1" applyFill="1" applyBorder="1" applyAlignment="1">
      <alignment horizontal="center" vertical="center" wrapText="1"/>
    </xf>
    <xf numFmtId="0" fontId="17" fillId="2" borderId="25" xfId="0" applyFont="1" applyFill="1" applyBorder="1" applyAlignment="1">
      <alignment horizontal="center" vertical="center" wrapText="1"/>
    </xf>
    <xf numFmtId="0" fontId="12" fillId="0" borderId="24" xfId="0" applyFont="1" applyBorder="1" applyAlignment="1">
      <alignment horizontal="center" vertical="center"/>
    </xf>
    <xf numFmtId="0" fontId="12" fillId="0" borderId="25" xfId="0" applyFont="1" applyBorder="1" applyAlignment="1">
      <alignment horizontal="center" vertical="center"/>
    </xf>
    <xf numFmtId="0" fontId="20" fillId="0" borderId="28" xfId="0" applyFont="1" applyBorder="1" applyAlignment="1">
      <alignment horizontal="center" vertical="center" wrapText="1"/>
    </xf>
    <xf numFmtId="0" fontId="20" fillId="0" borderId="29" xfId="0" applyFont="1" applyBorder="1" applyAlignment="1">
      <alignment horizontal="center" vertical="center" wrapText="1"/>
    </xf>
    <xf numFmtId="0" fontId="20" fillId="0" borderId="54" xfId="0" applyFont="1" applyBorder="1" applyAlignment="1">
      <alignment horizontal="center" vertical="center" wrapText="1"/>
    </xf>
    <xf numFmtId="0" fontId="13" fillId="0" borderId="0" xfId="951" applyFont="1" applyAlignment="1">
      <alignment horizontal="left"/>
    </xf>
    <xf numFmtId="0" fontId="37" fillId="11" borderId="0" xfId="951" applyFont="1" applyFill="1" applyAlignment="1">
      <alignment horizontal="center"/>
    </xf>
    <xf numFmtId="0" fontId="38" fillId="11" borderId="0" xfId="951" applyFont="1" applyFill="1" applyAlignment="1">
      <alignment horizontal="center"/>
    </xf>
  </cellXfs>
  <cellStyles count="1095">
    <cellStyle name="Comma" xfId="132" builtinId="3"/>
    <cellStyle name="Comma 2" xfId="412" xr:uid="{00000000-0005-0000-0000-000001000000}"/>
    <cellStyle name="Comma 3" xfId="950" xr:uid="{00000000-0005-0000-0000-000002000000}"/>
    <cellStyle name="Comma 3 2" xfId="1091" xr:uid="{C3913832-FD40-7349-AEE7-3274916B489B}"/>
    <cellStyle name="Comma 4" xfId="1030" xr:uid="{00000000-0005-0000-0000-000003000000}"/>
    <cellStyle name="Currency" xfId="131" builtinId="4"/>
    <cellStyle name="Currency 2" xfId="134" xr:uid="{00000000-0005-0000-0000-000005000000}"/>
    <cellStyle name="Currency 2 2" xfId="952" xr:uid="{00000000-0005-0000-0000-000006000000}"/>
    <cellStyle name="Currency 3" xfId="413" xr:uid="{00000000-0005-0000-0000-000007000000}"/>
    <cellStyle name="Currency 4" xfId="949" xr:uid="{00000000-0005-0000-0000-000008000000}"/>
    <cellStyle name="Currency 5" xfId="1092" xr:uid="{7D7CF8E0-A41D-C148-8191-85E86997D6BA}"/>
    <cellStyle name="Explanatory Text" xfId="1090" builtinId="53"/>
    <cellStyle name="Followed Hyperlink" xfId="2" builtinId="9" hidden="1"/>
    <cellStyle name="Followed Hyperlink" xfId="4" builtinId="9" hidden="1"/>
    <cellStyle name="Followed Hyperlink" xfId="6"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1"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77" builtinId="9" hidden="1"/>
    <cellStyle name="Followed Hyperlink" xfId="979" builtinId="9" hidden="1"/>
    <cellStyle name="Followed Hyperlink" xfId="981" builtinId="9" hidden="1"/>
    <cellStyle name="Followed Hyperlink" xfId="983" builtinId="9" hidden="1"/>
    <cellStyle name="Followed Hyperlink" xfId="985" builtinId="9" hidden="1"/>
    <cellStyle name="Followed Hyperlink" xfId="987"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Grey" xfId="29" xr:uid="{00000000-0005-0000-0000-00002F020000}"/>
    <cellStyle name="Hyperlink" xfId="1" builtinId="8" hidden="1"/>
    <cellStyle name="Hyperlink" xfId="3" builtinId="8" hidden="1"/>
    <cellStyle name="Hyperlink" xfId="5"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76" builtinId="8" hidden="1"/>
    <cellStyle name="Hyperlink" xfId="978" builtinId="8" hidden="1"/>
    <cellStyle name="Hyperlink" xfId="980" builtinId="8" hidden="1"/>
    <cellStyle name="Hyperlink" xfId="982" builtinId="8" hidden="1"/>
    <cellStyle name="Hyperlink" xfId="984" builtinId="8" hidden="1"/>
    <cellStyle name="Hyperlink" xfId="986"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cellStyle name="Input [yellow]" xfId="30" xr:uid="{00000000-0005-0000-0000-00001D040000}"/>
    <cellStyle name="Normal" xfId="0" builtinId="0"/>
    <cellStyle name="Normal - Style1" xfId="31" xr:uid="{00000000-0005-0000-0000-00001F040000}"/>
    <cellStyle name="Normal 10 2 2" xfId="1093" xr:uid="{9DEB394D-797E-334E-8558-4F688FDEE709}"/>
    <cellStyle name="Normal 2" xfId="28" xr:uid="{00000000-0005-0000-0000-000020040000}"/>
    <cellStyle name="Normal 3" xfId="133" xr:uid="{00000000-0005-0000-0000-000021040000}"/>
    <cellStyle name="Normal 3 2" xfId="951" xr:uid="{00000000-0005-0000-0000-000022040000}"/>
    <cellStyle name="Normal 4" xfId="411" xr:uid="{00000000-0005-0000-0000-000023040000}"/>
    <cellStyle name="Normal 5" xfId="414" xr:uid="{00000000-0005-0000-0000-000024040000}"/>
    <cellStyle name="Normal 6" xfId="1094" xr:uid="{EDD3DC28-11FB-DA4B-8C3F-0F200D2FA1AA}"/>
    <cellStyle name="Percent" xfId="7" builtinId="5"/>
    <cellStyle name="Percent [2]" xfId="32" xr:uid="{00000000-0005-0000-0000-000026040000}"/>
    <cellStyle name="Percent 10" xfId="959" xr:uid="{00000000-0005-0000-0000-000027040000}"/>
    <cellStyle name="Percent 11" xfId="960" xr:uid="{00000000-0005-0000-0000-000028040000}"/>
    <cellStyle name="Percent 12" xfId="961" xr:uid="{00000000-0005-0000-0000-000029040000}"/>
    <cellStyle name="Percent 13" xfId="962" xr:uid="{00000000-0005-0000-0000-00002A040000}"/>
    <cellStyle name="Percent 14" xfId="963" xr:uid="{00000000-0005-0000-0000-00002B040000}"/>
    <cellStyle name="Percent 15" xfId="964" xr:uid="{00000000-0005-0000-0000-00002C040000}"/>
    <cellStyle name="Percent 16" xfId="965" xr:uid="{00000000-0005-0000-0000-00002D040000}"/>
    <cellStyle name="Percent 17" xfId="966" xr:uid="{00000000-0005-0000-0000-00002E040000}"/>
    <cellStyle name="Percent 18" xfId="967" xr:uid="{00000000-0005-0000-0000-00002F040000}"/>
    <cellStyle name="Percent 19" xfId="968" xr:uid="{00000000-0005-0000-0000-000030040000}"/>
    <cellStyle name="Percent 2" xfId="805" xr:uid="{00000000-0005-0000-0000-000031040000}"/>
    <cellStyle name="Percent 20" xfId="969" xr:uid="{00000000-0005-0000-0000-000032040000}"/>
    <cellStyle name="Percent 21" xfId="970" xr:uid="{00000000-0005-0000-0000-000033040000}"/>
    <cellStyle name="Percent 22" xfId="971" xr:uid="{00000000-0005-0000-0000-000034040000}"/>
    <cellStyle name="Percent 23" xfId="972" xr:uid="{00000000-0005-0000-0000-000035040000}"/>
    <cellStyle name="Percent 24" xfId="973" xr:uid="{00000000-0005-0000-0000-000036040000}"/>
    <cellStyle name="Percent 25" xfId="974" xr:uid="{00000000-0005-0000-0000-000037040000}"/>
    <cellStyle name="Percent 26" xfId="975" xr:uid="{00000000-0005-0000-0000-000038040000}"/>
    <cellStyle name="Percent 27" xfId="988" xr:uid="{00000000-0005-0000-0000-000039040000}"/>
    <cellStyle name="Percent 28" xfId="1029" xr:uid="{00000000-0005-0000-0000-00003A040000}"/>
    <cellStyle name="Percent 3" xfId="948" xr:uid="{00000000-0005-0000-0000-00003B040000}"/>
    <cellStyle name="Percent 4" xfId="953" xr:uid="{00000000-0005-0000-0000-00003C040000}"/>
    <cellStyle name="Percent 5" xfId="954" xr:uid="{00000000-0005-0000-0000-00003D040000}"/>
    <cellStyle name="Percent 6" xfId="955" xr:uid="{00000000-0005-0000-0000-00003E040000}"/>
    <cellStyle name="Percent 7" xfId="956" xr:uid="{00000000-0005-0000-0000-00003F040000}"/>
    <cellStyle name="Percent 8" xfId="957" xr:uid="{00000000-0005-0000-0000-000040040000}"/>
    <cellStyle name="Percent 9" xfId="958" xr:uid="{00000000-0005-0000-0000-000041040000}"/>
  </cellStyles>
  <dxfs count="24">
    <dxf>
      <font>
        <color theme="1"/>
      </font>
      <fill>
        <patternFill>
          <bgColor theme="9"/>
        </patternFill>
      </fill>
    </dxf>
    <dxf>
      <fill>
        <patternFill>
          <fgColor theme="9"/>
          <bgColor theme="9"/>
        </patternFill>
      </fill>
    </dxf>
    <dxf>
      <fill>
        <patternFill patternType="mediumGray">
          <fgColor auto="1"/>
          <bgColor auto="1"/>
        </patternFill>
      </fill>
    </dxf>
    <dxf>
      <font>
        <color theme="0" tint="-0.24994659260841701"/>
      </font>
      <fill>
        <patternFill patternType="solid">
          <fgColor theme="0" tint="-0.24994659260841701"/>
          <bgColor theme="0" tint="-0.24994659260841701"/>
        </patternFill>
      </fill>
      <border>
        <left/>
        <right/>
        <top/>
        <bottom/>
        <vertical/>
        <horizontal/>
      </border>
    </dxf>
    <dxf>
      <fill>
        <patternFill>
          <bgColor theme="9"/>
        </patternFill>
      </fill>
    </dxf>
    <dxf>
      <font>
        <color auto="1"/>
      </font>
      <fill>
        <patternFill patternType="mediumGray">
          <fgColor indexed="64"/>
          <bgColor indexed="65"/>
        </patternFill>
      </fill>
    </dxf>
    <dxf>
      <fill>
        <patternFill>
          <bgColor theme="9"/>
        </patternFill>
      </fill>
    </dxf>
    <dxf>
      <font>
        <u val="none"/>
        <color theme="0" tint="-0.24994659260841701"/>
      </font>
      <fill>
        <patternFill>
          <fgColor theme="0" tint="-0.24994659260841701"/>
          <bgColor theme="0" tint="-0.24994659260841701"/>
        </patternFill>
      </fill>
      <border>
        <left/>
        <right/>
        <top/>
        <bottom/>
        <vertical/>
        <horizontal/>
      </border>
    </dxf>
    <dxf>
      <font>
        <u val="none"/>
        <color theme="0" tint="-0.24994659260841701"/>
      </font>
      <fill>
        <patternFill>
          <fgColor theme="0" tint="-0.24994659260841701"/>
          <bgColor theme="0" tint="-0.24994659260841701"/>
        </patternFill>
      </fill>
      <border>
        <left/>
        <right/>
        <top/>
        <bottom/>
        <vertical/>
        <horizontal/>
      </border>
    </dxf>
    <dxf>
      <font>
        <color theme="0" tint="-0.24994659260841701"/>
      </font>
      <fill>
        <patternFill patternType="solid">
          <fgColor theme="0" tint="-0.24994659260841701"/>
          <bgColor theme="0" tint="-0.24994659260841701"/>
        </patternFill>
      </fill>
      <border>
        <left/>
        <right/>
        <top/>
        <bottom/>
        <vertical/>
        <horizontal/>
      </border>
    </dxf>
    <dxf>
      <font>
        <u val="none"/>
        <color theme="0" tint="-0.24994659260841701"/>
      </font>
      <fill>
        <patternFill>
          <fgColor theme="0" tint="-0.24994659260841701"/>
          <bgColor theme="0" tint="-0.24994659260841701"/>
        </patternFill>
      </fill>
      <border>
        <left/>
        <right/>
        <top/>
        <bottom/>
        <vertical/>
        <horizontal/>
      </border>
    </dxf>
    <dxf>
      <font>
        <color theme="0" tint="-0.24994659260841701"/>
      </font>
      <fill>
        <patternFill patternType="solid">
          <fgColor theme="0" tint="-0.24994659260841701"/>
          <bgColor theme="0" tint="-0.24994659260841701"/>
        </patternFill>
      </fill>
      <border>
        <left/>
        <right/>
        <top/>
        <bottom/>
        <vertical/>
        <horizontal/>
      </border>
    </dxf>
    <dxf>
      <font>
        <color theme="0" tint="-0.24994659260841701"/>
      </font>
      <fill>
        <patternFill patternType="solid">
          <fgColor theme="0" tint="-0.24994659260841701"/>
          <bgColor theme="0" tint="-0.24994659260841701"/>
        </patternFill>
      </fill>
      <border>
        <left/>
        <right/>
        <top/>
        <bottom/>
        <vertical/>
        <horizontal/>
      </border>
    </dxf>
    <dxf>
      <font>
        <color theme="0" tint="-0.24994659260841701"/>
      </font>
      <fill>
        <patternFill>
          <fgColor theme="0" tint="-0.24994659260841701"/>
          <bgColor theme="0" tint="-0.24994659260841701"/>
        </patternFill>
      </fill>
      <border>
        <left/>
        <right/>
        <top/>
        <bottom/>
      </border>
    </dxf>
    <dxf>
      <font>
        <color rgb="FFFF0000"/>
      </font>
      <fill>
        <patternFill>
          <fgColor theme="0"/>
        </patternFill>
      </fill>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bgColor rgb="FF00B050"/>
        </patternFill>
      </fill>
    </dxf>
    <dxf>
      <font>
        <color theme="0"/>
      </font>
      <fill>
        <patternFill patternType="solid">
          <fgColor indexed="64"/>
          <bgColor rgb="FF3366FF"/>
        </patternFill>
      </fill>
    </dxf>
    <dxf>
      <font>
        <color theme="0"/>
      </font>
      <fill>
        <patternFill patternType="solid">
          <fgColor indexed="64"/>
          <bgColor rgb="FF660066"/>
        </patternFill>
      </fill>
    </dxf>
    <dxf>
      <fill>
        <patternFill>
          <bgColor rgb="FF00B050"/>
        </patternFill>
      </fill>
    </dxf>
    <dxf>
      <font>
        <color theme="0"/>
      </font>
      <fill>
        <patternFill patternType="solid">
          <fgColor indexed="64"/>
          <bgColor rgb="FF3366FF"/>
        </patternFill>
      </fill>
    </dxf>
    <dxf>
      <font>
        <color theme="0"/>
      </font>
      <fill>
        <patternFill patternType="solid">
          <fgColor indexed="64"/>
          <bgColor rgb="FF660066"/>
        </patternFill>
      </fill>
    </dxf>
  </dxfs>
  <tableStyles count="0" defaultTableStyle="TableStyleMedium9" defaultPivotStyle="PivotStyleMedium4"/>
  <colors>
    <mruColors>
      <color rgb="FF2E3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customXml" Target="../ink/ink1.xml"/><Relationship Id="rId1" Type="http://schemas.openxmlformats.org/officeDocument/2006/relationships/image" Target="../media/image1.jpeg"/><Relationship Id="rId6" Type="http://schemas.openxmlformats.org/officeDocument/2006/relationships/customXml" Target="../ink/ink2.xml"/><Relationship Id="rId5"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518583</xdr:colOff>
      <xdr:row>1</xdr:row>
      <xdr:rowOff>2136</xdr:rowOff>
    </xdr:to>
    <xdr:pic>
      <xdr:nvPicPr>
        <xdr:cNvPr id="5" name="Picture 4">
          <a:extLst>
            <a:ext uri="{FF2B5EF4-FFF2-40B4-BE49-F238E27FC236}">
              <a16:creationId xmlns:a16="http://schemas.microsoft.com/office/drawing/2014/main" id="{FDD41109-9D09-4ADD-8DA1-A9E8FB14FAA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18583" cy="515021"/>
        </a:xfrm>
        <a:prstGeom prst="rect">
          <a:avLst/>
        </a:prstGeom>
      </xdr:spPr>
    </xdr:pic>
    <xdr:clientData/>
  </xdr:twoCellAnchor>
  <xdr:twoCellAnchor editAs="oneCell">
    <xdr:from>
      <xdr:col>2</xdr:col>
      <xdr:colOff>10580078</xdr:colOff>
      <xdr:row>0</xdr:row>
      <xdr:rowOff>0</xdr:rowOff>
    </xdr:from>
    <xdr:to>
      <xdr:col>2</xdr:col>
      <xdr:colOff>11098661</xdr:colOff>
      <xdr:row>1</xdr:row>
      <xdr:rowOff>2136</xdr:rowOff>
    </xdr:to>
    <xdr:pic>
      <xdr:nvPicPr>
        <xdr:cNvPr id="6" name="Picture 5">
          <a:extLst>
            <a:ext uri="{FF2B5EF4-FFF2-40B4-BE49-F238E27FC236}">
              <a16:creationId xmlns:a16="http://schemas.microsoft.com/office/drawing/2014/main" id="{EBFC2703-5CA5-411E-8C7A-7DBEF4BFBCE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884770" y="0"/>
          <a:ext cx="518583" cy="51502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522016</xdr:colOff>
      <xdr:row>2</xdr:row>
      <xdr:rowOff>10457</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18841" cy="516830"/>
        </a:xfrm>
        <a:prstGeom prst="rect">
          <a:avLst/>
        </a:prstGeom>
      </xdr:spPr>
    </xdr:pic>
    <xdr:clientData/>
  </xdr:twoCellAnchor>
  <xdr:twoCellAnchor editAs="oneCell">
    <xdr:from>
      <xdr:col>6</xdr:col>
      <xdr:colOff>2493036</xdr:colOff>
      <xdr:row>0</xdr:row>
      <xdr:rowOff>0</xdr:rowOff>
    </xdr:from>
    <xdr:to>
      <xdr:col>7</xdr:col>
      <xdr:colOff>7130</xdr:colOff>
      <xdr:row>2</xdr:row>
      <xdr:rowOff>1854</xdr:rowOff>
    </xdr:to>
    <xdr:pic>
      <xdr:nvPicPr>
        <xdr:cNvPr id="6" name="Picture 5">
          <a:extLst>
            <a:ext uri="{FF2B5EF4-FFF2-40B4-BE49-F238E27FC236}">
              <a16:creationId xmlns:a16="http://schemas.microsoft.com/office/drawing/2014/main" id="{DB0DE618-F04F-4D99-8D69-4CE2C1460E2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087203" y="0"/>
          <a:ext cx="516585" cy="5130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727130</xdr:colOff>
      <xdr:row>0</xdr:row>
      <xdr:rowOff>0</xdr:rowOff>
    </xdr:from>
    <xdr:to>
      <xdr:col>10</xdr:col>
      <xdr:colOff>8317</xdr:colOff>
      <xdr:row>1</xdr:row>
      <xdr:rowOff>257008</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02036" y="0"/>
          <a:ext cx="519791" cy="516167"/>
        </a:xfrm>
        <a:prstGeom prst="rect">
          <a:avLst/>
        </a:prstGeom>
      </xdr:spPr>
    </xdr:pic>
    <xdr:clientData/>
  </xdr:twoCellAnchor>
  <xdr:twoCellAnchor editAs="oneCell">
    <xdr:from>
      <xdr:col>0</xdr:col>
      <xdr:colOff>11907</xdr:colOff>
      <xdr:row>0</xdr:row>
      <xdr:rowOff>0</xdr:rowOff>
    </xdr:from>
    <xdr:to>
      <xdr:col>0</xdr:col>
      <xdr:colOff>531698</xdr:colOff>
      <xdr:row>1</xdr:row>
      <xdr:rowOff>257008</xdr:rowOff>
    </xdr:to>
    <xdr:pic>
      <xdr:nvPicPr>
        <xdr:cNvPr id="5" name="Picture 4">
          <a:extLst>
            <a:ext uri="{FF2B5EF4-FFF2-40B4-BE49-F238E27FC236}">
              <a16:creationId xmlns:a16="http://schemas.microsoft.com/office/drawing/2014/main" id="{9776C9C5-914D-4C73-99B1-55BBA11B007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907" y="0"/>
          <a:ext cx="519791" cy="516167"/>
        </a:xfrm>
        <a:prstGeom prst="rect">
          <a:avLst/>
        </a:prstGeom>
      </xdr:spPr>
    </xdr:pic>
    <xdr:clientData/>
  </xdr:twoCellAnchor>
  <xdr:twoCellAnchor editAs="oneCell">
    <xdr:from>
      <xdr:col>10</xdr:col>
      <xdr:colOff>860298</xdr:colOff>
      <xdr:row>31</xdr:row>
      <xdr:rowOff>38262</xdr:rowOff>
    </xdr:from>
    <xdr:to>
      <xdr:col>10</xdr:col>
      <xdr:colOff>860658</xdr:colOff>
      <xdr:row>31</xdr:row>
      <xdr:rowOff>38622</xdr:rowOff>
    </xdr:to>
    <mc:AlternateContent xmlns:mc="http://schemas.openxmlformats.org/markup-compatibility/2006" xmlns:xdr14="http://schemas.microsoft.com/office/excel/2010/spreadsheetDrawing">
      <mc:Choice Requires="xdr14">
        <xdr:contentPart xmlns:r="http://schemas.openxmlformats.org/officeDocument/2006/relationships" r:id="rId2">
          <xdr14:nvContentPartPr>
            <xdr14:cNvPr id="6" name="Ink 5">
              <a:extLst>
                <a:ext uri="{FF2B5EF4-FFF2-40B4-BE49-F238E27FC236}">
                  <a16:creationId xmlns:a16="http://schemas.microsoft.com/office/drawing/2014/main" id="{5630FBCF-07BA-4B56-A725-B7C0A92A4ACB}"/>
                </a:ext>
              </a:extLst>
            </xdr14:cNvPr>
            <xdr14:cNvContentPartPr/>
          </xdr14:nvContentPartPr>
          <xdr14:nvPr macro=""/>
          <xdr14:xfrm>
            <a:off x="11810520" y="7376040"/>
            <a:ext cx="360" cy="360"/>
          </xdr14:xfrm>
        </xdr:contentPart>
      </mc:Choice>
      <mc:Fallback xmlns="">
        <xdr:pic>
          <xdr:nvPicPr>
            <xdr:cNvPr id="6" name="Ink 5">
              <a:extLst>
                <a:ext uri="{FF2B5EF4-FFF2-40B4-BE49-F238E27FC236}">
                  <a16:creationId xmlns:a16="http://schemas.microsoft.com/office/drawing/2014/main" id="{5630FBCF-07BA-4B56-A725-B7C0A92A4ACB}"/>
                </a:ext>
              </a:extLst>
            </xdr:cNvPr>
            <xdr:cNvPicPr/>
          </xdr:nvPicPr>
          <xdr:blipFill>
            <a:blip xmlns:r="http://schemas.openxmlformats.org/officeDocument/2006/relationships" r:embed="rId5"/>
            <a:stretch>
              <a:fillRect/>
            </a:stretch>
          </xdr:blipFill>
          <xdr:spPr>
            <a:xfrm>
              <a:off x="11801520" y="7367040"/>
              <a:ext cx="18000" cy="18000"/>
            </a:xfrm>
            <a:prstGeom prst="rect">
              <a:avLst/>
            </a:prstGeom>
          </xdr:spPr>
        </xdr:pic>
      </mc:Fallback>
    </mc:AlternateContent>
    <xdr:clientData/>
  </xdr:twoCellAnchor>
  <xdr:twoCellAnchor editAs="oneCell">
    <xdr:from>
      <xdr:col>10</xdr:col>
      <xdr:colOff>1536738</xdr:colOff>
      <xdr:row>31</xdr:row>
      <xdr:rowOff>179382</xdr:rowOff>
    </xdr:from>
    <xdr:to>
      <xdr:col>10</xdr:col>
      <xdr:colOff>1537098</xdr:colOff>
      <xdr:row>31</xdr:row>
      <xdr:rowOff>179742</xdr:rowOff>
    </xdr:to>
    <mc:AlternateContent xmlns:mc="http://schemas.openxmlformats.org/markup-compatibility/2006" xmlns:xdr14="http://schemas.microsoft.com/office/excel/2010/spreadsheetDrawing">
      <mc:Choice Requires="xdr14">
        <xdr:contentPart xmlns:r="http://schemas.openxmlformats.org/officeDocument/2006/relationships" r:id="rId6">
          <xdr14:nvContentPartPr>
            <xdr14:cNvPr id="7" name="Ink 6">
              <a:extLst>
                <a:ext uri="{FF2B5EF4-FFF2-40B4-BE49-F238E27FC236}">
                  <a16:creationId xmlns:a16="http://schemas.microsoft.com/office/drawing/2014/main" id="{43E35A64-CBE2-66FE-56B9-7322700296C7}"/>
                </a:ext>
              </a:extLst>
            </xdr14:cNvPr>
            <xdr14:cNvContentPartPr/>
          </xdr14:nvContentPartPr>
          <xdr14:nvPr macro=""/>
          <xdr14:xfrm>
            <a:off x="12486960" y="7517160"/>
            <a:ext cx="360" cy="360"/>
          </xdr14:xfrm>
        </xdr:contentPart>
      </mc:Choice>
      <mc:Fallback xmlns="">
        <xdr:pic>
          <xdr:nvPicPr>
            <xdr:cNvPr id="7" name="Ink 6">
              <a:extLst>
                <a:ext uri="{FF2B5EF4-FFF2-40B4-BE49-F238E27FC236}">
                  <a16:creationId xmlns:a16="http://schemas.microsoft.com/office/drawing/2014/main" id="{43E35A64-CBE2-66FE-56B9-7322700296C7}"/>
                </a:ext>
              </a:extLst>
            </xdr:cNvPr>
            <xdr:cNvPicPr/>
          </xdr:nvPicPr>
          <xdr:blipFill>
            <a:blip xmlns:r="http://schemas.openxmlformats.org/officeDocument/2006/relationships" r:embed="rId5"/>
            <a:stretch>
              <a:fillRect/>
            </a:stretch>
          </xdr:blipFill>
          <xdr:spPr>
            <a:xfrm>
              <a:off x="12478320" y="7508160"/>
              <a:ext cx="18000" cy="18000"/>
            </a:xfrm>
            <a:prstGeom prst="rect">
              <a:avLst/>
            </a:prstGeom>
          </xdr:spPr>
        </xdr:pic>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0</xdr:col>
      <xdr:colOff>517289</xdr:colOff>
      <xdr:row>2</xdr:row>
      <xdr:rowOff>2932</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517288" cy="516548"/>
        </a:xfrm>
        <a:prstGeom prst="rect">
          <a:avLst/>
        </a:prstGeom>
      </xdr:spPr>
    </xdr:pic>
    <xdr:clientData/>
  </xdr:twoCellAnchor>
  <xdr:twoCellAnchor editAs="oneCell">
    <xdr:from>
      <xdr:col>4</xdr:col>
      <xdr:colOff>1216697</xdr:colOff>
      <xdr:row>0</xdr:row>
      <xdr:rowOff>0</xdr:rowOff>
    </xdr:from>
    <xdr:to>
      <xdr:col>5</xdr:col>
      <xdr:colOff>821</xdr:colOff>
      <xdr:row>2</xdr:row>
      <xdr:rowOff>2628</xdr:rowOff>
    </xdr:to>
    <xdr:pic>
      <xdr:nvPicPr>
        <xdr:cNvPr id="4" name="Picture 3">
          <a:extLst>
            <a:ext uri="{FF2B5EF4-FFF2-40B4-BE49-F238E27FC236}">
              <a16:creationId xmlns:a16="http://schemas.microsoft.com/office/drawing/2014/main" id="{6F25938A-8878-4A16-B74D-4B55BC21FC6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163467" y="0"/>
          <a:ext cx="519791" cy="517048"/>
        </a:xfrm>
        <a:prstGeom prst="rect">
          <a:avLst/>
        </a:prstGeom>
      </xdr:spPr>
    </xdr:pic>
    <xdr:clientData/>
  </xdr:twoCellAnchor>
  <xdr:twoCellAnchor editAs="oneCell">
    <xdr:from>
      <xdr:col>0</xdr:col>
      <xdr:colOff>0</xdr:colOff>
      <xdr:row>0</xdr:row>
      <xdr:rowOff>0</xdr:rowOff>
    </xdr:from>
    <xdr:to>
      <xdr:col>0</xdr:col>
      <xdr:colOff>522966</xdr:colOff>
      <xdr:row>2</xdr:row>
      <xdr:rowOff>2628</xdr:rowOff>
    </xdr:to>
    <xdr:pic>
      <xdr:nvPicPr>
        <xdr:cNvPr id="5" name="Picture 4">
          <a:extLst>
            <a:ext uri="{FF2B5EF4-FFF2-40B4-BE49-F238E27FC236}">
              <a16:creationId xmlns:a16="http://schemas.microsoft.com/office/drawing/2014/main" id="{C936E3F0-7686-4B74-AF8C-1D9E9B3BE52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19791" cy="51704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523874</xdr:colOff>
      <xdr:row>1</xdr:row>
      <xdr:rowOff>266699</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3</xdr:col>
      <xdr:colOff>1652059</xdr:colOff>
      <xdr:row>0</xdr:row>
      <xdr:rowOff>0</xdr:rowOff>
    </xdr:from>
    <xdr:to>
      <xdr:col>4</xdr:col>
      <xdr:colOff>3339</xdr:colOff>
      <xdr:row>1</xdr:row>
      <xdr:rowOff>274108</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103659" y="0"/>
          <a:ext cx="535680" cy="54504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523874</xdr:colOff>
      <xdr:row>2</xdr:row>
      <xdr:rowOff>2116</xdr:rowOff>
    </xdr:to>
    <xdr:pic>
      <xdr:nvPicPr>
        <xdr:cNvPr id="2" name="Picture 1">
          <a:extLst>
            <a:ext uri="{FF2B5EF4-FFF2-40B4-BE49-F238E27FC236}">
              <a16:creationId xmlns:a16="http://schemas.microsoft.com/office/drawing/2014/main" id="{873696D2-CCD2-4A4F-93C4-F695840FDFB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5</xdr:col>
      <xdr:colOff>1207559</xdr:colOff>
      <xdr:row>0</xdr:row>
      <xdr:rowOff>0</xdr:rowOff>
    </xdr:from>
    <xdr:to>
      <xdr:col>6</xdr:col>
      <xdr:colOff>1059</xdr:colOff>
      <xdr:row>2</xdr:row>
      <xdr:rowOff>1058</xdr:rowOff>
    </xdr:to>
    <xdr:pic>
      <xdr:nvPicPr>
        <xdr:cNvPr id="3" name="Picture 2">
          <a:extLst>
            <a:ext uri="{FF2B5EF4-FFF2-40B4-BE49-F238E27FC236}">
              <a16:creationId xmlns:a16="http://schemas.microsoft.com/office/drawing/2014/main" id="{76F7CB95-4591-4541-94FA-8CCA74F580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21459" y="0"/>
          <a:ext cx="529166" cy="5323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523874</xdr:colOff>
      <xdr:row>2</xdr:row>
      <xdr:rowOff>2116</xdr:rowOff>
    </xdr:to>
    <xdr:pic>
      <xdr:nvPicPr>
        <xdr:cNvPr id="2" name="Picture 1">
          <a:extLst>
            <a:ext uri="{FF2B5EF4-FFF2-40B4-BE49-F238E27FC236}">
              <a16:creationId xmlns:a16="http://schemas.microsoft.com/office/drawing/2014/main" id="{093462EF-14EC-FC4C-B396-4E74E092CAA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4</xdr:col>
      <xdr:colOff>2000717</xdr:colOff>
      <xdr:row>0</xdr:row>
      <xdr:rowOff>0</xdr:rowOff>
    </xdr:from>
    <xdr:to>
      <xdr:col>5</xdr:col>
      <xdr:colOff>8730</xdr:colOff>
      <xdr:row>1</xdr:row>
      <xdr:rowOff>262978</xdr:rowOff>
    </xdr:to>
    <xdr:pic>
      <xdr:nvPicPr>
        <xdr:cNvPr id="4" name="Picture 3">
          <a:extLst>
            <a:ext uri="{FF2B5EF4-FFF2-40B4-BE49-F238E27FC236}">
              <a16:creationId xmlns:a16="http://schemas.microsoft.com/office/drawing/2014/main" id="{F32D43C1-FEB6-4E68-8E05-0460AB73E56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305734" y="0"/>
          <a:ext cx="519791" cy="5206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474345</xdr:colOff>
      <xdr:row>1</xdr:row>
      <xdr:rowOff>207645</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485775" cy="485775"/>
        </a:xfrm>
        <a:prstGeom prst="rect">
          <a:avLst/>
        </a:prstGeom>
      </xdr:spPr>
    </xdr:pic>
    <xdr:clientData/>
  </xdr:twoCellAnchor>
  <xdr:twoCellAnchor editAs="oneCell">
    <xdr:from>
      <xdr:col>11</xdr:col>
      <xdr:colOff>1095376</xdr:colOff>
      <xdr:row>0</xdr:row>
      <xdr:rowOff>7952</xdr:rowOff>
    </xdr:from>
    <xdr:to>
      <xdr:col>12</xdr:col>
      <xdr:colOff>780</xdr:colOff>
      <xdr:row>2</xdr:row>
      <xdr:rowOff>7987</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843376" y="7952"/>
          <a:ext cx="510896" cy="494753"/>
        </a:xfrm>
        <a:prstGeom prst="rect">
          <a:avLst/>
        </a:prstGeom>
      </xdr:spPr>
    </xdr:pic>
    <xdr:clientData/>
  </xdr:twoCellAnchor>
  <xdr:twoCellAnchor editAs="oneCell">
    <xdr:from>
      <xdr:col>0</xdr:col>
      <xdr:colOff>0</xdr:colOff>
      <xdr:row>0</xdr:row>
      <xdr:rowOff>3970</xdr:rowOff>
    </xdr:from>
    <xdr:to>
      <xdr:col>0</xdr:col>
      <xdr:colOff>515155</xdr:colOff>
      <xdr:row>2</xdr:row>
      <xdr:rowOff>424</xdr:rowOff>
    </xdr:to>
    <xdr:pic>
      <xdr:nvPicPr>
        <xdr:cNvPr id="5" name="Picture 4">
          <a:extLst>
            <a:ext uri="{FF2B5EF4-FFF2-40B4-BE49-F238E27FC236}">
              <a16:creationId xmlns:a16="http://schemas.microsoft.com/office/drawing/2014/main" id="{48D1BF8A-46DB-F447-93C7-69338A702F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3970"/>
          <a:ext cx="507535" cy="50006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6272</xdr:colOff>
      <xdr:row>0</xdr:row>
      <xdr:rowOff>0</xdr:rowOff>
    </xdr:from>
    <xdr:to>
      <xdr:col>0</xdr:col>
      <xdr:colOff>523018</xdr:colOff>
      <xdr:row>1</xdr:row>
      <xdr:rowOff>260058</xdr:rowOff>
    </xdr:to>
    <xdr:pic>
      <xdr:nvPicPr>
        <xdr:cNvPr id="5" name="Picture 4">
          <a:extLst>
            <a:ext uri="{FF2B5EF4-FFF2-40B4-BE49-F238E27FC236}">
              <a16:creationId xmlns:a16="http://schemas.microsoft.com/office/drawing/2014/main" id="{938E0284-7282-4D6F-BC29-C5023C4E3C6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272" y="0"/>
          <a:ext cx="516746" cy="516982"/>
        </a:xfrm>
        <a:prstGeom prst="rect">
          <a:avLst/>
        </a:prstGeom>
      </xdr:spPr>
    </xdr:pic>
    <xdr:clientData/>
  </xdr:twoCellAnchor>
  <xdr:twoCellAnchor editAs="oneCell">
    <xdr:from>
      <xdr:col>7</xdr:col>
      <xdr:colOff>975562</xdr:colOff>
      <xdr:row>0</xdr:row>
      <xdr:rowOff>0</xdr:rowOff>
    </xdr:from>
    <xdr:to>
      <xdr:col>8</xdr:col>
      <xdr:colOff>58</xdr:colOff>
      <xdr:row>1</xdr:row>
      <xdr:rowOff>260058</xdr:rowOff>
    </xdr:to>
    <xdr:pic>
      <xdr:nvPicPr>
        <xdr:cNvPr id="7" name="Picture 6">
          <a:extLst>
            <a:ext uri="{FF2B5EF4-FFF2-40B4-BE49-F238E27FC236}">
              <a16:creationId xmlns:a16="http://schemas.microsoft.com/office/drawing/2014/main" id="{6C36BF9F-00AA-4BD6-B656-2D3B8DF226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4691562" y="0"/>
          <a:ext cx="516746" cy="51859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0</xdr:col>
      <xdr:colOff>449766</xdr:colOff>
      <xdr:row>1</xdr:row>
      <xdr:rowOff>193476</xdr:rowOff>
    </xdr:to>
    <xdr:pic>
      <xdr:nvPicPr>
        <xdr:cNvPr id="3" name="Picture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449765" cy="450204"/>
        </a:xfrm>
        <a:prstGeom prst="rect">
          <a:avLst/>
        </a:prstGeom>
      </xdr:spPr>
    </xdr:pic>
    <xdr:clientData/>
  </xdr:twoCellAnchor>
  <xdr:twoCellAnchor editAs="oneCell">
    <xdr:from>
      <xdr:col>43</xdr:col>
      <xdr:colOff>844598</xdr:colOff>
      <xdr:row>0</xdr:row>
      <xdr:rowOff>0</xdr:rowOff>
    </xdr:from>
    <xdr:to>
      <xdr:col>44</xdr:col>
      <xdr:colOff>1304</xdr:colOff>
      <xdr:row>1</xdr:row>
      <xdr:rowOff>191723</xdr:rowOff>
    </xdr:to>
    <xdr:pic>
      <xdr:nvPicPr>
        <xdr:cNvPr id="4" name="Picture 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4509520" y="0"/>
          <a:ext cx="444849" cy="44845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8121</xdr:colOff>
      <xdr:row>0</xdr:row>
      <xdr:rowOff>1</xdr:rowOff>
    </xdr:from>
    <xdr:to>
      <xdr:col>0</xdr:col>
      <xdr:colOff>531202</xdr:colOff>
      <xdr:row>1</xdr:row>
      <xdr:rowOff>255503</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121" y="1"/>
          <a:ext cx="523081" cy="511944"/>
        </a:xfrm>
        <a:prstGeom prst="rect">
          <a:avLst/>
        </a:prstGeom>
      </xdr:spPr>
    </xdr:pic>
    <xdr:clientData/>
  </xdr:twoCellAnchor>
  <xdr:twoCellAnchor editAs="oneCell">
    <xdr:from>
      <xdr:col>35</xdr:col>
      <xdr:colOff>303580</xdr:colOff>
      <xdr:row>0</xdr:row>
      <xdr:rowOff>3542</xdr:rowOff>
    </xdr:from>
    <xdr:to>
      <xdr:col>36</xdr:col>
      <xdr:colOff>1128</xdr:colOff>
      <xdr:row>1</xdr:row>
      <xdr:rowOff>256443</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133941" y="3542"/>
          <a:ext cx="528821" cy="50934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12700</xdr:colOff>
      <xdr:row>0</xdr:row>
      <xdr:rowOff>0</xdr:rowOff>
    </xdr:from>
    <xdr:to>
      <xdr:col>0</xdr:col>
      <xdr:colOff>539750</xdr:colOff>
      <xdr:row>2</xdr:row>
      <xdr:rowOff>0</xdr:rowOff>
    </xdr:to>
    <xdr:pic>
      <xdr:nvPicPr>
        <xdr:cNvPr id="2" name="Picture 1">
          <a:extLst>
            <a:ext uri="{FF2B5EF4-FFF2-40B4-BE49-F238E27FC236}">
              <a16:creationId xmlns:a16="http://schemas.microsoft.com/office/drawing/2014/main" id="{7C4C8E9F-76E3-7F4C-AD74-D2E59451CE9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700" y="0"/>
          <a:ext cx="530225" cy="546100"/>
        </a:xfrm>
        <a:prstGeom prst="rect">
          <a:avLst/>
        </a:prstGeom>
      </xdr:spPr>
    </xdr:pic>
    <xdr:clientData/>
  </xdr:twoCellAnchor>
  <xdr:oneCellAnchor>
    <xdr:from>
      <xdr:col>19</xdr:col>
      <xdr:colOff>867833</xdr:colOff>
      <xdr:row>0</xdr:row>
      <xdr:rowOff>9828</xdr:rowOff>
    </xdr:from>
    <xdr:ext cx="500895" cy="487877"/>
    <xdr:pic>
      <xdr:nvPicPr>
        <xdr:cNvPr id="3" name="Picture 2">
          <a:extLst>
            <a:ext uri="{FF2B5EF4-FFF2-40B4-BE49-F238E27FC236}">
              <a16:creationId xmlns:a16="http://schemas.microsoft.com/office/drawing/2014/main" id="{176AC9A1-B7A2-3249-83D0-B377055D196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092083" y="9828"/>
          <a:ext cx="500895" cy="487877"/>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twoCellAnchor editAs="oneCell">
    <xdr:from>
      <xdr:col>0</xdr:col>
      <xdr:colOff>7808</xdr:colOff>
      <xdr:row>0</xdr:row>
      <xdr:rowOff>1</xdr:rowOff>
    </xdr:from>
    <xdr:to>
      <xdr:col>0</xdr:col>
      <xdr:colOff>523850</xdr:colOff>
      <xdr:row>1</xdr:row>
      <xdr:rowOff>257644</xdr:rowOff>
    </xdr:to>
    <xdr:pic>
      <xdr:nvPicPr>
        <xdr:cNvPr id="3" name="Picture 2">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808" y="1"/>
          <a:ext cx="516042" cy="515286"/>
        </a:xfrm>
        <a:prstGeom prst="rect">
          <a:avLst/>
        </a:prstGeom>
      </xdr:spPr>
    </xdr:pic>
    <xdr:clientData/>
  </xdr:twoCellAnchor>
  <xdr:twoCellAnchor editAs="oneCell">
    <xdr:from>
      <xdr:col>13</xdr:col>
      <xdr:colOff>655820</xdr:colOff>
      <xdr:row>0</xdr:row>
      <xdr:rowOff>1</xdr:rowOff>
    </xdr:from>
    <xdr:to>
      <xdr:col>13</xdr:col>
      <xdr:colOff>1177924</xdr:colOff>
      <xdr:row>1</xdr:row>
      <xdr:rowOff>256556</xdr:rowOff>
    </xdr:to>
    <xdr:pic>
      <xdr:nvPicPr>
        <xdr:cNvPr id="4" name="Picture 3">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325881" y="1"/>
          <a:ext cx="522104" cy="514198"/>
        </a:xfrm>
        <a:prstGeom prst="rect">
          <a:avLst/>
        </a:prstGeom>
      </xdr:spPr>
    </xdr:pic>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4-07-26T06:14:47.346"/>
    </inkml:context>
    <inkml:brush xml:id="br0">
      <inkml:brushProperty name="width" value="0.05" units="cm"/>
      <inkml:brushProperty name="height" value="0.05" units="cm"/>
      <inkml:brushProperty name="color" value="#E71224"/>
    </inkml:brush>
  </inkml:definitions>
  <inkml:trace contextRef="#ctx0" brushRef="#br0">0 0 24575,'0'0'0</inkml:trace>
</inkml:ink>
</file>

<file path=xl/ink/ink2.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4-07-26T06:14:52.204"/>
    </inkml:context>
    <inkml:brush xml:id="br0">
      <inkml:brushProperty name="width" value="0.05" units="cm"/>
      <inkml:brushProperty name="height" value="0.05" units="cm"/>
      <inkml:brushProperty name="color" value="#E71224"/>
    </inkml:brush>
  </inkml:definitions>
  <inkml:trace contextRef="#ctx0" brushRef="#br0">1 0 24575,'0'0'0</inkml:trace>
</inkm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eprojectbuilder.lbl.gov/hom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8" Type="http://schemas.openxmlformats.org/officeDocument/2006/relationships/hyperlink" Target="http://www.epa.gov/climatechange/emissions/downloads09/GHG-MRR-Full%20Version.pdf" TargetMode="External"/><Relationship Id="rId13" Type="http://schemas.openxmlformats.org/officeDocument/2006/relationships/hyperlink" Target="http://www.epa.gov/climateleadership/documents/emission-factors.pdf" TargetMode="External"/><Relationship Id="rId3" Type="http://schemas.openxmlformats.org/officeDocument/2006/relationships/hyperlink" Target="http://www.epa.gov/climatechange/emissions/downloads09/GHG-MRR-Full%20Version.pdf" TargetMode="External"/><Relationship Id="rId7" Type="http://schemas.openxmlformats.org/officeDocument/2006/relationships/hyperlink" Target="http://www.epa.gov/climatechange/emissions/downloads09/GHG-MRR-Full%20Version.pdf" TargetMode="External"/><Relationship Id="rId12" Type="http://schemas.openxmlformats.org/officeDocument/2006/relationships/hyperlink" Target="http://www.epa.gov/ghgreporting/documents/pdf/2009/GHG-MRR-FinalRule.pdf" TargetMode="External"/><Relationship Id="rId2" Type="http://schemas.openxmlformats.org/officeDocument/2006/relationships/hyperlink" Target="http://www.epa.gov/climatechange/emissions/downloads09/GHG-MRR-Full%20Version.pdf" TargetMode="External"/><Relationship Id="rId16" Type="http://schemas.openxmlformats.org/officeDocument/2006/relationships/comments" Target="../comments1.xml"/><Relationship Id="rId1" Type="http://schemas.openxmlformats.org/officeDocument/2006/relationships/hyperlink" Target="http://www.epa.gov/climateleadership/documents/emission-factors.pdf" TargetMode="External"/><Relationship Id="rId6" Type="http://schemas.openxmlformats.org/officeDocument/2006/relationships/hyperlink" Target="http://www.epa.gov/climatechange/emissions/downloads09/GHG-MRR-Full%20Version.pdf" TargetMode="External"/><Relationship Id="rId11" Type="http://schemas.openxmlformats.org/officeDocument/2006/relationships/hyperlink" Target="http://www.epa.gov/ghgreporting/documents/pdf/2009/GHG-MRR-FinalRule.pdf" TargetMode="External"/><Relationship Id="rId5" Type="http://schemas.openxmlformats.org/officeDocument/2006/relationships/hyperlink" Target="http://www.epa.gov/climatechange/emissions/downloads09/GHG-MRR-Full%20Version.pdf" TargetMode="External"/><Relationship Id="rId15" Type="http://schemas.openxmlformats.org/officeDocument/2006/relationships/vmlDrawing" Target="../drawings/vmlDrawing1.vml"/><Relationship Id="rId10" Type="http://schemas.openxmlformats.org/officeDocument/2006/relationships/hyperlink" Target="http://www.epa.gov/climatechange/emissions/downloads09/GHG-MRR-Full%20Version.pdf" TargetMode="External"/><Relationship Id="rId4" Type="http://schemas.openxmlformats.org/officeDocument/2006/relationships/hyperlink" Target="http://www.epa.gov/climatechange/emissions/downloads09/GHG-MRR-Full%20Version.pdf" TargetMode="External"/><Relationship Id="rId9" Type="http://schemas.openxmlformats.org/officeDocument/2006/relationships/hyperlink" Target="http://www.epa.gov/climatechange/emissions/downloads09/GHG-MRR-Full%20Version.pdf" TargetMode="External"/><Relationship Id="rId14" Type="http://schemas.openxmlformats.org/officeDocument/2006/relationships/hyperlink" Target="http://www.epa.gov/climateleadership/documents/emission-factors.pdf"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D24"/>
  <sheetViews>
    <sheetView zoomScale="70" zoomScaleNormal="70" workbookViewId="0">
      <selection sqref="A1:C1"/>
    </sheetView>
  </sheetViews>
  <sheetFormatPr defaultColWidth="11" defaultRowHeight="15.5"/>
  <cols>
    <col min="1" max="1" width="39.5" customWidth="1"/>
    <col min="2" max="2" width="30" customWidth="1"/>
    <col min="3" max="3" width="145.5" customWidth="1"/>
    <col min="4" max="4" width="30" customWidth="1"/>
  </cols>
  <sheetData>
    <row r="1" spans="1:4" ht="41.25" customHeight="1">
      <c r="A1" s="474" t="s">
        <v>387</v>
      </c>
      <c r="B1" s="474"/>
      <c r="C1" s="474"/>
    </row>
    <row r="2" spans="1:4">
      <c r="A2" s="261" t="s">
        <v>350</v>
      </c>
      <c r="B2" s="261" t="s">
        <v>351</v>
      </c>
      <c r="C2" s="262" t="s">
        <v>273</v>
      </c>
    </row>
    <row r="3" spans="1:4" ht="32">
      <c r="A3" s="475" t="s">
        <v>360</v>
      </c>
      <c r="B3" s="477" t="s">
        <v>352</v>
      </c>
      <c r="C3" s="326" t="s">
        <v>365</v>
      </c>
    </row>
    <row r="4" spans="1:4" ht="16">
      <c r="A4" s="475"/>
      <c r="B4" s="478"/>
      <c r="C4" s="327" t="s">
        <v>339</v>
      </c>
    </row>
    <row r="5" spans="1:4" ht="16">
      <c r="A5" s="475"/>
      <c r="B5" s="478"/>
      <c r="C5" s="327" t="s">
        <v>340</v>
      </c>
    </row>
    <row r="6" spans="1:4" ht="16">
      <c r="A6" s="475"/>
      <c r="B6" s="478"/>
      <c r="C6" s="327" t="s">
        <v>341</v>
      </c>
    </row>
    <row r="7" spans="1:4" ht="16">
      <c r="A7" s="475"/>
      <c r="B7" s="478"/>
      <c r="C7" s="327" t="s">
        <v>342</v>
      </c>
    </row>
    <row r="8" spans="1:4" ht="16">
      <c r="A8" s="475"/>
      <c r="B8" s="478"/>
      <c r="C8" s="327" t="s">
        <v>343</v>
      </c>
    </row>
    <row r="9" spans="1:4" ht="48">
      <c r="A9" s="324" t="s">
        <v>344</v>
      </c>
      <c r="B9" s="322" t="s">
        <v>352</v>
      </c>
      <c r="C9" s="260" t="s">
        <v>371</v>
      </c>
    </row>
    <row r="10" spans="1:4" ht="93.75" customHeight="1">
      <c r="A10" s="324" t="s">
        <v>346</v>
      </c>
      <c r="B10" s="323" t="s">
        <v>381</v>
      </c>
      <c r="C10" s="260" t="s">
        <v>388</v>
      </c>
      <c r="D10" s="307"/>
    </row>
    <row r="11" spans="1:4" ht="48">
      <c r="A11" s="325" t="s">
        <v>347</v>
      </c>
      <c r="B11" s="316" t="s">
        <v>370</v>
      </c>
      <c r="C11" s="317" t="s">
        <v>380</v>
      </c>
    </row>
    <row r="12" spans="1:4" ht="48">
      <c r="A12" s="325" t="s">
        <v>400</v>
      </c>
      <c r="B12" s="316" t="s">
        <v>418</v>
      </c>
      <c r="C12" s="317" t="s">
        <v>403</v>
      </c>
    </row>
    <row r="13" spans="1:4" ht="48">
      <c r="A13" s="325" t="s">
        <v>401</v>
      </c>
      <c r="B13" s="316" t="s">
        <v>418</v>
      </c>
      <c r="C13" s="317" t="s">
        <v>404</v>
      </c>
    </row>
    <row r="14" spans="1:4" ht="32">
      <c r="A14" s="324" t="s">
        <v>348</v>
      </c>
      <c r="B14" s="322" t="s">
        <v>352</v>
      </c>
      <c r="C14" s="260" t="s">
        <v>372</v>
      </c>
      <c r="D14" s="307"/>
    </row>
    <row r="15" spans="1:4" ht="32">
      <c r="A15" s="324" t="s">
        <v>361</v>
      </c>
      <c r="B15" s="323" t="s">
        <v>382</v>
      </c>
      <c r="C15" s="311" t="s">
        <v>373</v>
      </c>
    </row>
    <row r="16" spans="1:4" ht="16">
      <c r="A16" s="476" t="s">
        <v>349</v>
      </c>
      <c r="B16" s="479" t="s">
        <v>352</v>
      </c>
      <c r="C16" s="260" t="s">
        <v>374</v>
      </c>
    </row>
    <row r="17" spans="1:3" ht="48">
      <c r="A17" s="476"/>
      <c r="B17" s="480"/>
      <c r="C17" s="260" t="s">
        <v>375</v>
      </c>
    </row>
    <row r="18" spans="1:3" ht="48">
      <c r="A18" s="476"/>
      <c r="B18" s="480"/>
      <c r="C18" s="260" t="s">
        <v>345</v>
      </c>
    </row>
    <row r="19" spans="1:3" ht="48">
      <c r="A19" s="324" t="s">
        <v>362</v>
      </c>
      <c r="B19" s="322" t="s">
        <v>352</v>
      </c>
      <c r="C19" s="309" t="s">
        <v>376</v>
      </c>
    </row>
    <row r="20" spans="1:3" ht="48">
      <c r="A20" s="324" t="s">
        <v>591</v>
      </c>
      <c r="B20" s="322" t="s">
        <v>352</v>
      </c>
      <c r="C20" s="309" t="s">
        <v>592</v>
      </c>
    </row>
    <row r="21" spans="1:3" ht="32">
      <c r="A21" s="324" t="s">
        <v>363</v>
      </c>
      <c r="B21" s="310" t="s">
        <v>364</v>
      </c>
      <c r="C21" s="260" t="s">
        <v>377</v>
      </c>
    </row>
    <row r="22" spans="1:3" s="1" customFormat="1" ht="16">
      <c r="A22" s="473" t="s">
        <v>359</v>
      </c>
      <c r="B22" s="473"/>
      <c r="C22" s="473"/>
    </row>
    <row r="24" spans="1:3">
      <c r="C24" s="308"/>
    </row>
  </sheetData>
  <sheetProtection algorithmName="SHA-512" hashValue="NW9KHHlSOmOlh3fwOEUSelfD7Dj1PMebIJBclkK8Z0XduMz0yLiF7ShorD+uPTaCjt+gWaG4NG0iGwnvll1TlQ==" saltValue="rMY6k+3YSgFVvp/2HGjIfg==" spinCount="100000" sheet="1" objects="1" scenarios="1"/>
  <mergeCells count="6">
    <mergeCell ref="A22:C22"/>
    <mergeCell ref="A1:C1"/>
    <mergeCell ref="A3:A8"/>
    <mergeCell ref="A16:A18"/>
    <mergeCell ref="B3:B8"/>
    <mergeCell ref="B16:B18"/>
  </mergeCells>
  <phoneticPr fontId="5" type="noConversion"/>
  <hyperlinks>
    <hyperlink ref="A22" r:id="rId1" location="/help" display="/help" xr:uid="{00000000-0004-0000-0000-000000000000}"/>
    <hyperlink ref="A3:A8" location="'Summary Schedule'!A1" display="Summary Schedule" xr:uid="{00000000-0004-0000-0000-000001000000}"/>
    <hyperlink ref="A9" location="'Annual Escalation Rates'!A1" display="Annual Escalation Rates" xr:uid="{00000000-0004-0000-0000-000002000000}"/>
    <hyperlink ref="A10" location="'Sch1-Ann Cost Sav &amp; Pymts'!A1" display="Sch1-Ann Cost Sav &amp; Pymts" xr:uid="{00000000-0004-0000-0000-000003000000}"/>
    <hyperlink ref="A11" location="'Sch1u-Ann Cost Sav &amp; Pymts-UESC'!A1" display="Sch1u-Ann Cost Sav &amp; Pymts-UESC" xr:uid="{00000000-0004-0000-0000-000004000000}"/>
    <hyperlink ref="A14" location="'Sch2a-Imp Price by ECM'!A1" display="Sch2a-Imp Price by ECM" xr:uid="{00000000-0004-0000-0000-000005000000}"/>
    <hyperlink ref="A15" location="'Sch2b-Project Imp Pricing'!A1" display="Sch2b-Project Imp Pricing" xr:uid="{00000000-0004-0000-0000-000006000000}"/>
    <hyperlink ref="A16:A18" location="'Sch3-Perf Period Cash Flow'!A1" display="Sch3-Perf Period Cash Flow" xr:uid="{00000000-0004-0000-0000-000007000000}"/>
    <hyperlink ref="A19" location="'Sch4-Cost Savings by ECM'!A1" display="Sch4-Cost Savings by ECM" xr:uid="{00000000-0004-0000-0000-000008000000}"/>
    <hyperlink ref="A21" location="'Sch5-Cancellation Ceilings'!A1" display="Sch5-Cancellation Ceilings" xr:uid="{00000000-0004-0000-0000-000009000000}"/>
    <hyperlink ref="A20" location="'Sch4g-GHG'!A1" display="Sch4g-GHG" xr:uid="{2142B8B3-AAC5-6242-8D00-60902115FD5C}"/>
  </hyperlinks>
  <pageMargins left="0.7" right="0.7" top="0.75" bottom="0.75" header="0.3" footer="0.3"/>
  <pageSetup orientation="portrait" r:id="rId2"/>
  <headerFooter>
    <oddFooter>&amp;C_x000D_&amp;1#&amp;"Calibri"&amp;6&amp;K626469 General</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J54"/>
  <sheetViews>
    <sheetView tabSelected="1" zoomScale="80" zoomScaleNormal="80" workbookViewId="0">
      <selection sqref="A1:G1"/>
    </sheetView>
  </sheetViews>
  <sheetFormatPr defaultColWidth="11" defaultRowHeight="16"/>
  <cols>
    <col min="1" max="1" width="17.33203125" style="17" customWidth="1"/>
    <col min="2" max="2" width="32.5" style="17" bestFit="1" customWidth="1"/>
    <col min="3" max="3" width="31.83203125" style="17" customWidth="1"/>
    <col min="4" max="4" width="29" style="17" customWidth="1"/>
    <col min="5" max="5" width="21.83203125" style="17" customWidth="1"/>
    <col min="6" max="6" width="32.33203125" style="17" customWidth="1"/>
    <col min="7" max="7" width="39.33203125" style="17" customWidth="1"/>
    <col min="8" max="8" width="14" style="17" customWidth="1"/>
    <col min="9" max="16384" width="11" style="17"/>
  </cols>
  <sheetData>
    <row r="1" spans="1:10" ht="20">
      <c r="A1" s="484" t="str">
        <f>"SUMMARY SCHEDULE"</f>
        <v>SUMMARY SCHEDULE</v>
      </c>
      <c r="B1" s="485"/>
      <c r="C1" s="485"/>
      <c r="D1" s="485"/>
      <c r="E1" s="485"/>
      <c r="F1" s="485"/>
      <c r="G1" s="486"/>
      <c r="H1" s="164"/>
      <c r="I1" s="147"/>
      <c r="J1" s="147"/>
    </row>
    <row r="2" spans="1:10" ht="20.5" thickBot="1">
      <c r="A2" s="487" t="s">
        <v>70</v>
      </c>
      <c r="B2" s="488"/>
      <c r="C2" s="488"/>
      <c r="D2" s="488"/>
      <c r="E2" s="488"/>
      <c r="F2" s="488"/>
      <c r="G2" s="489"/>
      <c r="H2" s="164"/>
      <c r="I2" s="147"/>
      <c r="J2" s="147"/>
    </row>
    <row r="3" spans="1:10" ht="18" thickBot="1">
      <c r="A3" s="49"/>
      <c r="B3" s="50"/>
      <c r="C3" s="50"/>
      <c r="D3" s="50"/>
      <c r="E3" s="50"/>
      <c r="F3" s="50"/>
      <c r="G3" s="51"/>
      <c r="H3" s="165"/>
      <c r="I3" s="147"/>
      <c r="J3" s="147"/>
    </row>
    <row r="4" spans="1:10" ht="47.5" customHeight="1" thickBot="1">
      <c r="A4" s="315" t="s">
        <v>369</v>
      </c>
      <c r="B4" s="373" t="s">
        <v>419</v>
      </c>
      <c r="C4" s="256"/>
      <c r="D4" s="375" t="str">
        <f>IF(C4="ESA", IF((COUNTIF('Sch2a-Imp Price by ECM'!C9:C258,"Yes")&gt;0),"","At least one ECM must be marked as an ESA on Schedule 2a, and isn't currently"),"")</f>
        <v/>
      </c>
      <c r="E4" s="58"/>
      <c r="F4" s="58"/>
      <c r="G4" s="58"/>
      <c r="H4" s="165"/>
      <c r="I4" s="147"/>
      <c r="J4" s="147"/>
    </row>
    <row r="5" spans="1:10" ht="18" thickBot="1">
      <c r="A5" s="60"/>
      <c r="B5" s="58"/>
      <c r="C5" s="58"/>
      <c r="D5" s="58"/>
      <c r="E5" s="58"/>
      <c r="F5" s="58"/>
      <c r="G5" s="58"/>
      <c r="H5" s="165"/>
      <c r="I5" s="147"/>
      <c r="J5" s="147"/>
    </row>
    <row r="6" spans="1:10" ht="18" thickBot="1">
      <c r="A6" s="481" t="s">
        <v>88</v>
      </c>
      <c r="B6" s="53" t="s">
        <v>232</v>
      </c>
      <c r="C6" s="53" t="s">
        <v>233</v>
      </c>
      <c r="D6" s="53" t="s">
        <v>234</v>
      </c>
      <c r="E6" s="53" t="s">
        <v>235</v>
      </c>
      <c r="F6" s="53" t="s">
        <v>236</v>
      </c>
      <c r="G6" s="53" t="s">
        <v>237</v>
      </c>
      <c r="H6" s="52"/>
      <c r="I6" s="52"/>
    </row>
    <row r="7" spans="1:10" ht="42.75" customHeight="1" thickBot="1">
      <c r="A7" s="482"/>
      <c r="B7" s="54" t="s">
        <v>157</v>
      </c>
      <c r="C7" s="237"/>
      <c r="D7" s="237"/>
      <c r="E7" s="222"/>
      <c r="F7" s="223"/>
      <c r="G7" s="221"/>
      <c r="H7" s="52"/>
      <c r="I7" s="52"/>
    </row>
    <row r="8" spans="1:10" ht="42.75" customHeight="1" thickBot="1">
      <c r="A8" s="482"/>
      <c r="B8" s="55" t="s">
        <v>416</v>
      </c>
      <c r="C8" s="237"/>
      <c r="D8" s="237"/>
      <c r="E8" s="222"/>
      <c r="F8" s="223"/>
      <c r="G8" s="221"/>
      <c r="H8" s="52"/>
      <c r="I8" s="52"/>
    </row>
    <row r="9" spans="1:10" ht="41.25" customHeight="1" thickBot="1">
      <c r="A9" s="482"/>
      <c r="B9" s="56" t="str">
        <f>IF(C4="UESC", "Utility","Contractor")</f>
        <v>Contractor</v>
      </c>
      <c r="C9" s="237"/>
      <c r="D9" s="237"/>
      <c r="E9" s="222"/>
      <c r="F9" s="223"/>
      <c r="G9" s="221"/>
      <c r="H9" s="52"/>
      <c r="I9" s="52"/>
    </row>
    <row r="10" spans="1:10" ht="45" customHeight="1" thickBot="1">
      <c r="A10" s="482"/>
      <c r="B10" s="56" t="str">
        <f>IF(C4="UESC", "Primary FEMP Contact","Finance Specialist")</f>
        <v>Finance Specialist</v>
      </c>
      <c r="C10" s="237"/>
      <c r="D10" s="237"/>
      <c r="E10" s="222"/>
      <c r="F10" s="223"/>
      <c r="G10" s="221"/>
      <c r="H10" s="52"/>
    </row>
    <row r="11" spans="1:10" ht="40.5" customHeight="1" thickBot="1">
      <c r="A11" s="483"/>
      <c r="B11" s="56" t="s">
        <v>139</v>
      </c>
      <c r="C11" s="237"/>
      <c r="D11" s="237"/>
      <c r="E11" s="222"/>
      <c r="F11" s="223"/>
      <c r="G11" s="221"/>
      <c r="H11" s="52"/>
    </row>
    <row r="12" spans="1:10" ht="18" thickBot="1">
      <c r="A12" s="57"/>
      <c r="B12" s="58"/>
      <c r="C12" s="58"/>
      <c r="D12" s="58"/>
      <c r="E12" s="58"/>
      <c r="F12" s="58"/>
      <c r="G12" s="59"/>
      <c r="H12" s="52"/>
    </row>
    <row r="13" spans="1:10" ht="18" customHeight="1" thickBot="1">
      <c r="A13" s="481" t="s">
        <v>90</v>
      </c>
      <c r="B13" s="492" t="s">
        <v>238</v>
      </c>
      <c r="C13" s="494"/>
      <c r="D13" s="60"/>
      <c r="E13" s="60"/>
      <c r="F13" s="490" t="s">
        <v>239</v>
      </c>
      <c r="G13" s="491"/>
    </row>
    <row r="14" spans="1:10" ht="27.5" thickBot="1">
      <c r="A14" s="499"/>
      <c r="B14" s="54" t="s">
        <v>198</v>
      </c>
      <c r="C14" s="227"/>
      <c r="D14" s="60"/>
      <c r="E14" s="60"/>
      <c r="F14" s="61" t="s">
        <v>227</v>
      </c>
      <c r="G14" s="224"/>
    </row>
    <row r="15" spans="1:10" ht="16.5" thickBot="1">
      <c r="A15" s="499"/>
      <c r="B15" s="54" t="s">
        <v>140</v>
      </c>
      <c r="C15" s="227"/>
      <c r="D15" s="60"/>
      <c r="E15" s="60"/>
      <c r="F15" s="62" t="s">
        <v>228</v>
      </c>
      <c r="G15" s="227"/>
    </row>
    <row r="16" spans="1:10" ht="27.5" thickBot="1">
      <c r="A16" s="499"/>
      <c r="B16" s="56" t="s">
        <v>211</v>
      </c>
      <c r="C16" s="144"/>
      <c r="D16" s="60"/>
      <c r="E16" s="60"/>
      <c r="F16" s="62" t="s">
        <v>137</v>
      </c>
      <c r="G16" s="306"/>
    </row>
    <row r="17" spans="1:9" ht="16.5" thickBot="1">
      <c r="A17" s="499"/>
      <c r="B17" s="63" t="s">
        <v>212</v>
      </c>
      <c r="C17" s="145"/>
      <c r="D17" s="60"/>
      <c r="E17" s="60"/>
      <c r="F17" s="62" t="s">
        <v>226</v>
      </c>
      <c r="G17" s="145"/>
      <c r="I17" s="105"/>
    </row>
    <row r="18" spans="1:9" ht="27.5" thickBot="1">
      <c r="A18" s="499"/>
      <c r="B18" s="63" t="s">
        <v>213</v>
      </c>
      <c r="C18" s="145"/>
      <c r="D18" s="60"/>
      <c r="E18" s="60"/>
      <c r="F18" s="64" t="s">
        <v>225</v>
      </c>
      <c r="G18" s="226"/>
      <c r="I18" s="105"/>
    </row>
    <row r="19" spans="1:9" ht="47.25" customHeight="1" thickBot="1">
      <c r="A19" s="499"/>
      <c r="B19" s="55" t="s">
        <v>214</v>
      </c>
      <c r="C19" s="259"/>
      <c r="D19" s="60"/>
      <c r="E19" s="60"/>
      <c r="F19" s="61" t="s">
        <v>136</v>
      </c>
      <c r="G19" s="226"/>
      <c r="I19" s="105"/>
    </row>
    <row r="20" spans="1:9" ht="16.5" thickBot="1">
      <c r="A20" s="499"/>
      <c r="B20" s="156" t="s">
        <v>199</v>
      </c>
      <c r="C20" s="237"/>
      <c r="D20" s="60"/>
      <c r="E20" s="60"/>
      <c r="F20" s="160" t="s">
        <v>224</v>
      </c>
      <c r="G20" s="225"/>
      <c r="I20" s="105"/>
    </row>
    <row r="21" spans="1:9" ht="16.5" thickBot="1">
      <c r="A21" s="500"/>
      <c r="B21" s="153" t="s">
        <v>197</v>
      </c>
      <c r="C21" s="227"/>
      <c r="D21" s="60"/>
      <c r="E21" s="60"/>
      <c r="F21" s="421" t="s">
        <v>594</v>
      </c>
      <c r="G21" s="240"/>
      <c r="I21" s="105"/>
    </row>
    <row r="22" spans="1:9" ht="16.5" thickBot="1">
      <c r="A22" s="501"/>
      <c r="B22" s="153" t="s">
        <v>230</v>
      </c>
      <c r="C22" s="227"/>
      <c r="D22" s="89"/>
      <c r="E22" s="60"/>
      <c r="F22" s="60"/>
      <c r="G22" s="67"/>
      <c r="I22" s="105"/>
    </row>
    <row r="23" spans="1:9">
      <c r="A23" s="502"/>
      <c r="B23" s="60"/>
      <c r="C23" s="60"/>
      <c r="D23" s="60"/>
      <c r="E23" s="60"/>
      <c r="F23" s="60"/>
      <c r="G23" s="67"/>
      <c r="I23" s="105"/>
    </row>
    <row r="24" spans="1:9" ht="16.5" thickBot="1">
      <c r="A24" s="503"/>
      <c r="B24" s="68"/>
      <c r="C24" s="69"/>
      <c r="D24" s="60"/>
      <c r="E24" s="60"/>
      <c r="F24" s="60"/>
      <c r="G24" s="67"/>
      <c r="I24" s="105"/>
    </row>
    <row r="25" spans="1:9" ht="16.5" thickBot="1">
      <c r="A25" s="481" t="s">
        <v>86</v>
      </c>
      <c r="B25" s="495" t="s">
        <v>241</v>
      </c>
      <c r="C25" s="496"/>
      <c r="D25" s="57"/>
      <c r="E25" s="60"/>
      <c r="F25" s="492" t="s">
        <v>240</v>
      </c>
      <c r="G25" s="493"/>
      <c r="I25" s="105"/>
    </row>
    <row r="26" spans="1:9" ht="27.5" thickBot="1">
      <c r="A26" s="482"/>
      <c r="B26" s="114" t="s">
        <v>215</v>
      </c>
      <c r="C26" s="227"/>
      <c r="D26" s="60"/>
      <c r="E26" s="60"/>
      <c r="F26" s="54" t="s">
        <v>283</v>
      </c>
      <c r="G26" s="131">
        <f>'Sch2a-Imp Price by ECM'!L259</f>
        <v>0</v>
      </c>
      <c r="I26" s="105"/>
    </row>
    <row r="27" spans="1:9" ht="42.5" thickBot="1">
      <c r="A27" s="482"/>
      <c r="B27" s="115" t="s">
        <v>326</v>
      </c>
      <c r="C27" s="249" t="str">
        <f>IF('Summary Schedule'!$D$36="Annual",'Amortization-HIDDEN'!D11,IF('Summary Schedule'!$D$36="Quarter",'Amortization-HIDDEN-Q'!D11,IF('Summary Schedule'!$D$36="Biannual",'Amortization-HIDDEN-B'!D11,IF('Summary Schedule'!$D$36="Month",'Amortization-HIDDEN-M'!D11,""))))</f>
        <v/>
      </c>
      <c r="D27" s="60"/>
      <c r="E27" s="60"/>
      <c r="F27" s="161" t="s">
        <v>284</v>
      </c>
      <c r="G27" s="232"/>
      <c r="I27" s="105"/>
    </row>
    <row r="28" spans="1:9" ht="28.5" thickBot="1">
      <c r="A28" s="482"/>
      <c r="B28" s="157" t="s">
        <v>216</v>
      </c>
      <c r="C28" s="228"/>
      <c r="D28" s="60"/>
      <c r="E28" s="60"/>
      <c r="F28" s="161" t="s">
        <v>285</v>
      </c>
      <c r="G28" s="232"/>
      <c r="I28" s="105"/>
    </row>
    <row r="29" spans="1:9" ht="28.5" thickBot="1">
      <c r="A29" s="482"/>
      <c r="B29" s="157" t="s">
        <v>217</v>
      </c>
      <c r="C29" s="228"/>
      <c r="D29" s="60"/>
      <c r="E29" s="60"/>
      <c r="F29" s="65" t="s">
        <v>223</v>
      </c>
      <c r="G29" s="129">
        <f xml:space="preserve"> IF(C4="ESA", IF('Sch1ee-Ann Cost Sav &amp; Pymts'!D6=0,0,'Sch1ee-Ann Cost Sav &amp; Pymts'!D6),IF(C4="UESC", IF('Sch1u-Ann Cost Sav &amp; Pymts'!C6=0,0,'Sch1u-Ann Cost Sav &amp; Pymts'!C6),
 IF('Sch1-Ann Cost Sav &amp; Pymts'!D6=0,0,'Sch1-Ann Cost Sav &amp; Pymts'!D6)))</f>
        <v>0</v>
      </c>
      <c r="I29" s="105"/>
    </row>
    <row r="30" spans="1:9" ht="27.5" thickBot="1">
      <c r="A30" s="482"/>
      <c r="B30" s="116" t="s">
        <v>218</v>
      </c>
      <c r="C30" s="127">
        <f>SUM(C28:C29)</f>
        <v>0</v>
      </c>
      <c r="D30" s="60"/>
      <c r="E30" s="60"/>
      <c r="F30" s="66" t="s">
        <v>385</v>
      </c>
      <c r="G30" s="130">
        <f>G26+G27+G28-G29</f>
        <v>0</v>
      </c>
      <c r="I30" s="105"/>
    </row>
    <row r="31" spans="1:9" ht="27.5" thickBot="1">
      <c r="A31" s="482"/>
      <c r="B31" s="114" t="s">
        <v>219</v>
      </c>
      <c r="C31" s="229"/>
      <c r="D31" s="60"/>
      <c r="E31" s="60"/>
      <c r="F31" s="66" t="s">
        <v>296</v>
      </c>
      <c r="G31" s="232"/>
    </row>
    <row r="32" spans="1:9" ht="32.25" customHeight="1" thickBot="1">
      <c r="A32" s="482"/>
      <c r="B32" s="158" t="s">
        <v>379</v>
      </c>
      <c r="C32" s="229"/>
      <c r="D32" s="60"/>
      <c r="E32" s="60"/>
      <c r="F32" s="66" t="s">
        <v>327</v>
      </c>
      <c r="G32" s="247" t="str">
        <f>IF(C32="","",DATE(YEAR(C32),MONTH(C32)+G20,DAY(C32)))</f>
        <v/>
      </c>
    </row>
    <row r="33" spans="1:10" ht="16.5" thickBot="1">
      <c r="A33" s="482"/>
      <c r="B33" s="117" t="s">
        <v>220</v>
      </c>
      <c r="C33" s="229"/>
      <c r="D33" s="60"/>
      <c r="E33" s="60"/>
      <c r="F33" s="60"/>
      <c r="G33" s="67"/>
    </row>
    <row r="34" spans="1:10" ht="27.5" thickBot="1">
      <c r="A34" s="482"/>
      <c r="B34" s="117" t="s">
        <v>221</v>
      </c>
      <c r="C34" s="230"/>
      <c r="D34" s="60"/>
      <c r="E34" s="60"/>
      <c r="F34" s="492" t="s">
        <v>242</v>
      </c>
      <c r="G34" s="493"/>
    </row>
    <row r="35" spans="1:10" ht="27.5" thickBot="1">
      <c r="A35" s="482"/>
      <c r="B35" s="117" t="s">
        <v>222</v>
      </c>
      <c r="C35" s="230"/>
      <c r="D35" s="60"/>
      <c r="E35" s="60"/>
      <c r="F35" s="152" t="s">
        <v>195</v>
      </c>
      <c r="G35" s="213" t="str">
        <f>IF(C4="ESA",
IF('Sch1esa-ESA Pymts'!B5=0,"",IF('Sch4-Cost Savings by ECM'!Z258+(('Sch1esa-ESA Pymts'!C9/'Sch1esa-ESA Pymts'!B5)*0.003412)=0,"",'Sch4-Cost Savings by ECM'!Z258+(('Sch1esa-ESA Pymts'!C9/'Sch1esa-ESA Pymts'!B5)*0.003412))),
IF('Sch4-Cost Savings by ECM'!Z258=0,"",'Sch4-Cost Savings by ECM'!Z258))</f>
        <v/>
      </c>
      <c r="J35" s="17" t="str">
        <f>IF(ISNA(G35),G35,"")</f>
        <v/>
      </c>
    </row>
    <row r="36" spans="1:10" ht="27.5" thickBot="1">
      <c r="A36" s="483"/>
      <c r="B36" s="158" t="s">
        <v>378</v>
      </c>
      <c r="C36" s="231"/>
      <c r="D36" s="231"/>
      <c r="E36" s="60"/>
      <c r="F36" s="152" t="s">
        <v>196</v>
      </c>
      <c r="G36" s="213" t="str">
        <f>IF('Sch4-Cost Savings by ECM'!AB258=0,"",'Sch4-Cost Savings by ECM'!AB258)</f>
        <v/>
      </c>
      <c r="H36" s="90"/>
    </row>
    <row r="37" spans="1:10" ht="16.5" thickBot="1">
      <c r="A37" s="57"/>
      <c r="B37" s="60"/>
      <c r="C37" s="60"/>
      <c r="D37" s="60"/>
      <c r="E37" s="60"/>
      <c r="F37" s="152" t="s">
        <v>194</v>
      </c>
      <c r="G37" s="372" t="str">
        <f ca="1">IF(C4="ESA",
IF('Sch1esa-ESA Pymts'!B6=0,"",IF('Sch1ee-Ann Cost Sav &amp; Pymts'!B49+'Sch1ee-Ann Cost Sav &amp; Pymts'!B6+('Sch1esa-ESA Pymts'!E35/'Sch1esa-ESA Pymts'!B6)=0,"",'Sch1ee-Ann Cost Sav &amp; Pymts'!B49+'Sch1ee-Ann Cost Sav &amp; Pymts'!B6+('Sch1esa-ESA Pymts'!E35/'Sch1esa-ESA Pymts'!B6))),
IF(C4="UESC",
IF('Sch1u-Ann Cost Sav &amp; Pymts'!B49+'Sch1u-Ann Cost Sav &amp; Pymts'!B6=0,"",'Sch1u-Ann Cost Sav &amp; Pymts'!B49+'Sch1u-Ann Cost Sav &amp; Pymts'!B6),
IF('Sch1-Ann Cost Sav &amp; Pymts'!B49+'Sch1-Ann Cost Sav &amp; Pymts'!B6=0,"",'Sch1-Ann Cost Sav &amp; Pymts'!B49+'Sch1-Ann Cost Sav &amp; Pymts'!B6)))</f>
        <v/>
      </c>
    </row>
    <row r="38" spans="1:10" ht="28.5" thickBot="1">
      <c r="A38" s="481" t="s">
        <v>89</v>
      </c>
      <c r="B38" s="159" t="str">
        <f>IF('Summary Schedule'!C4="UESC", "% Savings Devoted to Payments*", "Guarantee % of Estimated Savings*")</f>
        <v>Guarantee % of Estimated Savings*</v>
      </c>
      <c r="C38" s="233"/>
      <c r="D38" s="60"/>
      <c r="E38" s="60"/>
      <c r="F38" s="152" t="s">
        <v>192</v>
      </c>
      <c r="G38" s="372" t="str">
        <f ca="1">IF(C4="ESA",
IF('Sch1ee-Ann Cost Sav &amp; Pymts'!C52=0,"",'Sch1ee-Ann Cost Sav &amp; Pymts'!C52),
IF(C4="UESC",0,
IF('Sch1-Ann Cost Sav &amp; Pymts'!C52=0,"",'Sch1-Ann Cost Sav &amp; Pymts'!C52)))</f>
        <v/>
      </c>
    </row>
    <row r="39" spans="1:10" ht="16.5" thickBot="1">
      <c r="A39" s="482"/>
      <c r="B39" s="55" t="s">
        <v>143</v>
      </c>
      <c r="C39" s="128"/>
      <c r="D39" s="60"/>
      <c r="E39" s="60"/>
      <c r="F39" s="63" t="s">
        <v>193</v>
      </c>
      <c r="G39" s="163" t="str">
        <f ca="1">IF(C4="ESA",
IF('Sch1ee-Ann Cost Sav &amp; Pymts'!D52=0,"",'Sch1ee-Ann Cost Sav &amp; Pymts'!D52),
IF(C4="UESC",
IF('Sch1u-Ann Cost Sav &amp; Pymts'!C52=0,"",'Sch1u-Ann Cost Sav &amp; Pymts'!C52),
IF('Sch1-Ann Cost Sav &amp; Pymts'!D52=0,"",'Sch1-Ann Cost Sav &amp; Pymts'!D52)))</f>
        <v/>
      </c>
    </row>
    <row r="40" spans="1:10" ht="16.5" thickBot="1">
      <c r="A40" s="482"/>
      <c r="B40" s="118" t="s">
        <v>133</v>
      </c>
      <c r="C40" s="304"/>
      <c r="D40" s="60"/>
      <c r="E40" s="60"/>
      <c r="F40" s="60"/>
      <c r="G40" s="67"/>
    </row>
    <row r="41" spans="1:10" ht="30" customHeight="1" thickBot="1">
      <c r="A41" s="482"/>
      <c r="B41" s="118" t="s">
        <v>134</v>
      </c>
      <c r="C41" s="304"/>
      <c r="D41" s="60"/>
      <c r="E41" s="60"/>
      <c r="F41" s="497" t="s">
        <v>231</v>
      </c>
      <c r="G41" s="498"/>
    </row>
    <row r="42" spans="1:10" ht="37" customHeight="1" thickBot="1">
      <c r="A42" s="483"/>
      <c r="B42" s="118" t="s">
        <v>135</v>
      </c>
      <c r="C42" s="305"/>
      <c r="D42" s="60"/>
      <c r="E42" s="60"/>
      <c r="F42" s="250" t="str">
        <f>IFERROR(IF(C27&gt;0,(IF(VLOOKUP(C27,'Sch1-Ann Cost Sav &amp; Pymts'!A9:D33,3)=VLOOKUP(C27,'Sch1-Ann Cost Sav &amp; Pymts'!A9:D33,4)+1,"Contract term exceeded the stipulated 25 years","")),""),"")</f>
        <v/>
      </c>
      <c r="G42" s="251" t="str">
        <f>IF(C27="","",(IF(C27+G20/12&gt;=25,"Contract Term Exceeds the 25 Year Term","")))</f>
        <v/>
      </c>
    </row>
    <row r="43" spans="1:10" ht="16.5" thickBot="1">
      <c r="A43" s="49"/>
      <c r="B43" s="70"/>
      <c r="C43" s="71"/>
      <c r="D43" s="60"/>
      <c r="E43" s="60"/>
      <c r="F43" s="252"/>
      <c r="G43" s="253"/>
    </row>
    <row r="44" spans="1:10" ht="16.5" thickBot="1">
      <c r="A44" s="318"/>
      <c r="B44" s="319"/>
      <c r="C44" s="320"/>
      <c r="D44" s="318"/>
      <c r="E44" s="318"/>
      <c r="F44" s="318"/>
      <c r="G44" s="321"/>
    </row>
    <row r="45" spans="1:10" ht="17.25" customHeight="1">
      <c r="A45" s="511" t="s">
        <v>15</v>
      </c>
      <c r="B45" s="512"/>
      <c r="C45" s="512"/>
      <c r="D45" s="512"/>
      <c r="E45" s="512"/>
      <c r="F45" s="512"/>
      <c r="G45" s="513"/>
    </row>
    <row r="46" spans="1:10" ht="17.25" customHeight="1">
      <c r="A46" s="514" t="s">
        <v>288</v>
      </c>
      <c r="B46" s="515"/>
      <c r="C46" s="515"/>
      <c r="D46" s="515"/>
      <c r="E46" s="515"/>
      <c r="F46" s="515"/>
      <c r="G46" s="516"/>
    </row>
    <row r="47" spans="1:10" ht="17.25" customHeight="1">
      <c r="A47" s="514" t="s">
        <v>386</v>
      </c>
      <c r="B47" s="515"/>
      <c r="C47" s="515"/>
      <c r="D47" s="515"/>
      <c r="E47" s="515"/>
      <c r="F47" s="515"/>
      <c r="G47" s="516"/>
    </row>
    <row r="48" spans="1:10" ht="17.25" customHeight="1">
      <c r="A48" s="514" t="s">
        <v>338</v>
      </c>
      <c r="B48" s="515"/>
      <c r="C48" s="515"/>
      <c r="D48" s="515"/>
      <c r="E48" s="515"/>
      <c r="F48" s="515"/>
      <c r="G48" s="516"/>
    </row>
    <row r="49" spans="1:7" ht="30" customHeight="1">
      <c r="A49" s="517" t="s">
        <v>353</v>
      </c>
      <c r="B49" s="518"/>
      <c r="C49" s="518"/>
      <c r="D49" s="518"/>
      <c r="E49" s="518"/>
      <c r="F49" s="518"/>
      <c r="G49" s="519"/>
    </row>
    <row r="50" spans="1:7" ht="19.5" customHeight="1" thickBot="1">
      <c r="A50" s="510" t="str">
        <f>IF(C4="UESC","","(5) Guaranteed % of Estimated Savings is share of project estimated savings that ESCO is guaranteeing.")</f>
        <v>(5) Guaranteed % of Estimated Savings is share of project estimated savings that ESCO is guaranteeing.</v>
      </c>
      <c r="B50" s="508"/>
      <c r="C50" s="508"/>
      <c r="D50" s="508"/>
      <c r="E50" s="508"/>
      <c r="F50" s="508"/>
      <c r="G50" s="509"/>
    </row>
    <row r="51" spans="1:7" ht="16" customHeight="1">
      <c r="A51" s="504" t="s">
        <v>173</v>
      </c>
      <c r="B51" s="505"/>
      <c r="C51" s="505"/>
      <c r="D51" s="505"/>
      <c r="E51" s="505"/>
      <c r="F51" s="505"/>
      <c r="G51" s="506"/>
    </row>
    <row r="52" spans="1:7" ht="78" customHeight="1" thickBot="1">
      <c r="A52" s="507"/>
      <c r="B52" s="508"/>
      <c r="C52" s="508"/>
      <c r="D52" s="508"/>
      <c r="E52" s="508"/>
      <c r="F52" s="508"/>
      <c r="G52" s="509"/>
    </row>
    <row r="53" spans="1:7">
      <c r="A53" s="313" t="s">
        <v>611</v>
      </c>
    </row>
    <row r="54" spans="1:7">
      <c r="A54" s="314" t="s">
        <v>613</v>
      </c>
    </row>
  </sheetData>
  <sheetProtection algorithmName="SHA-512" hashValue="Avgo/jM+LUNxFSOSrF+1JbUk7CwAwHYfeGTalfzF1lZpmsIgVXsnmYfmkyGcTLu2Yz69r8Hbynj9Pxe6HYaABg==" saltValue="4lNJxSsBsfaQzoCe4pUS3w==" spinCount="100000" sheet="1" objects="1" scenarios="1"/>
  <mergeCells count="21">
    <mergeCell ref="A51:G51"/>
    <mergeCell ref="A52:G52"/>
    <mergeCell ref="A50:G50"/>
    <mergeCell ref="A45:G45"/>
    <mergeCell ref="A47:G47"/>
    <mergeCell ref="A49:G49"/>
    <mergeCell ref="A46:G46"/>
    <mergeCell ref="A48:G48"/>
    <mergeCell ref="A6:A11"/>
    <mergeCell ref="A25:A36"/>
    <mergeCell ref="A38:A42"/>
    <mergeCell ref="A1:G1"/>
    <mergeCell ref="A2:G2"/>
    <mergeCell ref="F13:G13"/>
    <mergeCell ref="F25:G25"/>
    <mergeCell ref="B13:C13"/>
    <mergeCell ref="B25:C25"/>
    <mergeCell ref="F41:G41"/>
    <mergeCell ref="F34:G34"/>
    <mergeCell ref="A13:A22"/>
    <mergeCell ref="A23:A24"/>
  </mergeCells>
  <phoneticPr fontId="5" type="noConversion"/>
  <conditionalFormatting sqref="C4">
    <cfRule type="containsText" dxfId="23" priority="11" operator="containsText" text="UESC">
      <formula>NOT(ISERROR(SEARCH("UESC",C4)))</formula>
    </cfRule>
    <cfRule type="containsText" dxfId="22" priority="12" operator="containsText" text="ESA">
      <formula>NOT(ISERROR(SEARCH("ESA",C4)))</formula>
    </cfRule>
    <cfRule type="containsText" dxfId="21" priority="13" operator="containsText" text="Direct-Funded">
      <formula>NOT(ISERROR(SEARCH("Direct-Funded",C4)))</formula>
    </cfRule>
    <cfRule type="containsText" dxfId="20" priority="14" operator="containsText" text="UESC">
      <formula>NOT(ISERROR(SEARCH("UESC",C4)))</formula>
    </cfRule>
    <cfRule type="containsText" dxfId="19" priority="15" operator="containsText" text="ESA">
      <formula>NOT(ISERROR(SEARCH("ESA",C4)))</formula>
    </cfRule>
    <cfRule type="containsText" dxfId="18" priority="16" operator="containsText" text="Direct-Funded">
      <formula>NOT(ISERROR(SEARCH("Direct-Funded",C4)))</formula>
    </cfRule>
  </conditionalFormatting>
  <conditionalFormatting sqref="C28">
    <cfRule type="expression" dxfId="17" priority="7">
      <formula>$C4="Direct-Funded"</formula>
    </cfRule>
  </conditionalFormatting>
  <conditionalFormatting sqref="C29">
    <cfRule type="expression" dxfId="16" priority="6">
      <formula>$C4="Direct-Funded"</formula>
    </cfRule>
  </conditionalFormatting>
  <conditionalFormatting sqref="C10:G11">
    <cfRule type="expression" dxfId="15" priority="4">
      <formula>$C4="Direct-Funded"</formula>
    </cfRule>
  </conditionalFormatting>
  <conditionalFormatting sqref="D4">
    <cfRule type="expression" dxfId="14" priority="1">
      <formula>$C$4="ESA"</formula>
    </cfRule>
  </conditionalFormatting>
  <dataValidations xWindow="529" yWindow="563" count="21">
    <dataValidation type="whole" allowBlank="1" showInputMessage="1" showErrorMessage="1" error="Please enter a number" sqref="G15" xr:uid="{00000000-0002-0000-0100-000000000000}">
      <formula1>1</formula1>
      <formula2>250</formula2>
    </dataValidation>
    <dataValidation type="date" operator="greaterThan" allowBlank="1" showInputMessage="1" showErrorMessage="1" error="Enter date format (mm/dd/yyyy)" sqref="C32:C33" xr:uid="{00000000-0002-0000-0100-000001000000}">
      <formula1>36526</formula1>
    </dataValidation>
    <dataValidation type="textLength" operator="equal" allowBlank="1" showInputMessage="1" showErrorMessage="1" error="Please enter a phone number as 10 digits." sqref="G7:G11" xr:uid="{00000000-0002-0000-0100-000002000000}">
      <formula1>10</formula1>
    </dataValidation>
    <dataValidation allowBlank="1" sqref="B8" xr:uid="{00000000-0002-0000-0100-000003000000}"/>
    <dataValidation type="decimal" allowBlank="1" showInputMessage="1" showErrorMessage="1" error="Please enter a percentage between 0 and 100%." sqref="C38" xr:uid="{00000000-0002-0000-0100-000004000000}">
      <formula1>0</formula1>
      <formula2>10</formula2>
    </dataValidation>
    <dataValidation operator="lessThan" allowBlank="1" showInputMessage="1" showErrorMessage="1" sqref="C10:C11 C7" xr:uid="{00000000-0002-0000-0100-000005000000}"/>
    <dataValidation type="whole" allowBlank="1" showInputMessage="1" showErrorMessage="1" error="Please enter a valid value" sqref="I33:I36" xr:uid="{00000000-0002-0000-0100-000006000000}">
      <formula1>0</formula1>
      <formula2>1000000000</formula2>
    </dataValidation>
    <dataValidation type="whole" showInputMessage="1" showErrorMessage="1" error="Enter a number" sqref="G28" xr:uid="{00000000-0002-0000-0100-000007000000}">
      <formula1>0</formula1>
      <formula2>1000000000</formula2>
    </dataValidation>
    <dataValidation type="whole" allowBlank="1" showInputMessage="1" showErrorMessage="1" error="Please enter a number" sqref="G20" xr:uid="{00000000-0002-0000-0100-000008000000}">
      <formula1>1</formula1>
      <formula2>60</formula2>
    </dataValidation>
    <dataValidation type="list" allowBlank="1" showInputMessage="1" showErrorMessage="1" sqref="C36" xr:uid="{00000000-0002-0000-0100-000009000000}">
      <formula1>"Beginning, End"</formula1>
    </dataValidation>
    <dataValidation allowBlank="1" showInputMessage="1" sqref="B9" xr:uid="{00000000-0002-0000-0100-00000A000000}"/>
    <dataValidation type="decimal" allowBlank="1" showInputMessage="1" showErrorMessage="1" errorTitle="Input Data Error" error="Enter a percentage between 0 and 100" sqref="C28:C29" xr:uid="{00000000-0002-0000-0100-00000B000000}">
      <formula1>0</formula1>
      <formula2>1</formula2>
    </dataValidation>
    <dataValidation operator="greaterThan" allowBlank="1" showInputMessage="1" showErrorMessage="1" sqref="G32" xr:uid="{00000000-0002-0000-0100-00000C000000}"/>
    <dataValidation type="list" allowBlank="1" showInputMessage="1" showErrorMessage="1" sqref="D36" xr:uid="{00000000-0002-0000-0100-00000D000000}">
      <formula1>"Annual, Biannual, Quarter, Month"</formula1>
    </dataValidation>
    <dataValidation type="list" allowBlank="1" showInputMessage="1" showErrorMessage="1" sqref="C35" xr:uid="{00000000-0002-0000-0100-00000E000000}">
      <formula1>"Appropriation/Cash,Grant,Loan (ESCO),Loan (Customer),State/Local Bond,Lease,Loan (Utility),Other"</formula1>
    </dataValidation>
    <dataValidation type="list" allowBlank="1" showInputMessage="1" showErrorMessage="1" sqref="C4" xr:uid="{00000000-0002-0000-0100-00000F000000}">
      <formula1>" Guaranteed Savings, Shared Savings, UESC, PPA, ESA, Direct-funded, Build-Own-Operate/Chauffage, Other"</formula1>
    </dataValidation>
    <dataValidation type="list" allowBlank="1" showInputMessage="1" showErrorMessage="1" sqref="C34" xr:uid="{00000000-0002-0000-0100-000010000000}">
      <formula1>"Appropriation/Cash,Grant,Loan (ESCO),Loan (Customer),State/Local Bond,Lease,Other"</formula1>
    </dataValidation>
    <dataValidation type="list" allowBlank="1" showInputMessage="1" showErrorMessage="1" sqref="G21" xr:uid="{AA7C1EEB-D231-1D49-890A-24D7F5FCE451}">
      <formula1>"FEMP 2.2, FEMP 3.0, FEMP 4.0, FEMP 5.0, IPMVP, Other"</formula1>
    </dataValidation>
    <dataValidation type="date" operator="greaterThan" allowBlank="1" showInputMessage="1" showErrorMessage="1" error="Enter date format mm/dd/yyyy" sqref="C31" xr:uid="{DFB84E93-62EB-4829-8095-80687F61A890}">
      <formula1>36526</formula1>
    </dataValidation>
    <dataValidation type="whole" allowBlank="1" showInputMessage="1" showErrorMessage="1" error="Enter a number" sqref="G31 G27" xr:uid="{EF67C48E-F01F-4C3F-AB10-382A35981CC4}">
      <formula1>0</formula1>
      <formula2>1000000000</formula2>
    </dataValidation>
    <dataValidation type="whole" allowBlank="1" showInputMessage="1" showErrorMessage="1" error="Please enter a number" sqref="G18:G19" xr:uid="{A79C40E0-9225-42F6-B861-EDCEC0E0D007}">
      <formula1>0</formula1>
      <formula2>1000000000</formula2>
    </dataValidation>
  </dataValidations>
  <pageMargins left="0.75" right="0.75" top="1" bottom="1" header="0.5" footer="0.5"/>
  <pageSetup scale="45" orientation="portrait" horizontalDpi="4294967292" verticalDpi="4294967292" r:id="rId1"/>
  <headerFooter>
    <oddFooter>&amp;C_x000D_&amp;1#&amp;"Calibri"&amp;6&amp;K626469 General</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K53"/>
  <sheetViews>
    <sheetView zoomScale="90" zoomScaleNormal="90" zoomScalePageLayoutView="125" workbookViewId="0">
      <selection sqref="A1:J2"/>
    </sheetView>
  </sheetViews>
  <sheetFormatPr defaultColWidth="8.83203125" defaultRowHeight="15.5"/>
  <cols>
    <col min="1" max="1" width="35" customWidth="1"/>
    <col min="2" max="2" width="10" customWidth="1"/>
    <col min="3" max="3" width="10.5" customWidth="1"/>
    <col min="4" max="4" width="11.33203125" customWidth="1"/>
    <col min="5" max="5" width="15" customWidth="1"/>
    <col min="6" max="6" width="15" bestFit="1" customWidth="1"/>
    <col min="7" max="7" width="9" customWidth="1"/>
    <col min="8" max="8" width="13" customWidth="1"/>
    <col min="9" max="9" width="8.5" customWidth="1"/>
    <col min="10" max="10" width="16.33203125" customWidth="1"/>
    <col min="11" max="11" width="42" customWidth="1"/>
  </cols>
  <sheetData>
    <row r="1" spans="1:11" ht="20.25" customHeight="1">
      <c r="A1" s="527" t="s">
        <v>110</v>
      </c>
      <c r="B1" s="528"/>
      <c r="C1" s="528"/>
      <c r="D1" s="528"/>
      <c r="E1" s="528"/>
      <c r="F1" s="528"/>
      <c r="G1" s="528"/>
      <c r="H1" s="528"/>
      <c r="I1" s="528"/>
      <c r="J1" s="529"/>
    </row>
    <row r="2" spans="1:11" ht="21" customHeight="1" thickBot="1">
      <c r="A2" s="530"/>
      <c r="B2" s="531"/>
      <c r="C2" s="531"/>
      <c r="D2" s="531"/>
      <c r="E2" s="531"/>
      <c r="F2" s="531"/>
      <c r="G2" s="531"/>
      <c r="H2" s="531"/>
      <c r="I2" s="531"/>
      <c r="J2" s="532"/>
    </row>
    <row r="3" spans="1:11" ht="16.5" thickBot="1">
      <c r="A3" s="84"/>
      <c r="B3" s="85"/>
      <c r="C3" s="85"/>
      <c r="D3" s="85"/>
      <c r="E3" s="85"/>
      <c r="F3" s="85"/>
      <c r="G3" s="85"/>
      <c r="H3" s="85"/>
      <c r="I3" s="85"/>
      <c r="J3" s="86"/>
    </row>
    <row r="4" spans="1:11" ht="69" customHeight="1" thickBot="1">
      <c r="A4" s="88" t="s">
        <v>109</v>
      </c>
      <c r="B4" s="88" t="s">
        <v>56</v>
      </c>
      <c r="C4" s="88" t="s">
        <v>57</v>
      </c>
      <c r="D4" s="88" t="s">
        <v>45</v>
      </c>
      <c r="E4" s="120" t="s">
        <v>141</v>
      </c>
      <c r="F4" s="120" t="s">
        <v>142</v>
      </c>
      <c r="G4" s="88" t="s">
        <v>46</v>
      </c>
      <c r="H4" s="88" t="s">
        <v>609</v>
      </c>
      <c r="I4" s="88" t="s">
        <v>47</v>
      </c>
      <c r="J4" s="88" t="s">
        <v>368</v>
      </c>
    </row>
    <row r="5" spans="1:11" ht="16.5" thickBot="1">
      <c r="A5" s="109" t="s">
        <v>144</v>
      </c>
      <c r="B5" s="239"/>
      <c r="C5" s="239"/>
      <c r="D5" s="239"/>
      <c r="E5" s="239"/>
      <c r="F5" s="239"/>
      <c r="G5" s="239"/>
      <c r="H5" s="239"/>
      <c r="I5" s="239"/>
      <c r="J5" s="239"/>
    </row>
    <row r="6" spans="1:11" ht="16.5" thickBot="1">
      <c r="A6" s="87">
        <v>2</v>
      </c>
      <c r="B6" s="239"/>
      <c r="C6" s="239"/>
      <c r="D6" s="239"/>
      <c r="E6" s="239"/>
      <c r="F6" s="239"/>
      <c r="G6" s="239"/>
      <c r="H6" s="239"/>
      <c r="I6" s="239"/>
      <c r="J6" s="239"/>
    </row>
    <row r="7" spans="1:11" ht="17" thickBot="1">
      <c r="A7" s="87">
        <v>3</v>
      </c>
      <c r="B7" s="239"/>
      <c r="C7" s="239"/>
      <c r="D7" s="239"/>
      <c r="E7" s="239"/>
      <c r="F7" s="239"/>
      <c r="G7" s="239"/>
      <c r="H7" s="239"/>
      <c r="I7" s="239"/>
      <c r="J7" s="239"/>
      <c r="K7" s="113"/>
    </row>
    <row r="8" spans="1:11" ht="16.5" thickBot="1">
      <c r="A8" s="87">
        <v>4</v>
      </c>
      <c r="B8" s="239"/>
      <c r="C8" s="239"/>
      <c r="D8" s="239"/>
      <c r="E8" s="239"/>
      <c r="F8" s="239"/>
      <c r="G8" s="239"/>
      <c r="H8" s="239"/>
      <c r="I8" s="239"/>
      <c r="J8" s="239"/>
    </row>
    <row r="9" spans="1:11" ht="16.5" thickBot="1">
      <c r="A9" s="87">
        <v>5</v>
      </c>
      <c r="B9" s="239"/>
      <c r="C9" s="239"/>
      <c r="D9" s="239"/>
      <c r="E9" s="239"/>
      <c r="F9" s="239"/>
      <c r="G9" s="239"/>
      <c r="H9" s="239"/>
      <c r="I9" s="239"/>
      <c r="J9" s="239"/>
    </row>
    <row r="10" spans="1:11" ht="16.5" thickBot="1">
      <c r="A10" s="87">
        <v>6</v>
      </c>
      <c r="B10" s="239"/>
      <c r="C10" s="239"/>
      <c r="D10" s="239"/>
      <c r="E10" s="239"/>
      <c r="F10" s="239"/>
      <c r="G10" s="239"/>
      <c r="H10" s="239"/>
      <c r="I10" s="239"/>
      <c r="J10" s="239"/>
    </row>
    <row r="11" spans="1:11" ht="16.5" thickBot="1">
      <c r="A11" s="87">
        <v>7</v>
      </c>
      <c r="B11" s="239"/>
      <c r="C11" s="239"/>
      <c r="D11" s="239"/>
      <c r="E11" s="239"/>
      <c r="F11" s="239"/>
      <c r="G11" s="239"/>
      <c r="H11" s="239"/>
      <c r="I11" s="239"/>
      <c r="J11" s="239"/>
    </row>
    <row r="12" spans="1:11" ht="16.5" thickBot="1">
      <c r="A12" s="87">
        <v>8</v>
      </c>
      <c r="B12" s="239"/>
      <c r="C12" s="239"/>
      <c r="D12" s="239"/>
      <c r="E12" s="239"/>
      <c r="F12" s="239"/>
      <c r="G12" s="239"/>
      <c r="H12" s="239"/>
      <c r="I12" s="239"/>
      <c r="J12" s="239"/>
    </row>
    <row r="13" spans="1:11" ht="16.5" thickBot="1">
      <c r="A13" s="87">
        <v>9</v>
      </c>
      <c r="B13" s="239"/>
      <c r="C13" s="239"/>
      <c r="D13" s="239"/>
      <c r="E13" s="239"/>
      <c r="F13" s="239"/>
      <c r="G13" s="239"/>
      <c r="H13" s="239"/>
      <c r="I13" s="239"/>
      <c r="J13" s="239"/>
    </row>
    <row r="14" spans="1:11" ht="16.5" thickBot="1">
      <c r="A14" s="87">
        <v>10</v>
      </c>
      <c r="B14" s="239"/>
      <c r="C14" s="239"/>
      <c r="D14" s="239"/>
      <c r="E14" s="239"/>
      <c r="F14" s="239"/>
      <c r="G14" s="239"/>
      <c r="H14" s="239"/>
      <c r="I14" s="239"/>
      <c r="J14" s="239"/>
    </row>
    <row r="15" spans="1:11" ht="16.5" thickBot="1">
      <c r="A15" s="87">
        <v>11</v>
      </c>
      <c r="B15" s="239"/>
      <c r="C15" s="239"/>
      <c r="D15" s="239"/>
      <c r="E15" s="239"/>
      <c r="F15" s="239"/>
      <c r="G15" s="239"/>
      <c r="H15" s="239"/>
      <c r="I15" s="239"/>
      <c r="J15" s="239"/>
    </row>
    <row r="16" spans="1:11" ht="16.5" thickBot="1">
      <c r="A16" s="87">
        <v>12</v>
      </c>
      <c r="B16" s="239"/>
      <c r="C16" s="239"/>
      <c r="D16" s="239"/>
      <c r="E16" s="239"/>
      <c r="F16" s="239"/>
      <c r="G16" s="239"/>
      <c r="H16" s="239"/>
      <c r="I16" s="239"/>
      <c r="J16" s="239"/>
    </row>
    <row r="17" spans="1:11" ht="16.5" thickBot="1">
      <c r="A17" s="87">
        <v>13</v>
      </c>
      <c r="B17" s="239"/>
      <c r="C17" s="239"/>
      <c r="D17" s="239"/>
      <c r="E17" s="239"/>
      <c r="F17" s="239"/>
      <c r="G17" s="239"/>
      <c r="H17" s="239"/>
      <c r="I17" s="239"/>
      <c r="J17" s="239"/>
    </row>
    <row r="18" spans="1:11" ht="16.5" thickBot="1">
      <c r="A18" s="87">
        <v>14</v>
      </c>
      <c r="B18" s="239"/>
      <c r="C18" s="239"/>
      <c r="D18" s="239"/>
      <c r="E18" s="239"/>
      <c r="F18" s="239"/>
      <c r="G18" s="239"/>
      <c r="H18" s="239"/>
      <c r="I18" s="239"/>
      <c r="J18" s="239"/>
    </row>
    <row r="19" spans="1:11" ht="16.5" thickBot="1">
      <c r="A19" s="87">
        <v>15</v>
      </c>
      <c r="B19" s="239"/>
      <c r="C19" s="239"/>
      <c r="D19" s="239"/>
      <c r="E19" s="239"/>
      <c r="F19" s="239"/>
      <c r="G19" s="239"/>
      <c r="H19" s="239"/>
      <c r="I19" s="239"/>
      <c r="J19" s="239"/>
    </row>
    <row r="20" spans="1:11" ht="16.5" thickBot="1">
      <c r="A20" s="87">
        <v>16</v>
      </c>
      <c r="B20" s="239"/>
      <c r="C20" s="239"/>
      <c r="D20" s="239"/>
      <c r="E20" s="239"/>
      <c r="F20" s="239"/>
      <c r="G20" s="239"/>
      <c r="H20" s="239"/>
      <c r="I20" s="239"/>
      <c r="J20" s="239"/>
    </row>
    <row r="21" spans="1:11" ht="16.5" thickBot="1">
      <c r="A21" s="87">
        <v>17</v>
      </c>
      <c r="B21" s="239"/>
      <c r="C21" s="239"/>
      <c r="D21" s="239"/>
      <c r="E21" s="239"/>
      <c r="F21" s="239"/>
      <c r="G21" s="239"/>
      <c r="H21" s="239"/>
      <c r="I21" s="239"/>
      <c r="J21" s="239"/>
    </row>
    <row r="22" spans="1:11" ht="16.5" thickBot="1">
      <c r="A22" s="87">
        <v>18</v>
      </c>
      <c r="B22" s="239"/>
      <c r="C22" s="239"/>
      <c r="D22" s="239"/>
      <c r="E22" s="239"/>
      <c r="F22" s="239"/>
      <c r="G22" s="239"/>
      <c r="H22" s="239"/>
      <c r="I22" s="239"/>
      <c r="J22" s="239"/>
    </row>
    <row r="23" spans="1:11" ht="16.5" thickBot="1">
      <c r="A23" s="87">
        <v>19</v>
      </c>
      <c r="B23" s="239"/>
      <c r="C23" s="239"/>
      <c r="D23" s="239"/>
      <c r="E23" s="239"/>
      <c r="F23" s="239"/>
      <c r="G23" s="239"/>
      <c r="H23" s="239"/>
      <c r="I23" s="239"/>
      <c r="J23" s="239"/>
    </row>
    <row r="24" spans="1:11" ht="16.5" thickBot="1">
      <c r="A24" s="87">
        <v>20</v>
      </c>
      <c r="B24" s="239"/>
      <c r="C24" s="239"/>
      <c r="D24" s="239"/>
      <c r="E24" s="239"/>
      <c r="F24" s="239"/>
      <c r="G24" s="239"/>
      <c r="H24" s="239"/>
      <c r="I24" s="239"/>
      <c r="J24" s="239"/>
    </row>
    <row r="25" spans="1:11" ht="16.5" thickBot="1">
      <c r="A25" s="87">
        <v>21</v>
      </c>
      <c r="B25" s="239"/>
      <c r="C25" s="239"/>
      <c r="D25" s="239"/>
      <c r="E25" s="239"/>
      <c r="F25" s="239"/>
      <c r="G25" s="239"/>
      <c r="H25" s="239"/>
      <c r="I25" s="239"/>
      <c r="J25" s="239"/>
    </row>
    <row r="26" spans="1:11" ht="16.5" thickBot="1">
      <c r="A26" s="87">
        <v>22</v>
      </c>
      <c r="B26" s="239"/>
      <c r="C26" s="239"/>
      <c r="D26" s="239"/>
      <c r="E26" s="239"/>
      <c r="F26" s="239"/>
      <c r="G26" s="239"/>
      <c r="H26" s="239"/>
      <c r="I26" s="239"/>
      <c r="J26" s="239"/>
    </row>
    <row r="27" spans="1:11" ht="16.5" thickBot="1">
      <c r="A27" s="87">
        <v>23</v>
      </c>
      <c r="B27" s="239"/>
      <c r="C27" s="239"/>
      <c r="D27" s="239"/>
      <c r="E27" s="239"/>
      <c r="F27" s="239"/>
      <c r="G27" s="239"/>
      <c r="H27" s="239"/>
      <c r="I27" s="239"/>
      <c r="J27" s="239"/>
    </row>
    <row r="28" spans="1:11" ht="16.5" thickBot="1">
      <c r="A28" s="87">
        <v>24</v>
      </c>
      <c r="B28" s="239"/>
      <c r="C28" s="239"/>
      <c r="D28" s="239"/>
      <c r="E28" s="239"/>
      <c r="F28" s="239"/>
      <c r="G28" s="239"/>
      <c r="H28" s="239"/>
      <c r="I28" s="239"/>
      <c r="J28" s="239"/>
    </row>
    <row r="29" spans="1:11" ht="16.5" thickBot="1">
      <c r="A29" s="87">
        <v>25</v>
      </c>
      <c r="B29" s="239"/>
      <c r="C29" s="239"/>
      <c r="D29" s="239"/>
      <c r="E29" s="239"/>
      <c r="F29" s="239"/>
      <c r="G29" s="239"/>
      <c r="H29" s="239"/>
      <c r="I29" s="239"/>
      <c r="J29" s="239"/>
    </row>
    <row r="30" spans="1:11" ht="16.5" thickBot="1">
      <c r="A30" s="87">
        <v>26</v>
      </c>
      <c r="B30" s="239"/>
      <c r="C30" s="239"/>
      <c r="D30" s="239"/>
      <c r="E30" s="239"/>
      <c r="F30" s="239"/>
      <c r="G30" s="239"/>
      <c r="H30" s="239"/>
      <c r="I30" s="239"/>
      <c r="J30" s="239"/>
    </row>
    <row r="31" spans="1:11" ht="16.5" thickBot="1">
      <c r="A31" s="87">
        <v>27</v>
      </c>
      <c r="B31" s="239"/>
      <c r="C31" s="239"/>
      <c r="D31" s="239"/>
      <c r="E31" s="239"/>
      <c r="F31" s="239"/>
      <c r="G31" s="239"/>
      <c r="H31" s="239"/>
      <c r="I31" s="239"/>
      <c r="J31" s="239"/>
    </row>
    <row r="32" spans="1:11" ht="16.5" thickBot="1">
      <c r="A32" s="87">
        <v>28</v>
      </c>
      <c r="B32" s="239"/>
      <c r="C32" s="239"/>
      <c r="D32" s="239"/>
      <c r="E32" s="239"/>
      <c r="F32" s="239"/>
      <c r="G32" s="239"/>
      <c r="H32" s="239"/>
      <c r="I32" s="239"/>
      <c r="J32" s="239"/>
      <c r="K32" s="454"/>
    </row>
    <row r="33" spans="1:10" ht="16.5" thickBot="1">
      <c r="A33" s="87">
        <v>29</v>
      </c>
      <c r="B33" s="239"/>
      <c r="C33" s="239"/>
      <c r="D33" s="239"/>
      <c r="E33" s="239"/>
      <c r="F33" s="239"/>
      <c r="G33" s="239"/>
      <c r="H33" s="239"/>
      <c r="I33" s="239"/>
      <c r="J33" s="239"/>
    </row>
    <row r="34" spans="1:10" ht="16.5" thickBot="1">
      <c r="A34" s="87">
        <v>30</v>
      </c>
      <c r="B34" s="239"/>
      <c r="C34" s="239"/>
      <c r="D34" s="239"/>
      <c r="E34" s="239"/>
      <c r="F34" s="239"/>
      <c r="G34" s="239"/>
      <c r="H34" s="239"/>
      <c r="I34" s="239"/>
      <c r="J34" s="239"/>
    </row>
    <row r="35" spans="1:10" ht="16.5" thickBot="1">
      <c r="A35" s="87">
        <v>31</v>
      </c>
      <c r="B35" s="239"/>
      <c r="C35" s="239"/>
      <c r="D35" s="239"/>
      <c r="E35" s="239"/>
      <c r="F35" s="239"/>
      <c r="G35" s="239"/>
      <c r="H35" s="239"/>
      <c r="I35" s="239"/>
      <c r="J35" s="239"/>
    </row>
    <row r="36" spans="1:10" ht="16.5" thickBot="1">
      <c r="A36" s="87">
        <v>32</v>
      </c>
      <c r="B36" s="239"/>
      <c r="C36" s="239"/>
      <c r="D36" s="239"/>
      <c r="E36" s="239"/>
      <c r="F36" s="239"/>
      <c r="G36" s="239"/>
      <c r="H36" s="239"/>
      <c r="I36" s="239"/>
      <c r="J36" s="239"/>
    </row>
    <row r="37" spans="1:10" ht="16.5" thickBot="1">
      <c r="A37" s="87">
        <v>33</v>
      </c>
      <c r="B37" s="239"/>
      <c r="C37" s="239"/>
      <c r="D37" s="239"/>
      <c r="E37" s="239"/>
      <c r="F37" s="239"/>
      <c r="G37" s="239"/>
      <c r="H37" s="239"/>
      <c r="I37" s="239"/>
      <c r="J37" s="239"/>
    </row>
    <row r="38" spans="1:10" ht="16.5" thickBot="1">
      <c r="A38" s="87">
        <v>34</v>
      </c>
      <c r="B38" s="239"/>
      <c r="C38" s="239"/>
      <c r="D38" s="239"/>
      <c r="E38" s="239"/>
      <c r="F38" s="239"/>
      <c r="G38" s="239"/>
      <c r="H38" s="239"/>
      <c r="I38" s="239"/>
      <c r="J38" s="239"/>
    </row>
    <row r="39" spans="1:10" ht="16.5" thickBot="1">
      <c r="A39" s="87">
        <v>35</v>
      </c>
      <c r="B39" s="239"/>
      <c r="C39" s="239"/>
      <c r="D39" s="239"/>
      <c r="E39" s="239"/>
      <c r="F39" s="239"/>
      <c r="G39" s="239"/>
      <c r="H39" s="239"/>
      <c r="I39" s="239"/>
      <c r="J39" s="239"/>
    </row>
    <row r="40" spans="1:10" ht="16.5" thickBot="1">
      <c r="A40" s="87">
        <v>36</v>
      </c>
      <c r="B40" s="239"/>
      <c r="C40" s="239"/>
      <c r="D40" s="239"/>
      <c r="E40" s="239"/>
      <c r="F40" s="239"/>
      <c r="G40" s="239"/>
      <c r="H40" s="239"/>
      <c r="I40" s="239"/>
      <c r="J40" s="239"/>
    </row>
    <row r="41" spans="1:10" ht="16.5" thickBot="1">
      <c r="A41" s="87">
        <v>37</v>
      </c>
      <c r="B41" s="239"/>
      <c r="C41" s="239"/>
      <c r="D41" s="239"/>
      <c r="E41" s="239"/>
      <c r="F41" s="239"/>
      <c r="G41" s="239"/>
      <c r="H41" s="239"/>
      <c r="I41" s="239"/>
      <c r="J41" s="239"/>
    </row>
    <row r="42" spans="1:10" ht="16.5" thickBot="1">
      <c r="A42" s="87">
        <v>38</v>
      </c>
      <c r="B42" s="239"/>
      <c r="C42" s="239"/>
      <c r="D42" s="239"/>
      <c r="E42" s="239"/>
      <c r="F42" s="239"/>
      <c r="G42" s="239"/>
      <c r="H42" s="239"/>
      <c r="I42" s="239"/>
      <c r="J42" s="239"/>
    </row>
    <row r="43" spans="1:10" ht="16.5" thickBot="1">
      <c r="A43" s="87">
        <v>39</v>
      </c>
      <c r="B43" s="239"/>
      <c r="C43" s="239"/>
      <c r="D43" s="239"/>
      <c r="E43" s="239"/>
      <c r="F43" s="239"/>
      <c r="G43" s="239"/>
      <c r="H43" s="239"/>
      <c r="I43" s="239"/>
      <c r="J43" s="239"/>
    </row>
    <row r="44" spans="1:10" ht="16.5" thickBot="1">
      <c r="A44" s="87">
        <v>40</v>
      </c>
      <c r="B44" s="239"/>
      <c r="C44" s="239"/>
      <c r="D44" s="239"/>
      <c r="E44" s="239"/>
      <c r="F44" s="239"/>
      <c r="G44" s="239"/>
      <c r="H44" s="239"/>
      <c r="I44" s="239"/>
      <c r="J44" s="239"/>
    </row>
    <row r="45" spans="1:10" ht="16.5" thickBot="1">
      <c r="A45" s="84"/>
      <c r="B45" s="85"/>
      <c r="C45" s="85"/>
      <c r="D45" s="85"/>
      <c r="E45" s="85"/>
      <c r="F45" s="85"/>
      <c r="G45" s="85"/>
      <c r="H45" s="85"/>
      <c r="I45" s="85"/>
      <c r="J45" s="86"/>
    </row>
    <row r="46" spans="1:10" ht="19.5" customHeight="1">
      <c r="A46" s="536" t="s">
        <v>15</v>
      </c>
      <c r="B46" s="537"/>
      <c r="C46" s="537"/>
      <c r="D46" s="537"/>
      <c r="E46" s="537"/>
      <c r="F46" s="537"/>
      <c r="G46" s="537"/>
      <c r="H46" s="537"/>
      <c r="I46" s="537"/>
      <c r="J46" s="538"/>
    </row>
    <row r="47" spans="1:10" ht="40" customHeight="1">
      <c r="A47" s="533" t="s">
        <v>149</v>
      </c>
      <c r="B47" s="534"/>
      <c r="C47" s="534"/>
      <c r="D47" s="534"/>
      <c r="E47" s="534"/>
      <c r="F47" s="534"/>
      <c r="G47" s="534"/>
      <c r="H47" s="534"/>
      <c r="I47" s="534"/>
      <c r="J47" s="535"/>
    </row>
    <row r="48" spans="1:10" ht="32.25" customHeight="1">
      <c r="A48" s="533" t="s">
        <v>145</v>
      </c>
      <c r="B48" s="534"/>
      <c r="C48" s="534"/>
      <c r="D48" s="534"/>
      <c r="E48" s="534"/>
      <c r="F48" s="534"/>
      <c r="G48" s="534"/>
      <c r="H48" s="534"/>
      <c r="I48" s="534"/>
      <c r="J48" s="535"/>
    </row>
    <row r="49" spans="1:10" ht="16" thickBot="1">
      <c r="A49" s="539" t="s">
        <v>131</v>
      </c>
      <c r="B49" s="540"/>
      <c r="C49" s="540"/>
      <c r="D49" s="540"/>
      <c r="E49" s="540"/>
      <c r="F49" s="540"/>
      <c r="G49" s="540"/>
      <c r="H49" s="540"/>
      <c r="I49" s="540"/>
      <c r="J49" s="541"/>
    </row>
    <row r="50" spans="1:10" ht="16" customHeight="1">
      <c r="A50" s="524" t="s">
        <v>173</v>
      </c>
      <c r="B50" s="525"/>
      <c r="C50" s="525"/>
      <c r="D50" s="525"/>
      <c r="E50" s="525"/>
      <c r="F50" s="525"/>
      <c r="G50" s="512"/>
      <c r="H50" s="512"/>
      <c r="I50" s="512"/>
      <c r="J50" s="526"/>
    </row>
    <row r="51" spans="1:10" ht="75" customHeight="1" thickBot="1">
      <c r="A51" s="520"/>
      <c r="B51" s="521"/>
      <c r="C51" s="521"/>
      <c r="D51" s="521"/>
      <c r="E51" s="521"/>
      <c r="F51" s="521"/>
      <c r="G51" s="522"/>
      <c r="H51" s="522"/>
      <c r="I51" s="522"/>
      <c r="J51" s="523"/>
    </row>
    <row r="52" spans="1:10">
      <c r="A52" t="str">
        <f>'Summary Schedule'!A53</f>
        <v>4.2.9.c</v>
      </c>
    </row>
    <row r="53" spans="1:10">
      <c r="A53" t="str">
        <f>'Summary Schedule'!A54</f>
        <v>02112025</v>
      </c>
    </row>
  </sheetData>
  <sheetProtection algorithmName="SHA-512" hashValue="S3lekhQWALaWWN2fLVmh/SCmSP3o53EfBDrADMZ28vahvBYSz/X6v4IaosGEtJo1xuZ6LVOLSOLLK3itYYAOZA==" saltValue="i75J7jCvRiDVHpnKtfnQFw==" spinCount="100000" sheet="1" objects="1" scenarios="1"/>
  <mergeCells count="7">
    <mergeCell ref="A51:J51"/>
    <mergeCell ref="A50:J50"/>
    <mergeCell ref="A1:J2"/>
    <mergeCell ref="A47:J47"/>
    <mergeCell ref="A48:J48"/>
    <mergeCell ref="A46:J46"/>
    <mergeCell ref="A49:J49"/>
  </mergeCells>
  <dataValidations count="1">
    <dataValidation type="decimal" allowBlank="1" showInputMessage="1" showErrorMessage="1" error="Please enter a percentage between 0 and 100%." sqref="B5:J45" xr:uid="{00000000-0002-0000-0200-000000000000}">
      <formula1>0</formula1>
      <formula2>1</formula2>
    </dataValidation>
  </dataValidations>
  <pageMargins left="0.7" right="0.7" top="0.75" bottom="0.75" header="0.3" footer="0.3"/>
  <pageSetup scale="57" orientation="portrait" horizontalDpi="4294967292" verticalDpi="4294967292"/>
  <headerFooter>
    <oddFooter>&amp;C_x000D_&amp;1#&amp;"Calibri"&amp;6&amp;K626469 General</oddFooter>
  </headerFooter>
  <drawing r:id="rId1"/>
  <extLst>
    <ext xmlns:x14="http://schemas.microsoft.com/office/spreadsheetml/2009/9/main" uri="{CCE6A557-97BC-4b89-ADB6-D9C93CAAB3DF}">
      <x14:dataValidations xmlns:xm="http://schemas.microsoft.com/office/excel/2006/main" count="2">
        <x14:dataValidation type="list" allowBlank="1" showInputMessage="1" showErrorMessage="1" error="Choose a fuel type from the dropdown list in this cell" xr:uid="{00000000-0002-0000-0200-000001000000}">
          <x14:formula1>
            <xm:f>ECM!$B$3:$B$11</xm:f>
          </x14:formula1>
          <xm:sqref>E4</xm:sqref>
        </x14:dataValidation>
        <x14:dataValidation type="list" allowBlank="1" showInputMessage="1" showErrorMessage="1" error="Choose a fuel type from the dropdown list in this cell" xr:uid="{00000000-0002-0000-0200-000002000000}">
          <x14:formula1>
            <xm:f>ECM!$C$3:$C$11</xm:f>
          </x14:formula1>
          <xm:sqref>F4</xm:sqref>
        </x14:dataValidation>
      </x14:dataValidations>
    </ex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9" tint="-0.249977111117893"/>
    <pageSetUpPr fitToPage="1"/>
  </sheetPr>
  <dimension ref="A1:I64"/>
  <sheetViews>
    <sheetView zoomScale="90" zoomScaleNormal="90" zoomScalePageLayoutView="150" workbookViewId="0">
      <selection sqref="A1:E1"/>
    </sheetView>
  </sheetViews>
  <sheetFormatPr defaultColWidth="11" defaultRowHeight="16"/>
  <cols>
    <col min="1" max="1" width="23" style="1" customWidth="1"/>
    <col min="2" max="4" width="27" style="1" customWidth="1"/>
    <col min="5" max="5" width="22.83203125" style="1" customWidth="1"/>
    <col min="6" max="6" width="16.5" style="1" customWidth="1"/>
    <col min="7" max="7" width="14.5" style="1" bestFit="1" customWidth="1"/>
    <col min="8" max="8" width="12.83203125" style="1" bestFit="1" customWidth="1"/>
    <col min="9" max="9" width="14.5" style="1" bestFit="1" customWidth="1"/>
    <col min="10" max="16384" width="11" style="1"/>
  </cols>
  <sheetData>
    <row r="1" spans="1:9" ht="20">
      <c r="A1" s="528" t="s">
        <v>105</v>
      </c>
      <c r="B1" s="528"/>
      <c r="C1" s="528"/>
      <c r="D1" s="528"/>
      <c r="E1" s="542"/>
    </row>
    <row r="2" spans="1:9" ht="20.5" thickBot="1">
      <c r="A2" s="531" t="s">
        <v>153</v>
      </c>
      <c r="B2" s="531"/>
      <c r="C2" s="531"/>
      <c r="D2" s="531"/>
      <c r="E2" s="503"/>
    </row>
    <row r="3" spans="1:9" ht="19.5" customHeight="1" thickBot="1">
      <c r="A3" s="84"/>
      <c r="B3" s="85"/>
      <c r="C3" s="92"/>
      <c r="D3" s="92"/>
      <c r="E3" s="86"/>
      <c r="F3" s="43"/>
    </row>
    <row r="4" spans="1:9" ht="15" customHeight="1" thickBot="1">
      <c r="A4" s="543" t="s">
        <v>155</v>
      </c>
      <c r="B4" s="255" t="s">
        <v>0</v>
      </c>
      <c r="C4" s="255" t="s">
        <v>1</v>
      </c>
      <c r="D4" s="255" t="s">
        <v>2</v>
      </c>
      <c r="E4" s="149"/>
    </row>
    <row r="5" spans="1:9" ht="24" customHeight="1" thickBot="1">
      <c r="A5" s="543"/>
      <c r="B5" s="123" t="s">
        <v>200</v>
      </c>
      <c r="C5" s="123" t="s">
        <v>201</v>
      </c>
      <c r="D5" s="123" t="s">
        <v>202</v>
      </c>
      <c r="E5" s="149"/>
    </row>
    <row r="6" spans="1:9" ht="16.5" thickBot="1">
      <c r="A6" s="543"/>
      <c r="B6" s="121"/>
      <c r="C6" s="121"/>
      <c r="D6" s="121"/>
      <c r="E6" s="150"/>
    </row>
    <row r="7" spans="1:9" ht="16.5" thickBot="1">
      <c r="A7" s="543" t="s">
        <v>243</v>
      </c>
      <c r="B7" s="255" t="s">
        <v>3</v>
      </c>
      <c r="C7" s="255" t="s">
        <v>4</v>
      </c>
      <c r="D7" s="255" t="s">
        <v>5</v>
      </c>
      <c r="E7" s="255" t="s">
        <v>154</v>
      </c>
      <c r="F7" s="44"/>
    </row>
    <row r="8" spans="1:9" ht="30.75" customHeight="1" thickBot="1">
      <c r="A8" s="543"/>
      <c r="B8" s="255" t="s">
        <v>44</v>
      </c>
      <c r="C8" s="255" t="s">
        <v>120</v>
      </c>
      <c r="D8" s="255" t="s">
        <v>151</v>
      </c>
      <c r="E8" s="255" t="s">
        <v>146</v>
      </c>
    </row>
    <row r="9" spans="1:9" ht="18" customHeight="1" thickBot="1">
      <c r="A9" s="93">
        <v>1</v>
      </c>
      <c r="B9" s="214">
        <f ca="1">IF(OR('Summary Schedule'!$C$4="UESC", 'Summary Schedule'!$C$4="ESA"), "", IF(A9&lt;='Summary Schedule'!$C$27,'Itemized Costs-HIDDEN'!M5,""))</f>
        <v>0</v>
      </c>
      <c r="C9" s="214">
        <f ca="1">IF(OR('Summary Schedule'!$C$4="UESC", 'Summary Schedule'!$C$4="ESA"), "", IF(A9&lt;='Summary Schedule'!$C$27,'Amortization-HIDDEN'!K17,""))</f>
        <v>0</v>
      </c>
      <c r="D9" s="214">
        <f ca="1">IF('Summary Schedule'!$G$42="",IF(OR('Summary Schedule'!$C$4="UESC",'Summary Schedule'!$C$4="ESA"),"",IF(A9&lt;='Summary Schedule'!$C$27, INDIRECT("'Sch3-Perf Period Cash Flow'!"&amp;LEFT(ADDRESS(1,ROW(A4),4,1),(ROW(A4)&gt;26)+1)&amp;$A$9+22&amp;""),"")),"Term&gt;25Yrs")</f>
        <v>0</v>
      </c>
      <c r="E9" s="214">
        <f ca="1">IFERROR(IF(A9&lt;='Summary Schedule'!$C$27,C9-D9,""),"")</f>
        <v>0</v>
      </c>
      <c r="F9" s="82"/>
      <c r="G9" s="82"/>
      <c r="H9" s="14"/>
      <c r="I9" s="14"/>
    </row>
    <row r="10" spans="1:9" ht="18" customHeight="1" thickBot="1">
      <c r="A10" s="93">
        <v>2</v>
      </c>
      <c r="B10" s="214">
        <f ca="1">IF(OR('Summary Schedule'!$C$4="UESC", 'Summary Schedule'!$C$4="ESA"), "", IF(A10&lt;='Summary Schedule'!$C$27,'Itemized Costs-HIDDEN'!M6,""))</f>
        <v>0</v>
      </c>
      <c r="C10" s="214">
        <f ca="1">IF(OR('Summary Schedule'!$C$4="UESC", 'Summary Schedule'!$C$4="ESA"), "", IF(A10&lt;='Summary Schedule'!$C$27,'Amortization-HIDDEN'!K18,""))</f>
        <v>0</v>
      </c>
      <c r="D10" s="214">
        <f ca="1">IF('Summary Schedule'!$G$42="",IF(OR('Summary Schedule'!$C$4="UESC",'Summary Schedule'!$C$4="ESA"),"",IF(A10&lt;='Summary Schedule'!$C$27, INDIRECT("'Sch3-Perf Period Cash Flow'!"&amp;LEFT(ADDRESS(1,ROW(A5),4,1),(ROW(A5)&gt;26)+1)&amp;$A$9+22&amp;""),"")),"Term&gt;25Yrs")</f>
        <v>0</v>
      </c>
      <c r="E10" s="214">
        <f ca="1">IFERROR(IF(A10&lt;='Summary Schedule'!$C$27,C10-D10,""),"")</f>
        <v>0</v>
      </c>
      <c r="F10" s="82"/>
      <c r="G10" s="14"/>
      <c r="H10" s="14"/>
      <c r="I10" s="14"/>
    </row>
    <row r="11" spans="1:9" ht="18" customHeight="1" thickBot="1">
      <c r="A11" s="93">
        <v>3</v>
      </c>
      <c r="B11" s="214">
        <f ca="1">IF(OR('Summary Schedule'!$C$4="UESC", 'Summary Schedule'!$C$4="ESA"), "", IF(A11&lt;='Summary Schedule'!$C$27,'Itemized Costs-HIDDEN'!M7,""))</f>
        <v>0</v>
      </c>
      <c r="C11" s="214">
        <f ca="1">IF(OR('Summary Schedule'!$C$4="UESC", 'Summary Schedule'!$C$4="ESA"), "", IF(A11&lt;='Summary Schedule'!$C$27,'Amortization-HIDDEN'!K19,""))</f>
        <v>0</v>
      </c>
      <c r="D11" s="214">
        <f ca="1">IF('Summary Schedule'!$G$42="",IF(OR('Summary Schedule'!$C$4="UESC",'Summary Schedule'!$C$4="ESA"),"",IF(A11&lt;='Summary Schedule'!$C$27, INDIRECT("'Sch3-Perf Period Cash Flow'!"&amp;LEFT(ADDRESS(1,ROW(A6),4,1),(ROW(A6)&gt;26)+1)&amp;$A$9+22&amp;""),"")),"Term&gt;25Yrs")</f>
        <v>0</v>
      </c>
      <c r="E11" s="214">
        <f ca="1">IFERROR(IF(A11&lt;='Summary Schedule'!$C$27,C11-D11,""),"")</f>
        <v>0</v>
      </c>
      <c r="F11" s="82"/>
      <c r="G11" s="14"/>
      <c r="H11" s="14"/>
      <c r="I11" s="14"/>
    </row>
    <row r="12" spans="1:9" ht="18" customHeight="1" thickBot="1">
      <c r="A12" s="93">
        <v>4</v>
      </c>
      <c r="B12" s="214">
        <f ca="1">IF(OR('Summary Schedule'!$C$4="UESC", 'Summary Schedule'!$C$4="ESA"), "", IF(A12&lt;='Summary Schedule'!$C$27,'Itemized Costs-HIDDEN'!M8,""))</f>
        <v>0</v>
      </c>
      <c r="C12" s="214">
        <f ca="1">IF(OR('Summary Schedule'!$C$4="UESC", 'Summary Schedule'!$C$4="ESA"), "", IF(A12&lt;='Summary Schedule'!$C$27,'Amortization-HIDDEN'!K20,""))</f>
        <v>0</v>
      </c>
      <c r="D12" s="214">
        <f ca="1">IF('Summary Schedule'!$G$42="",IF(OR('Summary Schedule'!$C$4="UESC",'Summary Schedule'!$C$4="ESA"),"",IF(A12&lt;='Summary Schedule'!$C$27, INDIRECT("'Sch3-Perf Period Cash Flow'!"&amp;LEFT(ADDRESS(1,ROW(A7),4,1),(ROW(A7)&gt;26)+1)&amp;$A$9+22&amp;""),"")),"Term&gt;25Yrs")</f>
        <v>0</v>
      </c>
      <c r="E12" s="214">
        <f ca="1">IFERROR(IF(A12&lt;='Summary Schedule'!$C$27,C12-D12,""),"")</f>
        <v>0</v>
      </c>
      <c r="F12" s="82"/>
      <c r="G12" s="14"/>
      <c r="H12" s="14"/>
      <c r="I12" s="14"/>
    </row>
    <row r="13" spans="1:9" ht="18" customHeight="1" thickBot="1">
      <c r="A13" s="93">
        <v>5</v>
      </c>
      <c r="B13" s="214">
        <f ca="1">IF(OR('Summary Schedule'!$C$4="UESC", 'Summary Schedule'!$C$4="ESA"), "", IF(A13&lt;='Summary Schedule'!$C$27,'Itemized Costs-HIDDEN'!M9,""))</f>
        <v>0</v>
      </c>
      <c r="C13" s="214">
        <f ca="1">IF(OR('Summary Schedule'!$C$4="UESC", 'Summary Schedule'!$C$4="ESA"), "", IF(A13&lt;='Summary Schedule'!$C$27,'Amortization-HIDDEN'!K21,""))</f>
        <v>0</v>
      </c>
      <c r="D13" s="214">
        <f ca="1">IF('Summary Schedule'!$G$42="",IF(OR('Summary Schedule'!$C$4="UESC",'Summary Schedule'!$C$4="ESA"),"",IF(A13&lt;='Summary Schedule'!$C$27, INDIRECT("'Sch3-Perf Period Cash Flow'!"&amp;LEFT(ADDRESS(1,ROW(A8),4,1),(ROW(A8)&gt;26)+1)&amp;$A$9+22&amp;""),"")),"Term&gt;25Yrs")</f>
        <v>0</v>
      </c>
      <c r="E13" s="214">
        <f ca="1">IFERROR(IF(A13&lt;='Summary Schedule'!$C$27,C13-D13,""),"")</f>
        <v>0</v>
      </c>
      <c r="F13" s="82"/>
      <c r="G13" s="14"/>
      <c r="H13" s="14"/>
      <c r="I13" s="14"/>
    </row>
    <row r="14" spans="1:9" ht="18" customHeight="1" thickBot="1">
      <c r="A14" s="93">
        <v>6</v>
      </c>
      <c r="B14" s="214">
        <f ca="1">IF(OR('Summary Schedule'!$C$4="UESC", 'Summary Schedule'!$C$4="ESA"), "", IF(A14&lt;='Summary Schedule'!$C$27,'Itemized Costs-HIDDEN'!M10,""))</f>
        <v>0</v>
      </c>
      <c r="C14" s="214">
        <f ca="1">IF(OR('Summary Schedule'!$C$4="UESC", 'Summary Schedule'!$C$4="ESA"), "", IF(A14&lt;='Summary Schedule'!$C$27,'Amortization-HIDDEN'!K22,""))</f>
        <v>0</v>
      </c>
      <c r="D14" s="214">
        <f ca="1">IF('Summary Schedule'!$G$42="",IF(OR('Summary Schedule'!$C$4="UESC",'Summary Schedule'!$C$4="ESA"),"",IF(A14&lt;='Summary Schedule'!$C$27, INDIRECT("'Sch3-Perf Period Cash Flow'!"&amp;LEFT(ADDRESS(1,ROW(A9),4,1),(ROW(A9)&gt;26)+1)&amp;$A$9+22&amp;""),"")),"Term&gt;25Yrs")</f>
        <v>0</v>
      </c>
      <c r="E14" s="214">
        <f ca="1">IFERROR(IF(A14&lt;='Summary Schedule'!$C$27,C14-D14,""),"")</f>
        <v>0</v>
      </c>
      <c r="F14" s="82"/>
      <c r="G14" s="14"/>
      <c r="H14" s="14"/>
      <c r="I14" s="14"/>
    </row>
    <row r="15" spans="1:9" ht="18" customHeight="1" thickBot="1">
      <c r="A15" s="93">
        <v>7</v>
      </c>
      <c r="B15" s="214">
        <f ca="1">IF(OR('Summary Schedule'!$C$4="UESC", 'Summary Schedule'!$C$4="ESA"), "", IF(A15&lt;='Summary Schedule'!$C$27,'Itemized Costs-HIDDEN'!M11,""))</f>
        <v>0</v>
      </c>
      <c r="C15" s="214">
        <f ca="1">IF(OR('Summary Schedule'!$C$4="UESC", 'Summary Schedule'!$C$4="ESA"), "", IF(A15&lt;='Summary Schedule'!$C$27,'Amortization-HIDDEN'!K23,""))</f>
        <v>0</v>
      </c>
      <c r="D15" s="214">
        <f ca="1">IF('Summary Schedule'!$G$42="",IF(OR('Summary Schedule'!$C$4="UESC",'Summary Schedule'!$C$4="ESA"),"",IF(A15&lt;='Summary Schedule'!$C$27, INDIRECT("'Sch3-Perf Period Cash Flow'!"&amp;LEFT(ADDRESS(1,ROW(A10),4,1),(ROW(A10)&gt;26)+1)&amp;$A$9+22&amp;""),"")),"Term&gt;25Yrs")</f>
        <v>0</v>
      </c>
      <c r="E15" s="214">
        <f ca="1">IFERROR(IF(A15&lt;='Summary Schedule'!$C$27,C15-D15,""),"")</f>
        <v>0</v>
      </c>
      <c r="F15" s="82"/>
      <c r="G15" s="14"/>
      <c r="H15" s="14"/>
      <c r="I15" s="14"/>
    </row>
    <row r="16" spans="1:9" ht="18" customHeight="1" thickBot="1">
      <c r="A16" s="93">
        <v>8</v>
      </c>
      <c r="B16" s="214">
        <f ca="1">IF(OR('Summary Schedule'!$C$4="UESC", 'Summary Schedule'!$C$4="ESA"), "", IF(A16&lt;='Summary Schedule'!$C$27,'Itemized Costs-HIDDEN'!M12,""))</f>
        <v>0</v>
      </c>
      <c r="C16" s="214">
        <f ca="1">IF(OR('Summary Schedule'!$C$4="UESC", 'Summary Schedule'!$C$4="ESA"), "", IF(A16&lt;='Summary Schedule'!$C$27,'Amortization-HIDDEN'!K24,""))</f>
        <v>0</v>
      </c>
      <c r="D16" s="214">
        <f ca="1">IF('Summary Schedule'!$G$42="",IF(OR('Summary Schedule'!$C$4="UESC",'Summary Schedule'!$C$4="ESA"),"",IF(A16&lt;='Summary Schedule'!$C$27, INDIRECT("'Sch3-Perf Period Cash Flow'!"&amp;LEFT(ADDRESS(1,ROW(A11),4,1),(ROW(A11)&gt;26)+1)&amp;$A$9+22&amp;""),"")),"Term&gt;25Yrs")</f>
        <v>0</v>
      </c>
      <c r="E16" s="214">
        <f ca="1">IFERROR(IF(A16&lt;='Summary Schedule'!$C$27,C16-D16,""),"")</f>
        <v>0</v>
      </c>
      <c r="F16" s="82"/>
      <c r="G16" s="14"/>
      <c r="H16" s="14"/>
      <c r="I16" s="14"/>
    </row>
    <row r="17" spans="1:9" ht="18" customHeight="1" thickBot="1">
      <c r="A17" s="93">
        <v>9</v>
      </c>
      <c r="B17" s="214">
        <f ca="1">IF(OR('Summary Schedule'!$C$4="UESC", 'Summary Schedule'!$C$4="ESA"), "", IF(A17&lt;='Summary Schedule'!$C$27,'Itemized Costs-HIDDEN'!M13,""))</f>
        <v>0</v>
      </c>
      <c r="C17" s="214">
        <f ca="1">IF(OR('Summary Schedule'!$C$4="UESC", 'Summary Schedule'!$C$4="ESA"), "", IF(A17&lt;='Summary Schedule'!$C$27,'Amortization-HIDDEN'!K25,""))</f>
        <v>0</v>
      </c>
      <c r="D17" s="214">
        <f ca="1">IF('Summary Schedule'!$G$42="",IF(OR('Summary Schedule'!$C$4="UESC",'Summary Schedule'!$C$4="ESA"),"",IF(A17&lt;='Summary Schedule'!$C$27, INDIRECT("'Sch3-Perf Period Cash Flow'!"&amp;LEFT(ADDRESS(1,ROW(A12),4,1),(ROW(A12)&gt;26)+1)&amp;$A$9+22&amp;""),"")),"Term&gt;25Yrs")</f>
        <v>0</v>
      </c>
      <c r="E17" s="214">
        <f ca="1">IFERROR(IF(A17&lt;='Summary Schedule'!$C$27,C17-D17,""),"")</f>
        <v>0</v>
      </c>
      <c r="F17" s="82"/>
      <c r="G17" s="14"/>
      <c r="H17" s="14"/>
      <c r="I17" s="14"/>
    </row>
    <row r="18" spans="1:9" ht="18" customHeight="1" thickBot="1">
      <c r="A18" s="93">
        <v>10</v>
      </c>
      <c r="B18" s="214">
        <f ca="1">IF(OR('Summary Schedule'!$C$4="UESC", 'Summary Schedule'!$C$4="ESA"), "", IF(A18&lt;='Summary Schedule'!$C$27,'Itemized Costs-HIDDEN'!M14,""))</f>
        <v>0</v>
      </c>
      <c r="C18" s="214">
        <f ca="1">IF(OR('Summary Schedule'!$C$4="UESC", 'Summary Schedule'!$C$4="ESA"), "", IF(A18&lt;='Summary Schedule'!$C$27,'Amortization-HIDDEN'!K26,""))</f>
        <v>0</v>
      </c>
      <c r="D18" s="214">
        <f ca="1">IF('Summary Schedule'!$G$42="",IF(OR('Summary Schedule'!$C$4="UESC",'Summary Schedule'!$C$4="ESA"),"",IF(A18&lt;='Summary Schedule'!$C$27, INDIRECT("'Sch3-Perf Period Cash Flow'!"&amp;LEFT(ADDRESS(1,ROW(A13),4,1),(ROW(A13)&gt;26)+1)&amp;$A$9+22&amp;""),"")),"Term&gt;25Yrs")</f>
        <v>0</v>
      </c>
      <c r="E18" s="214">
        <f ca="1">IFERROR(IF(A18&lt;='Summary Schedule'!$C$27,C18-D18,""),"")</f>
        <v>0</v>
      </c>
      <c r="F18" s="82"/>
      <c r="G18" s="14"/>
      <c r="H18" s="14"/>
      <c r="I18" s="14"/>
    </row>
    <row r="19" spans="1:9" ht="18" customHeight="1" thickBot="1">
      <c r="A19" s="93">
        <v>11</v>
      </c>
      <c r="B19" s="214">
        <f ca="1">IF(OR('Summary Schedule'!$C$4="UESC", 'Summary Schedule'!$C$4="ESA"), "", IF(A19&lt;='Summary Schedule'!$C$27,'Itemized Costs-HIDDEN'!M15,""))</f>
        <v>0</v>
      </c>
      <c r="C19" s="214">
        <f ca="1">IF(OR('Summary Schedule'!$C$4="UESC", 'Summary Schedule'!$C$4="ESA"), "", IF(A19&lt;='Summary Schedule'!$C$27,'Amortization-HIDDEN'!K27,""))</f>
        <v>0</v>
      </c>
      <c r="D19" s="214">
        <f ca="1">IF('Summary Schedule'!$G$42="",IF(OR('Summary Schedule'!$C$4="UESC",'Summary Schedule'!$C$4="ESA"),"",IF(A19&lt;='Summary Schedule'!$C$27, INDIRECT("'Sch3-Perf Period Cash Flow'!"&amp;LEFT(ADDRESS(1,ROW(A14),4,1),(ROW(A14)&gt;26)+1)&amp;$A$9+22&amp;""),"")),"Term&gt;25Yrs")</f>
        <v>0</v>
      </c>
      <c r="E19" s="214">
        <f ca="1">IFERROR(IF(A19&lt;='Summary Schedule'!$C$27,C19-D19,""),"")</f>
        <v>0</v>
      </c>
      <c r="F19" s="82"/>
      <c r="G19" s="14"/>
      <c r="H19" s="14"/>
      <c r="I19" s="14"/>
    </row>
    <row r="20" spans="1:9" ht="18" customHeight="1" thickBot="1">
      <c r="A20" s="93">
        <v>12</v>
      </c>
      <c r="B20" s="214">
        <f ca="1">IF(OR('Summary Schedule'!$C$4="UESC", 'Summary Schedule'!$C$4="ESA"), "", IF(A20&lt;='Summary Schedule'!$C$27,'Itemized Costs-HIDDEN'!M16,""))</f>
        <v>0</v>
      </c>
      <c r="C20" s="214">
        <f ca="1">IF(OR('Summary Schedule'!$C$4="UESC", 'Summary Schedule'!$C$4="ESA"), "", IF(A20&lt;='Summary Schedule'!$C$27,'Amortization-HIDDEN'!K28,""))</f>
        <v>0</v>
      </c>
      <c r="D20" s="214">
        <f ca="1">IF('Summary Schedule'!$G$42="",IF(OR('Summary Schedule'!$C$4="UESC",'Summary Schedule'!$C$4="ESA"),"",IF(A20&lt;='Summary Schedule'!$C$27, INDIRECT("'Sch3-Perf Period Cash Flow'!"&amp;LEFT(ADDRESS(1,ROW(A15),4,1),(ROW(A15)&gt;26)+1)&amp;$A$9+22&amp;""),"")),"Term&gt;25Yrs")</f>
        <v>0</v>
      </c>
      <c r="E20" s="214">
        <f ca="1">IFERROR(IF(A20&lt;='Summary Schedule'!$C$27,C20-D20,""),"")</f>
        <v>0</v>
      </c>
      <c r="F20" s="82"/>
    </row>
    <row r="21" spans="1:9" ht="18" customHeight="1" thickBot="1">
      <c r="A21" s="93">
        <v>13</v>
      </c>
      <c r="B21" s="214">
        <f ca="1">IF(OR('Summary Schedule'!$C$4="UESC", 'Summary Schedule'!$C$4="ESA"), "", IF(A21&lt;='Summary Schedule'!$C$27,'Itemized Costs-HIDDEN'!M17,""))</f>
        <v>0</v>
      </c>
      <c r="C21" s="214">
        <f ca="1">IF(OR('Summary Schedule'!$C$4="UESC", 'Summary Schedule'!$C$4="ESA"), "", IF(A21&lt;='Summary Schedule'!$C$27,'Amortization-HIDDEN'!K29,""))</f>
        <v>0</v>
      </c>
      <c r="D21" s="214">
        <f ca="1">IF('Summary Schedule'!$G$42="",IF(OR('Summary Schedule'!$C$4="UESC",'Summary Schedule'!$C$4="ESA"),"",IF(A21&lt;='Summary Schedule'!$C$27, INDIRECT("'Sch3-Perf Period Cash Flow'!"&amp;LEFT(ADDRESS(1,ROW(A16),4,1),(ROW(A16)&gt;26)+1)&amp;$A$9+22&amp;""),"")),"Term&gt;25Yrs")</f>
        <v>0</v>
      </c>
      <c r="E21" s="214">
        <f ca="1">IFERROR(IF(A21&lt;='Summary Schedule'!$C$27,C21-D21,""),"")</f>
        <v>0</v>
      </c>
      <c r="F21" s="82"/>
    </row>
    <row r="22" spans="1:9" ht="18" customHeight="1" thickBot="1">
      <c r="A22" s="93">
        <v>14</v>
      </c>
      <c r="B22" s="214">
        <f ca="1">IF(OR('Summary Schedule'!$C$4="UESC", 'Summary Schedule'!$C$4="ESA"), "", IF(A22&lt;='Summary Schedule'!$C$27,'Itemized Costs-HIDDEN'!M18,""))</f>
        <v>0</v>
      </c>
      <c r="C22" s="214">
        <f ca="1">IF(OR('Summary Schedule'!$C$4="UESC", 'Summary Schedule'!$C$4="ESA"), "", IF(A22&lt;='Summary Schedule'!$C$27,'Amortization-HIDDEN'!K30,""))</f>
        <v>0</v>
      </c>
      <c r="D22" s="214">
        <f ca="1">IF('Summary Schedule'!$G$42="",IF(OR('Summary Schedule'!$C$4="UESC",'Summary Schedule'!$C$4="ESA"),"",IF(A22&lt;='Summary Schedule'!$C$27, INDIRECT("'Sch3-Perf Period Cash Flow'!"&amp;LEFT(ADDRESS(1,ROW(A17),4,1),(ROW(A17)&gt;26)+1)&amp;$A$9+22&amp;""),"")),"Term&gt;25Yrs")</f>
        <v>0</v>
      </c>
      <c r="E22" s="214">
        <f ca="1">IFERROR(IF(A22&lt;='Summary Schedule'!$C$27,C22-D22,""),"")</f>
        <v>0</v>
      </c>
      <c r="F22" s="82"/>
    </row>
    <row r="23" spans="1:9" ht="18" customHeight="1" thickBot="1">
      <c r="A23" s="93">
        <v>15</v>
      </c>
      <c r="B23" s="214">
        <f ca="1">IF(OR('Summary Schedule'!$C$4="UESC", 'Summary Schedule'!$C$4="ESA"), "", IF(A23&lt;='Summary Schedule'!$C$27,'Itemized Costs-HIDDEN'!M19,""))</f>
        <v>0</v>
      </c>
      <c r="C23" s="214">
        <f ca="1">IF(OR('Summary Schedule'!$C$4="UESC", 'Summary Schedule'!$C$4="ESA"), "", IF(A23&lt;='Summary Schedule'!$C$27,'Amortization-HIDDEN'!K31,""))</f>
        <v>0</v>
      </c>
      <c r="D23" s="214">
        <f ca="1">IF('Summary Schedule'!$G$42="",IF(OR('Summary Schedule'!$C$4="UESC",'Summary Schedule'!$C$4="ESA"),"",IF(A23&lt;='Summary Schedule'!$C$27, INDIRECT("'Sch3-Perf Period Cash Flow'!"&amp;LEFT(ADDRESS(1,ROW(A18),4,1),(ROW(A18)&gt;26)+1)&amp;$A$9+22&amp;""),"")),"Term&gt;25Yrs")</f>
        <v>0</v>
      </c>
      <c r="E23" s="214">
        <f ca="1">IFERROR(IF(A23&lt;='Summary Schedule'!$C$27,C23-D23,""),"")</f>
        <v>0</v>
      </c>
      <c r="F23" s="82"/>
    </row>
    <row r="24" spans="1:9" ht="18" customHeight="1" thickBot="1">
      <c r="A24" s="93">
        <v>16</v>
      </c>
      <c r="B24" s="214">
        <f ca="1">IF(OR('Summary Schedule'!$C$4="UESC", 'Summary Schedule'!$C$4="ESA"), "", IF(A24&lt;='Summary Schedule'!$C$27,'Itemized Costs-HIDDEN'!M20,""))</f>
        <v>0</v>
      </c>
      <c r="C24" s="214">
        <f ca="1">IF(OR('Summary Schedule'!$C$4="UESC", 'Summary Schedule'!$C$4="ESA"), "", IF(A24&lt;='Summary Schedule'!$C$27,'Amortization-HIDDEN'!K32,""))</f>
        <v>0</v>
      </c>
      <c r="D24" s="214">
        <f ca="1">IF('Summary Schedule'!$G$42="",IF(OR('Summary Schedule'!$C$4="UESC",'Summary Schedule'!$C$4="ESA"),"",IF(A24&lt;='Summary Schedule'!$C$27, INDIRECT("'Sch3-Perf Period Cash Flow'!"&amp;LEFT(ADDRESS(1,ROW(A19),4,1),(ROW(A19)&gt;26)+1)&amp;$A$9+22&amp;""),"")),"Term&gt;25Yrs")</f>
        <v>0</v>
      </c>
      <c r="E24" s="214">
        <f ca="1">IFERROR(IF(A24&lt;='Summary Schedule'!$C$27,C24-D24,""),"")</f>
        <v>0</v>
      </c>
      <c r="F24" s="82"/>
    </row>
    <row r="25" spans="1:9" ht="18" customHeight="1" thickBot="1">
      <c r="A25" s="93">
        <v>17</v>
      </c>
      <c r="B25" s="214">
        <f ca="1">IF(OR('Summary Schedule'!$C$4="UESC", 'Summary Schedule'!$C$4="ESA"), "", IF(A25&lt;='Summary Schedule'!$C$27,'Itemized Costs-HIDDEN'!M21,""))</f>
        <v>0</v>
      </c>
      <c r="C25" s="214">
        <f ca="1">IF(OR('Summary Schedule'!$C$4="UESC", 'Summary Schedule'!$C$4="ESA"), "", IF(A25&lt;='Summary Schedule'!$C$27,'Amortization-HIDDEN'!K33,""))</f>
        <v>0</v>
      </c>
      <c r="D25" s="214">
        <f ca="1">IF('Summary Schedule'!$G$42="",IF(OR('Summary Schedule'!$C$4="UESC",'Summary Schedule'!$C$4="ESA"),"",IF(A25&lt;='Summary Schedule'!$C$27, INDIRECT("'Sch3-Perf Period Cash Flow'!"&amp;LEFT(ADDRESS(1,ROW(A20),4,1),(ROW(A20)&gt;26)+1)&amp;$A$9+22&amp;""),"")),"Term&gt;25Yrs")</f>
        <v>0</v>
      </c>
      <c r="E25" s="214">
        <f ca="1">IFERROR(IF(A25&lt;='Summary Schedule'!$C$27,C25-D25,""),"")</f>
        <v>0</v>
      </c>
      <c r="F25" s="82"/>
    </row>
    <row r="26" spans="1:9" ht="18" customHeight="1" thickBot="1">
      <c r="A26" s="93">
        <v>18</v>
      </c>
      <c r="B26" s="214">
        <f ca="1">IF(OR('Summary Schedule'!$C$4="UESC", 'Summary Schedule'!$C$4="ESA"), "", IF(A26&lt;='Summary Schedule'!$C$27,'Itemized Costs-HIDDEN'!M22,""))</f>
        <v>0</v>
      </c>
      <c r="C26" s="214">
        <f ca="1">IF(OR('Summary Schedule'!$C$4="UESC", 'Summary Schedule'!$C$4="ESA"), "", IF(A26&lt;='Summary Schedule'!$C$27,'Amortization-HIDDEN'!K34,""))</f>
        <v>0</v>
      </c>
      <c r="D26" s="214">
        <f ca="1">IF('Summary Schedule'!$G$42="",IF(OR('Summary Schedule'!$C$4="UESC",'Summary Schedule'!$C$4="ESA"),"",IF(A26&lt;='Summary Schedule'!$C$27, INDIRECT("'Sch3-Perf Period Cash Flow'!"&amp;LEFT(ADDRESS(1,ROW(A21),4,1),(ROW(A21)&gt;26)+1)&amp;$A$9+22&amp;""),"")),"Term&gt;25Yrs")</f>
        <v>0</v>
      </c>
      <c r="E26" s="214">
        <f ca="1">IFERROR(IF(A26&lt;='Summary Schedule'!$C$27,C26-D26,""),"")</f>
        <v>0</v>
      </c>
      <c r="F26" s="82"/>
    </row>
    <row r="27" spans="1:9" ht="18" customHeight="1" thickBot="1">
      <c r="A27" s="93">
        <v>19</v>
      </c>
      <c r="B27" s="214">
        <f ca="1">IF(OR('Summary Schedule'!$C$4="UESC", 'Summary Schedule'!$C$4="ESA"), "", IF(A27&lt;='Summary Schedule'!$C$27,'Itemized Costs-HIDDEN'!M23,""))</f>
        <v>0</v>
      </c>
      <c r="C27" s="214">
        <f ca="1">IF(OR('Summary Schedule'!$C$4="UESC", 'Summary Schedule'!$C$4="ESA"), "", IF(A27&lt;='Summary Schedule'!$C$27,'Amortization-HIDDEN'!K35,""))</f>
        <v>0</v>
      </c>
      <c r="D27" s="214">
        <f ca="1">IF('Summary Schedule'!$G$42="",IF(OR('Summary Schedule'!$C$4="UESC",'Summary Schedule'!$C$4="ESA"),"",IF(A27&lt;='Summary Schedule'!$C$27, INDIRECT("'Sch3-Perf Period Cash Flow'!"&amp;LEFT(ADDRESS(1,ROW(A22),4,1),(ROW(A22)&gt;26)+1)&amp;$A$9+22&amp;""),"")),"Term&gt;25Yrs")</f>
        <v>0</v>
      </c>
      <c r="E27" s="214">
        <f ca="1">IFERROR(IF(A27&lt;='Summary Schedule'!$C$27,C27-D27,""),"")</f>
        <v>0</v>
      </c>
      <c r="F27" s="82"/>
    </row>
    <row r="28" spans="1:9" ht="18" customHeight="1" thickBot="1">
      <c r="A28" s="93">
        <v>20</v>
      </c>
      <c r="B28" s="214">
        <f ca="1">IF(OR('Summary Schedule'!$C$4="UESC", 'Summary Schedule'!$C$4="ESA"), "", IF(A28&lt;='Summary Schedule'!$C$27,'Itemized Costs-HIDDEN'!M24,""))</f>
        <v>0</v>
      </c>
      <c r="C28" s="214">
        <f ca="1">IF(OR('Summary Schedule'!$C$4="UESC", 'Summary Schedule'!$C$4="ESA"), "", IF(A28&lt;='Summary Schedule'!$C$27,'Amortization-HIDDEN'!K36,""))</f>
        <v>0</v>
      </c>
      <c r="D28" s="214">
        <f ca="1">IF('Summary Schedule'!$G$42="",IF(OR('Summary Schedule'!$C$4="UESC",'Summary Schedule'!$C$4="ESA"),"",IF(A28&lt;='Summary Schedule'!$C$27, INDIRECT("'Sch3-Perf Period Cash Flow'!"&amp;LEFT(ADDRESS(1,ROW(A23),4,1),(ROW(A23)&gt;26)+1)&amp;$A$9+22&amp;""),"")),"Term&gt;25Yrs")</f>
        <v>0</v>
      </c>
      <c r="E28" s="214">
        <f ca="1">IFERROR(IF(A28&lt;='Summary Schedule'!$C$27,C28-D28,""),"")</f>
        <v>0</v>
      </c>
      <c r="F28" s="82"/>
    </row>
    <row r="29" spans="1:9" ht="18" customHeight="1" thickBot="1">
      <c r="A29" s="93">
        <v>21</v>
      </c>
      <c r="B29" s="214">
        <f ca="1">IF(OR('Summary Schedule'!$C$4="UESC", 'Summary Schedule'!$C$4="ESA"), "", IF(A29&lt;='Summary Schedule'!$C$27,'Itemized Costs-HIDDEN'!M25,""))</f>
        <v>0</v>
      </c>
      <c r="C29" s="214">
        <f ca="1">IF(OR('Summary Schedule'!$C$4="UESC", 'Summary Schedule'!$C$4="ESA"), "", IF(A29&lt;='Summary Schedule'!$C$27,'Amortization-HIDDEN'!K37,""))</f>
        <v>0</v>
      </c>
      <c r="D29" s="214">
        <f ca="1">IF('Summary Schedule'!$G$42="",IF(OR('Summary Schedule'!$C$4="UESC",'Summary Schedule'!$C$4="ESA"),"",IF(A29&lt;='Summary Schedule'!$C$27, INDIRECT("'Sch3-Perf Period Cash Flow'!"&amp;LEFT(ADDRESS(1,ROW(A24),4,1),(ROW(A24)&gt;26)+1)&amp;$A$9+22&amp;""),"")),"Term&gt;25Yrs")</f>
        <v>0</v>
      </c>
      <c r="E29" s="214">
        <f ca="1">IFERROR(IF(A29&lt;='Summary Schedule'!$C$27,C29-D29,""),"")</f>
        <v>0</v>
      </c>
      <c r="F29" s="82"/>
    </row>
    <row r="30" spans="1:9" ht="18" customHeight="1" thickBot="1">
      <c r="A30" s="93">
        <v>22</v>
      </c>
      <c r="B30" s="214">
        <f ca="1">IF(OR('Summary Schedule'!$C$4="UESC", 'Summary Schedule'!$C$4="ESA"), "", IF(A30&lt;='Summary Schedule'!$C$27,'Itemized Costs-HIDDEN'!M26,""))</f>
        <v>0</v>
      </c>
      <c r="C30" s="214">
        <f ca="1">IF(OR('Summary Schedule'!$C$4="UESC", 'Summary Schedule'!$C$4="ESA"), "", IF(A30&lt;='Summary Schedule'!$C$27,'Amortization-HIDDEN'!K38,""))</f>
        <v>0</v>
      </c>
      <c r="D30" s="214">
        <f ca="1">IF('Summary Schedule'!$G$42="",IF(OR('Summary Schedule'!$C$4="UESC",'Summary Schedule'!$C$4="ESA"),"",IF(A30&lt;='Summary Schedule'!$C$27, INDIRECT("'Sch3-Perf Period Cash Flow'!"&amp;LEFT(ADDRESS(1,ROW(A25),4,1),(ROW(A25)&gt;26)+1)&amp;$A$9+22&amp;""),"")),"Term&gt;25Yrs")</f>
        <v>0</v>
      </c>
      <c r="E30" s="214">
        <f ca="1">IFERROR(IF(A30&lt;='Summary Schedule'!$C$27,C30-D30,""),"")</f>
        <v>0</v>
      </c>
      <c r="F30" s="82"/>
    </row>
    <row r="31" spans="1:9" ht="18" customHeight="1" thickBot="1">
      <c r="A31" s="93">
        <v>23</v>
      </c>
      <c r="B31" s="214">
        <f ca="1">IF(OR('Summary Schedule'!$C$4="UESC", 'Summary Schedule'!$C$4="ESA"), "", IF(A31&lt;='Summary Schedule'!$C$27,'Itemized Costs-HIDDEN'!M27,""))</f>
        <v>0</v>
      </c>
      <c r="C31" s="214">
        <f ca="1">IF(OR('Summary Schedule'!$C$4="UESC", 'Summary Schedule'!$C$4="ESA"), "", IF(A31&lt;='Summary Schedule'!$C$27,'Amortization-HIDDEN'!K39,""))</f>
        <v>0</v>
      </c>
      <c r="D31" s="214">
        <f ca="1">IF('Summary Schedule'!$G$42="",IF(OR('Summary Schedule'!$C$4="UESC",'Summary Schedule'!$C$4="ESA"),"",IF(A31&lt;='Summary Schedule'!$C$27, INDIRECT("'Sch3-Perf Period Cash Flow'!"&amp;LEFT(ADDRESS(1,ROW(A26),4,1),(ROW(A26)&gt;26)+1)&amp;$A$9+22&amp;""),"")),"Term&gt;25Yrs")</f>
        <v>0</v>
      </c>
      <c r="E31" s="214">
        <f ca="1">IFERROR(IF(A31&lt;='Summary Schedule'!$C$27,C31-D31,""),"")</f>
        <v>0</v>
      </c>
      <c r="F31" s="82"/>
    </row>
    <row r="32" spans="1:9" ht="18" customHeight="1" thickBot="1">
      <c r="A32" s="93">
        <v>24</v>
      </c>
      <c r="B32" s="214">
        <f ca="1">IF(OR('Summary Schedule'!$C$4="UESC", 'Summary Schedule'!$C$4="ESA"), "", IF(A32&lt;='Summary Schedule'!$C$27,'Itemized Costs-HIDDEN'!M28,""))</f>
        <v>0</v>
      </c>
      <c r="C32" s="214">
        <f ca="1">IF(OR('Summary Schedule'!$C$4="UESC", 'Summary Schedule'!$C$4="ESA"), "", IF(A32&lt;='Summary Schedule'!$C$27,'Amortization-HIDDEN'!K40,""))</f>
        <v>0</v>
      </c>
      <c r="D32" s="214">
        <f ca="1">IF('Summary Schedule'!$G$42="",IF(OR('Summary Schedule'!$C$4="UESC",'Summary Schedule'!$C$4="ESA"),"",IF(A32&lt;='Summary Schedule'!$C$27, INDIRECT("'Sch3-Perf Period Cash Flow'!"&amp;LEFT(ADDRESS(1,ROW(A27),4,1),(ROW(A27)&gt;26)+1)&amp;$A$9+22&amp;""),"")),"Term&gt;25Yrs")</f>
        <v>0</v>
      </c>
      <c r="E32" s="214">
        <f ca="1">IFERROR(IF(A32&lt;='Summary Schedule'!$C$27,C32-D32,""),"")</f>
        <v>0</v>
      </c>
      <c r="F32" s="82"/>
    </row>
    <row r="33" spans="1:6" ht="18" customHeight="1" thickBot="1">
      <c r="A33" s="93">
        <v>25</v>
      </c>
      <c r="B33" s="214">
        <f ca="1">IF(OR('Summary Schedule'!$C$4="UESC", 'Summary Schedule'!$C$4="ESA"), "", IF(A33&lt;='Summary Schedule'!$C$27,'Itemized Costs-HIDDEN'!M29,""))</f>
        <v>0</v>
      </c>
      <c r="C33" s="214">
        <f ca="1">IF(OR('Summary Schedule'!$C$4="UESC", 'Summary Schedule'!$C$4="ESA"), "", IF(A33&lt;='Summary Schedule'!$C$27,'Amortization-HIDDEN'!K41,""))</f>
        <v>0</v>
      </c>
      <c r="D33" s="214">
        <f ca="1">IF('Summary Schedule'!$G$42="",IF(OR('Summary Schedule'!$C$4="UESC",'Summary Schedule'!$C$4="ESA"),"",IF(A33&lt;='Summary Schedule'!$C$27, INDIRECT("'Sch3-Perf Period Cash Flow'!"&amp;LEFT(ADDRESS(1,ROW(A28),4,1),(ROW(A28)&gt;26)+1)&amp;$A$9+22&amp;""),"")),"Term&gt;25Yrs")</f>
        <v>0</v>
      </c>
      <c r="E33" s="214">
        <f ca="1">IFERROR(IF(A33&lt;='Summary Schedule'!$C$27,C33-D33,""),"")</f>
        <v>0</v>
      </c>
      <c r="F33" s="82"/>
    </row>
    <row r="34" spans="1:6" ht="18" hidden="1" customHeight="1" thickBot="1">
      <c r="A34" s="93">
        <v>26</v>
      </c>
      <c r="B34" s="214">
        <f ca="1">IF(OR('Summary Schedule'!$C$4="UESC", 'Summary Schedule'!$C$4="ESA"), "", IF(A34&lt;='Summary Schedule'!$C$27,'Itemized Costs-HIDDEN'!M30,""))</f>
        <v>0</v>
      </c>
      <c r="C34" s="214">
        <f ca="1">IF(OR('Summary Schedule'!$C$4="UESC", 'Summary Schedule'!$C$4="ESA"), "", IF(A34&lt;='Summary Schedule'!$C$27,'Amortization-HIDDEN'!K42,""))</f>
        <v>0</v>
      </c>
      <c r="D34" s="214">
        <f ca="1">IF('Summary Schedule'!$G$42="",IF(OR('Summary Schedule'!$C$4="UESC",'Summary Schedule'!$C$4="ESA"),"",IF(A34&lt;='Summary Schedule'!$C$27, INDIRECT("'Sch3-Perf Period Cash Flow'!"&amp;LEFT(ADDRESS(1,ROW(A29),4,1),(ROW(A29)&gt;26)+1)&amp;$A$9+22&amp;""),"")),"Term&gt;25Yrs")</f>
        <v>0</v>
      </c>
      <c r="E34" s="214">
        <f ca="1">IFERROR(IF(A34&lt;='Summary Schedule'!$C$27,C34-D34,""),"")</f>
        <v>0</v>
      </c>
      <c r="F34" s="82"/>
    </row>
    <row r="35" spans="1:6" ht="18" hidden="1" customHeight="1" thickBot="1">
      <c r="A35" s="93">
        <v>27</v>
      </c>
      <c r="B35" s="214">
        <f ca="1">IF(OR('Summary Schedule'!$C$4="UESC", 'Summary Schedule'!$C$4="ESA"), "", IF(A35&lt;='Summary Schedule'!$C$27,'Itemized Costs-HIDDEN'!M31,""))</f>
        <v>0</v>
      </c>
      <c r="C35" s="214">
        <f ca="1">IF(OR('Summary Schedule'!$C$4="UESC", 'Summary Schedule'!$C$4="ESA"), "", IF(A35&lt;='Summary Schedule'!$C$27,'Amortization-HIDDEN'!K43,""))</f>
        <v>0</v>
      </c>
      <c r="D35" s="214">
        <f ca="1">IF('Summary Schedule'!$G$42="",IF(OR('Summary Schedule'!$C$4="UESC",'Summary Schedule'!$C$4="ESA"),"",IF(A35&lt;='Summary Schedule'!$C$27, INDIRECT("'Sch3-Perf Period Cash Flow'!"&amp;LEFT(ADDRESS(1,ROW(A30),4,1),(ROW(A30)&gt;26)+1)&amp;$A$9+22&amp;""),"")),"Term&gt;25Yrs")</f>
        <v>0</v>
      </c>
      <c r="E35" s="214">
        <f ca="1">IFERROR(IF(A35&lt;='Summary Schedule'!$C$27,C35-D35,""),"")</f>
        <v>0</v>
      </c>
      <c r="F35" s="82"/>
    </row>
    <row r="36" spans="1:6" ht="18" hidden="1" customHeight="1" thickBot="1">
      <c r="A36" s="93">
        <v>28</v>
      </c>
      <c r="B36" s="214">
        <f ca="1">IF(OR('Summary Schedule'!$C$4="UESC", 'Summary Schedule'!$C$4="ESA"), "", IF(A36&lt;='Summary Schedule'!$C$27,'Itemized Costs-HIDDEN'!M32,""))</f>
        <v>0</v>
      </c>
      <c r="C36" s="214">
        <f ca="1">IF(OR('Summary Schedule'!$C$4="UESC", 'Summary Schedule'!$C$4="ESA"), "", IF(A36&lt;='Summary Schedule'!$C$27,'Amortization-HIDDEN'!K44,""))</f>
        <v>0</v>
      </c>
      <c r="D36" s="214">
        <f ca="1">IF('Summary Schedule'!$G$42="",IF(OR('Summary Schedule'!$C$4="UESC",'Summary Schedule'!$C$4="ESA"),"",IF(A36&lt;='Summary Schedule'!$C$27, INDIRECT("'Sch3-Perf Period Cash Flow'!"&amp;LEFT(ADDRESS(1,ROW(A31),4,1),(ROW(A31)&gt;26)+1)&amp;$A$9+22&amp;""),"")),"Term&gt;25Yrs")</f>
        <v>0</v>
      </c>
      <c r="E36" s="214">
        <f ca="1">IFERROR(IF(A36&lt;='Summary Schedule'!$C$27,C36-D36,""),"")</f>
        <v>0</v>
      </c>
      <c r="F36" s="82"/>
    </row>
    <row r="37" spans="1:6" ht="18" hidden="1" customHeight="1" thickBot="1">
      <c r="A37" s="93">
        <v>29</v>
      </c>
      <c r="B37" s="214">
        <f ca="1">IF(OR('Summary Schedule'!$C$4="UESC", 'Summary Schedule'!$C$4="ESA"), "", IF(A37&lt;='Summary Schedule'!$C$27,'Itemized Costs-HIDDEN'!M33,""))</f>
        <v>0</v>
      </c>
      <c r="C37" s="214">
        <f ca="1">IF(OR('Summary Schedule'!$C$4="UESC", 'Summary Schedule'!$C$4="ESA"), "", IF(A37&lt;='Summary Schedule'!$C$27,'Amortization-HIDDEN'!K45,""))</f>
        <v>0</v>
      </c>
      <c r="D37" s="214">
        <f ca="1">IF('Summary Schedule'!$G$42="",IF(OR('Summary Schedule'!$C$4="UESC",'Summary Schedule'!$C$4="ESA"),"",IF(A37&lt;='Summary Schedule'!$C$27, INDIRECT("'Sch3-Perf Period Cash Flow'!"&amp;LEFT(ADDRESS(1,ROW(A32),4,1),(ROW(A32)&gt;26)+1)&amp;$A$9+22&amp;""),"")),"Term&gt;25Yrs")</f>
        <v>0</v>
      </c>
      <c r="E37" s="214">
        <f ca="1">IFERROR(IF(A37&lt;='Summary Schedule'!$C$27,C37-D37,""),"")</f>
        <v>0</v>
      </c>
      <c r="F37" s="82"/>
    </row>
    <row r="38" spans="1:6" ht="18" hidden="1" customHeight="1" thickBot="1">
      <c r="A38" s="93">
        <v>30</v>
      </c>
      <c r="B38" s="214">
        <f ca="1">IF(OR('Summary Schedule'!$C$4="UESC", 'Summary Schedule'!$C$4="ESA"), "", IF(A38&lt;='Summary Schedule'!$C$27,'Itemized Costs-HIDDEN'!M34,""))</f>
        <v>0</v>
      </c>
      <c r="C38" s="214">
        <f ca="1">IF(OR('Summary Schedule'!$C$4="UESC", 'Summary Schedule'!$C$4="ESA"), "", IF(A38&lt;='Summary Schedule'!$C$27,'Amortization-HIDDEN'!K46,""))</f>
        <v>0</v>
      </c>
      <c r="D38" s="214">
        <f ca="1">IF('Summary Schedule'!$G$42="",IF(OR('Summary Schedule'!$C$4="UESC",'Summary Schedule'!$C$4="ESA"),"",IF(A38&lt;='Summary Schedule'!$C$27, INDIRECT("'Sch3-Perf Period Cash Flow'!"&amp;LEFT(ADDRESS(1,ROW(A33),4,1),(ROW(A33)&gt;26)+1)&amp;$A$9+22&amp;""),"")),"Term&gt;25Yrs")</f>
        <v>0</v>
      </c>
      <c r="E38" s="214">
        <f ca="1">IFERROR(IF(A38&lt;='Summary Schedule'!$C$27,C38-D38,""),"")</f>
        <v>0</v>
      </c>
      <c r="F38" s="82"/>
    </row>
    <row r="39" spans="1:6" ht="18" hidden="1" customHeight="1" thickBot="1">
      <c r="A39" s="93">
        <v>31</v>
      </c>
      <c r="B39" s="214">
        <f ca="1">IF(OR('Summary Schedule'!$C$4="UESC", 'Summary Schedule'!$C$4="ESA"), "", IF(A39&lt;='Summary Schedule'!$C$27,'Itemized Costs-HIDDEN'!M35,""))</f>
        <v>0</v>
      </c>
      <c r="C39" s="214">
        <f ca="1">IF(OR('Summary Schedule'!$C$4="UESC", 'Summary Schedule'!$C$4="ESA"), "", IF(A39&lt;='Summary Schedule'!$C$27,'Amortization-HIDDEN'!K47,""))</f>
        <v>0</v>
      </c>
      <c r="D39" s="214">
        <f ca="1">IF('Summary Schedule'!$G$42="",IF(OR('Summary Schedule'!$C$4="UESC",'Summary Schedule'!$C$4="ESA"),"",IF(A39&lt;='Summary Schedule'!$C$27, INDIRECT("'Sch3-Perf Period Cash Flow'!"&amp;LEFT(ADDRESS(1,ROW(A34),4,1),(ROW(A34)&gt;26)+1)&amp;$A$9+22&amp;""),"")),"Term&gt;25Yrs")</f>
        <v>0</v>
      </c>
      <c r="E39" s="214">
        <f ca="1">IFERROR(IF(A39&lt;='Summary Schedule'!$C$27,C39-D39,""),"")</f>
        <v>0</v>
      </c>
      <c r="F39" s="82"/>
    </row>
    <row r="40" spans="1:6" ht="18" hidden="1" customHeight="1" thickBot="1">
      <c r="A40" s="93">
        <v>32</v>
      </c>
      <c r="B40" s="214">
        <f ca="1">IF(OR('Summary Schedule'!$C$4="UESC", 'Summary Schedule'!$C$4="ESA"), "", IF(A40&lt;='Summary Schedule'!$C$27,'Itemized Costs-HIDDEN'!M36,""))</f>
        <v>0</v>
      </c>
      <c r="C40" s="214">
        <f ca="1">IF(OR('Summary Schedule'!$C$4="UESC", 'Summary Schedule'!$C$4="ESA"), "", IF(A40&lt;='Summary Schedule'!$C$27,'Amortization-HIDDEN'!K48,""))</f>
        <v>0</v>
      </c>
      <c r="D40" s="214">
        <f ca="1">IF('Summary Schedule'!$G$42="",IF(OR('Summary Schedule'!$C$4="UESC",'Summary Schedule'!$C$4="ESA"),"",IF(A40&lt;='Summary Schedule'!$C$27, INDIRECT("'Sch3-Perf Period Cash Flow'!"&amp;LEFT(ADDRESS(1,ROW(A35),4,1),(ROW(A35)&gt;26)+1)&amp;$A$9+22&amp;""),"")),"Term&gt;25Yrs")</f>
        <v>0</v>
      </c>
      <c r="E40" s="214">
        <f ca="1">IFERROR(IF(A40&lt;='Summary Schedule'!$C$27,C40-D40,""),"")</f>
        <v>0</v>
      </c>
      <c r="F40" s="82"/>
    </row>
    <row r="41" spans="1:6" ht="18" hidden="1" customHeight="1" thickBot="1">
      <c r="A41" s="93">
        <v>33</v>
      </c>
      <c r="B41" s="214">
        <f ca="1">IF(OR('Summary Schedule'!$C$4="UESC", 'Summary Schedule'!$C$4="ESA"), "", IF(A41&lt;='Summary Schedule'!$C$27,'Itemized Costs-HIDDEN'!M37,""))</f>
        <v>0</v>
      </c>
      <c r="C41" s="214">
        <f ca="1">IF(OR('Summary Schedule'!$C$4="UESC", 'Summary Schedule'!$C$4="ESA"), "", IF(A41&lt;='Summary Schedule'!$C$27,'Amortization-HIDDEN'!K49,""))</f>
        <v>0</v>
      </c>
      <c r="D41" s="214">
        <f ca="1">IF('Summary Schedule'!$G$42="",IF(OR('Summary Schedule'!$C$4="UESC",'Summary Schedule'!$C$4="ESA"),"",IF(A41&lt;='Summary Schedule'!$C$27, INDIRECT("'Sch3-Perf Period Cash Flow'!"&amp;LEFT(ADDRESS(1,ROW(A36),4,1),(ROW(A36)&gt;26)+1)&amp;$A$9+22&amp;""),"")),"Term&gt;25Yrs")</f>
        <v>0</v>
      </c>
      <c r="E41" s="214">
        <f ca="1">IFERROR(IF(A41&lt;='Summary Schedule'!$C$27,C41-D41,""),"")</f>
        <v>0</v>
      </c>
      <c r="F41" s="82"/>
    </row>
    <row r="42" spans="1:6" ht="18" hidden="1" customHeight="1" thickBot="1">
      <c r="A42" s="93">
        <v>34</v>
      </c>
      <c r="B42" s="214">
        <f ca="1">IF(OR('Summary Schedule'!$C$4="UESC", 'Summary Schedule'!$C$4="ESA"), "", IF(A42&lt;='Summary Schedule'!$C$27,'Itemized Costs-HIDDEN'!M38,""))</f>
        <v>0</v>
      </c>
      <c r="C42" s="214">
        <f ca="1">IF(OR('Summary Schedule'!$C$4="UESC", 'Summary Schedule'!$C$4="ESA"), "", IF(A42&lt;='Summary Schedule'!$C$27,'Amortization-HIDDEN'!K50,""))</f>
        <v>0</v>
      </c>
      <c r="D42" s="214">
        <f ca="1">IF('Summary Schedule'!$G$42="",IF(OR('Summary Schedule'!$C$4="UESC",'Summary Schedule'!$C$4="ESA"),"",IF(A42&lt;='Summary Schedule'!$C$27, INDIRECT("'Sch3-Perf Period Cash Flow'!"&amp;LEFT(ADDRESS(1,ROW(A37),4,1),(ROW(A37)&gt;26)+1)&amp;$A$9+22&amp;""),"")),"Term&gt;25Yrs")</f>
        <v>0</v>
      </c>
      <c r="E42" s="214">
        <f ca="1">IFERROR(IF(A42&lt;='Summary Schedule'!$C$27,C42-D42,""),"")</f>
        <v>0</v>
      </c>
      <c r="F42" s="82"/>
    </row>
    <row r="43" spans="1:6" ht="18" hidden="1" customHeight="1" thickBot="1">
      <c r="A43" s="93">
        <v>35</v>
      </c>
      <c r="B43" s="214">
        <f ca="1">IF(OR('Summary Schedule'!$C$4="UESC", 'Summary Schedule'!$C$4="ESA"), "", IF(A43&lt;='Summary Schedule'!$C$27,'Itemized Costs-HIDDEN'!M39,""))</f>
        <v>0</v>
      </c>
      <c r="C43" s="214">
        <f ca="1">IF(OR('Summary Schedule'!$C$4="UESC", 'Summary Schedule'!$C$4="ESA"), "", IF(A43&lt;='Summary Schedule'!$C$27,'Amortization-HIDDEN'!K51,""))</f>
        <v>0</v>
      </c>
      <c r="D43" s="214">
        <f ca="1">IF('Summary Schedule'!$G$42="",IF(OR('Summary Schedule'!$C$4="UESC",'Summary Schedule'!$C$4="ESA"),"",IF(A43&lt;='Summary Schedule'!$C$27, INDIRECT("'Sch3-Perf Period Cash Flow'!"&amp;LEFT(ADDRESS(1,ROW(A38),4,1),(ROW(A38)&gt;26)+1)&amp;$A$9+22&amp;""),"")),"Term&gt;25Yrs")</f>
        <v>0</v>
      </c>
      <c r="E43" s="214">
        <f ca="1">IFERROR(IF(A43&lt;='Summary Schedule'!$C$27,C43-D43,""),"")</f>
        <v>0</v>
      </c>
      <c r="F43" s="82"/>
    </row>
    <row r="44" spans="1:6" ht="18" hidden="1" customHeight="1" thickBot="1">
      <c r="A44" s="93">
        <v>36</v>
      </c>
      <c r="B44" s="214">
        <f ca="1">IF(OR('Summary Schedule'!$C$4="UESC", 'Summary Schedule'!$C$4="ESA"), "", IF(A44&lt;='Summary Schedule'!$C$27,'Itemized Costs-HIDDEN'!M40,""))</f>
        <v>0</v>
      </c>
      <c r="C44" s="214">
        <f ca="1">IF(OR('Summary Schedule'!$C$4="UESC", 'Summary Schedule'!$C$4="ESA"), "", IF(A44&lt;='Summary Schedule'!$C$27,'Amortization-HIDDEN'!K52,""))</f>
        <v>0</v>
      </c>
      <c r="D44" s="214">
        <f ca="1">IF('Summary Schedule'!$G$42="",IF(OR('Summary Schedule'!$C$4="UESC",'Summary Schedule'!$C$4="ESA"),"",IF(A44&lt;='Summary Schedule'!$C$27, INDIRECT("'Sch3-Perf Period Cash Flow'!"&amp;LEFT(ADDRESS(1,ROW(A39),4,1),(ROW(A39)&gt;26)+1)&amp;$A$9+22&amp;""),"")),"Term&gt;25Yrs")</f>
        <v>0</v>
      </c>
      <c r="E44" s="214">
        <f ca="1">IFERROR(IF(A44&lt;='Summary Schedule'!$C$27,C44-D44,""),"")</f>
        <v>0</v>
      </c>
      <c r="F44" s="82"/>
    </row>
    <row r="45" spans="1:6" ht="18" hidden="1" customHeight="1" thickBot="1">
      <c r="A45" s="93">
        <v>37</v>
      </c>
      <c r="B45" s="214">
        <f ca="1">IF(OR('Summary Schedule'!$C$4="UESC", 'Summary Schedule'!$C$4="ESA"), "", IF(A45&lt;='Summary Schedule'!$C$27,'Itemized Costs-HIDDEN'!M41,""))</f>
        <v>0</v>
      </c>
      <c r="C45" s="214">
        <f ca="1">IF(OR('Summary Schedule'!$C$4="UESC", 'Summary Schedule'!$C$4="ESA"), "", IF(A45&lt;='Summary Schedule'!$C$27,'Amortization-HIDDEN'!K53,""))</f>
        <v>0</v>
      </c>
      <c r="D45" s="214">
        <f ca="1">IF('Summary Schedule'!$G$42="",IF(OR('Summary Schedule'!$C$4="UESC",'Summary Schedule'!$C$4="ESA"),"",IF(A45&lt;='Summary Schedule'!$C$27, INDIRECT("'Sch3-Perf Period Cash Flow'!"&amp;LEFT(ADDRESS(1,ROW(A40),4,1),(ROW(A40)&gt;26)+1)&amp;$A$9+22&amp;""),"")),"Term&gt;25Yrs")</f>
        <v>0</v>
      </c>
      <c r="E45" s="214">
        <f ca="1">IFERROR(IF(A45&lt;='Summary Schedule'!$C$27,C45-D45,""),"")</f>
        <v>0</v>
      </c>
      <c r="F45" s="82"/>
    </row>
    <row r="46" spans="1:6" ht="18" hidden="1" customHeight="1" thickBot="1">
      <c r="A46" s="93">
        <v>38</v>
      </c>
      <c r="B46" s="214">
        <f ca="1">IF(OR('Summary Schedule'!$C$4="UESC", 'Summary Schedule'!$C$4="ESA"), "", IF(A46&lt;='Summary Schedule'!$C$27,'Itemized Costs-HIDDEN'!M42,""))</f>
        <v>0</v>
      </c>
      <c r="C46" s="214">
        <f ca="1">IF(OR('Summary Schedule'!$C$4="UESC", 'Summary Schedule'!$C$4="ESA"), "", IF(A46&lt;='Summary Schedule'!$C$27,'Amortization-HIDDEN'!K54,""))</f>
        <v>0</v>
      </c>
      <c r="D46" s="214">
        <f ca="1">IF('Summary Schedule'!$G$42="",IF(OR('Summary Schedule'!$C$4="UESC",'Summary Schedule'!$C$4="ESA"),"",IF(A46&lt;='Summary Schedule'!$C$27, INDIRECT("'Sch3-Perf Period Cash Flow'!"&amp;LEFT(ADDRESS(1,ROW(A41),4,1),(ROW(A41)&gt;26)+1)&amp;$A$9+22&amp;""),"")),"Term&gt;25Yrs")</f>
        <v>0</v>
      </c>
      <c r="E46" s="214">
        <f ca="1">IFERROR(IF(A46&lt;='Summary Schedule'!$C$27,C46-D46,""),"")</f>
        <v>0</v>
      </c>
      <c r="F46" s="82"/>
    </row>
    <row r="47" spans="1:6" ht="18" hidden="1" customHeight="1" thickBot="1">
      <c r="A47" s="93">
        <v>39</v>
      </c>
      <c r="B47" s="214">
        <f ca="1">IF(OR('Summary Schedule'!$C$4="UESC", 'Summary Schedule'!$C$4="ESA"), "", IF(A47&lt;='Summary Schedule'!$C$27,'Itemized Costs-HIDDEN'!M43,""))</f>
        <v>0</v>
      </c>
      <c r="C47" s="214">
        <f ca="1">IF(OR('Summary Schedule'!$C$4="UESC", 'Summary Schedule'!$C$4="ESA"), "", IF(A47&lt;='Summary Schedule'!$C$27,'Amortization-HIDDEN'!K55,""))</f>
        <v>0</v>
      </c>
      <c r="D47" s="214">
        <f ca="1">IF('Summary Schedule'!$G$42="",IF(OR('Summary Schedule'!$C$4="UESC",'Summary Schedule'!$C$4="ESA"),"",IF(A47&lt;='Summary Schedule'!$C$27, INDIRECT("'Sch3-Perf Period Cash Flow'!"&amp;LEFT(ADDRESS(1,ROW(A42),4,1),(ROW(A42)&gt;26)+1)&amp;$A$9+22&amp;""),"")),"Term&gt;25Yrs")</f>
        <v>0</v>
      </c>
      <c r="E47" s="214">
        <f ca="1">IFERROR(IF(A47&lt;='Summary Schedule'!$C$27,C47-D47,""),"")</f>
        <v>0</v>
      </c>
      <c r="F47" s="82"/>
    </row>
    <row r="48" spans="1:6" ht="18" hidden="1" customHeight="1" thickBot="1">
      <c r="A48" s="93">
        <v>40</v>
      </c>
      <c r="B48" s="214">
        <f ca="1">IF(OR('Summary Schedule'!$C$4="UESC", 'Summary Schedule'!$C$4="ESA"), "", IF(A48&lt;='Summary Schedule'!$C$27,'Itemized Costs-HIDDEN'!M44,""))</f>
        <v>0</v>
      </c>
      <c r="C48" s="214">
        <f ca="1">IF(OR('Summary Schedule'!$C$4="UESC", 'Summary Schedule'!$C$4="ESA"), "", IF(A48&lt;='Summary Schedule'!$C$27,'Amortization-HIDDEN'!K56,""))</f>
        <v>0</v>
      </c>
      <c r="D48" s="214">
        <f ca="1">IF('Summary Schedule'!$G$42="",IF(OR('Summary Schedule'!$C$4="UESC",'Summary Schedule'!$C$4="ESA"),"",IF(A48&lt;='Summary Schedule'!$C$27, INDIRECT("'Sch3-Perf Period Cash Flow'!"&amp;LEFT(ADDRESS(1,ROW(A43),4,1),(ROW(A43)&gt;26)+1)&amp;$A$9+22&amp;""),"")),"Term&gt;25Yrs")</f>
        <v>0</v>
      </c>
      <c r="E48" s="214">
        <f ca="1">IFERROR(IF(A48&lt;='Summary Schedule'!$C$27,C48-D48,""),"")</f>
        <v>0</v>
      </c>
      <c r="F48" s="82"/>
    </row>
    <row r="49" spans="1:7" ht="32.25" customHeight="1" thickBot="1">
      <c r="A49" s="94" t="s">
        <v>65</v>
      </c>
      <c r="B49" s="215">
        <f ca="1">SUM(B9:B33)</f>
        <v>0</v>
      </c>
      <c r="C49" s="215">
        <f ca="1">SUM(C9:C33)</f>
        <v>0</v>
      </c>
      <c r="D49" s="215">
        <f ca="1">SUM(D9:D33)</f>
        <v>0</v>
      </c>
      <c r="E49" s="215">
        <f ca="1">SUM(E9:E33)</f>
        <v>0</v>
      </c>
      <c r="F49" s="45"/>
      <c r="G49" s="45"/>
    </row>
    <row r="50" spans="1:7" ht="20.25" customHeight="1">
      <c r="A50" s="544" t="s">
        <v>30</v>
      </c>
      <c r="B50" s="545"/>
      <c r="C50" s="550" t="s">
        <v>6</v>
      </c>
      <c r="D50" s="552" t="s">
        <v>152</v>
      </c>
      <c r="E50" s="151"/>
      <c r="F50" s="45"/>
      <c r="G50" s="45"/>
    </row>
    <row r="51" spans="1:7" ht="16.5" thickBot="1">
      <c r="A51" s="546"/>
      <c r="B51" s="547"/>
      <c r="C51" s="551"/>
      <c r="D51" s="553"/>
      <c r="E51" s="149"/>
      <c r="F51" s="45"/>
      <c r="G51" s="45"/>
    </row>
    <row r="52" spans="1:7" ht="18" customHeight="1" thickBot="1">
      <c r="A52" s="548"/>
      <c r="B52" s="549"/>
      <c r="C52" s="166">
        <f ca="1">C49+C6</f>
        <v>0</v>
      </c>
      <c r="D52" s="167">
        <f ca="1">D49+D6</f>
        <v>0</v>
      </c>
      <c r="E52" s="149"/>
      <c r="F52" s="45"/>
      <c r="G52" s="45"/>
    </row>
    <row r="53" spans="1:7" ht="16.5" thickBot="1">
      <c r="A53" s="46"/>
      <c r="B53" s="47"/>
      <c r="C53" s="48"/>
      <c r="D53" s="48"/>
      <c r="E53" s="254"/>
      <c r="F53" s="45"/>
      <c r="G53" s="45"/>
    </row>
    <row r="54" spans="1:7">
      <c r="A54" s="556" t="s">
        <v>15</v>
      </c>
      <c r="B54" s="557"/>
      <c r="C54" s="557"/>
      <c r="D54" s="557"/>
      <c r="E54" s="513"/>
    </row>
    <row r="55" spans="1:7" ht="55" customHeight="1">
      <c r="A55" s="559" t="s">
        <v>367</v>
      </c>
      <c r="B55" s="560"/>
      <c r="C55" s="560"/>
      <c r="D55" s="560"/>
      <c r="E55" s="561"/>
    </row>
    <row r="56" spans="1:7" ht="17.25" customHeight="1">
      <c r="A56" s="554" t="s">
        <v>318</v>
      </c>
      <c r="B56" s="562"/>
      <c r="C56" s="562"/>
      <c r="D56" s="562"/>
      <c r="E56" s="563"/>
    </row>
    <row r="57" spans="1:7" ht="17.25" customHeight="1">
      <c r="A57" s="554" t="s">
        <v>206</v>
      </c>
      <c r="B57" s="542"/>
      <c r="C57" s="542"/>
      <c r="D57" s="542"/>
      <c r="E57" s="555"/>
    </row>
    <row r="58" spans="1:7" ht="17.25" customHeight="1">
      <c r="A58" s="554" t="s">
        <v>279</v>
      </c>
      <c r="B58" s="542"/>
      <c r="C58" s="542"/>
      <c r="D58" s="542"/>
      <c r="E58" s="555"/>
    </row>
    <row r="59" spans="1:7" ht="16" customHeight="1">
      <c r="A59" s="554" t="s">
        <v>280</v>
      </c>
      <c r="B59" s="542"/>
      <c r="C59" s="542"/>
      <c r="D59" s="542"/>
      <c r="E59" s="555"/>
    </row>
    <row r="60" spans="1:7" ht="16.5" thickBot="1">
      <c r="A60" s="554" t="s">
        <v>281</v>
      </c>
      <c r="B60" s="542"/>
      <c r="C60" s="542"/>
      <c r="D60" s="542"/>
      <c r="E60" s="555"/>
    </row>
    <row r="61" spans="1:7">
      <c r="A61" s="556" t="s">
        <v>173</v>
      </c>
      <c r="B61" s="557"/>
      <c r="C61" s="557"/>
      <c r="D61" s="557"/>
      <c r="E61" s="513"/>
    </row>
    <row r="62" spans="1:7" ht="71.25" customHeight="1" thickBot="1">
      <c r="A62" s="520"/>
      <c r="B62" s="521"/>
      <c r="C62" s="521"/>
      <c r="D62" s="521"/>
      <c r="E62" s="558"/>
    </row>
    <row r="63" spans="1:7">
      <c r="A63" s="1" t="str">
        <f>'Annual Escalation Rates'!A52</f>
        <v>4.2.9.c</v>
      </c>
    </row>
    <row r="64" spans="1:7">
      <c r="A64" s="38" t="str">
        <f>'Summary Schedule'!A54</f>
        <v>02112025</v>
      </c>
    </row>
  </sheetData>
  <sheetProtection algorithmName="SHA-512" hashValue="WRJkALed/O4hRa+cqFFr+/2UjBJJBBS5VWvYOvauTr8D+9EETZYZKzZBvfV4f67b0p6CVHMfkJm+9QGYuLLQkQ==" saltValue="t2bCEy7DcfSiLqxaa8Nq9A==" spinCount="100000" sheet="1" objects="1" scenarios="1"/>
  <mergeCells count="16">
    <mergeCell ref="A59:E59"/>
    <mergeCell ref="A60:E60"/>
    <mergeCell ref="A61:E61"/>
    <mergeCell ref="A62:E62"/>
    <mergeCell ref="A54:E54"/>
    <mergeCell ref="A55:E55"/>
    <mergeCell ref="A56:E56"/>
    <mergeCell ref="A57:E57"/>
    <mergeCell ref="A58:E58"/>
    <mergeCell ref="A1:E1"/>
    <mergeCell ref="A2:E2"/>
    <mergeCell ref="A4:A6"/>
    <mergeCell ref="A7:A8"/>
    <mergeCell ref="A50:B52"/>
    <mergeCell ref="C50:C51"/>
    <mergeCell ref="D50:D51"/>
  </mergeCells>
  <dataValidations count="1">
    <dataValidation type="whole" allowBlank="1" showInputMessage="1" showErrorMessage="1" error="Please enter a valid value " sqref="E51:E52 B6:E6" xr:uid="{00000000-0002-0000-0300-000000000000}">
      <formula1>0</formula1>
      <formula2>1000000000</formula2>
    </dataValidation>
  </dataValidations>
  <pageMargins left="0.75" right="0.75" top="1" bottom="1" header="0.5" footer="0.5"/>
  <pageSetup scale="55" orientation="portrait"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1" id="{14188C61-1CFC-4A40-94DA-CF4689D78DCC}">
            <xm:f>'Summary Schedule'!$C$4="UESC"</xm:f>
            <x14:dxf>
              <font>
                <color theme="0" tint="-0.24994659260841701"/>
              </font>
              <fill>
                <patternFill>
                  <fgColor theme="0" tint="-0.24994659260841701"/>
                  <bgColor theme="0" tint="-0.24994659260841701"/>
                </patternFill>
              </fill>
              <border>
                <left/>
                <right/>
                <top/>
                <bottom/>
              </border>
            </x14:dxf>
          </x14:cfRule>
          <x14:cfRule type="expression" priority="2" id="{5FED5B71-395B-E24F-9EFA-F2B49AAA2CAE}">
            <xm:f>'Summary Schedule'!$C$4="ESA"</xm:f>
            <x14:dxf>
              <font>
                <color theme="0" tint="-0.24994659260841701"/>
              </font>
              <fill>
                <patternFill patternType="solid">
                  <fgColor theme="0" tint="-0.24994659260841701"/>
                  <bgColor theme="0" tint="-0.24994659260841701"/>
                </patternFill>
              </fill>
              <border>
                <left/>
                <right/>
                <top/>
                <bottom/>
                <vertical/>
                <horizontal/>
              </border>
            </x14:dxf>
          </x14:cfRule>
          <xm:sqref>A1:E64</xm:sqref>
        </x14:conditionalFormatting>
      </x14:conditionalFormattings>
    </ex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rgb="FF660066"/>
    <pageSetUpPr fitToPage="1"/>
  </sheetPr>
  <dimension ref="A1:G62"/>
  <sheetViews>
    <sheetView zoomScale="90" zoomScaleNormal="90" zoomScalePageLayoutView="150" workbookViewId="0">
      <selection sqref="A1:D1"/>
    </sheetView>
  </sheetViews>
  <sheetFormatPr defaultColWidth="11" defaultRowHeight="16"/>
  <cols>
    <col min="1" max="1" width="23" style="1" customWidth="1"/>
    <col min="2" max="2" width="37.83203125" style="1" customWidth="1"/>
    <col min="3" max="3" width="23.5" style="1" customWidth="1"/>
    <col min="4" max="4" width="28.5" style="1" customWidth="1"/>
    <col min="5" max="5" width="14.5" style="1" bestFit="1" customWidth="1"/>
    <col min="6" max="6" width="12.83203125" style="1" bestFit="1" customWidth="1"/>
    <col min="7" max="7" width="14.5" style="1" bestFit="1" customWidth="1"/>
    <col min="8" max="16384" width="11" style="1"/>
  </cols>
  <sheetData>
    <row r="1" spans="1:7" ht="20">
      <c r="A1" s="528" t="s">
        <v>337</v>
      </c>
      <c r="B1" s="528"/>
      <c r="C1" s="528"/>
      <c r="D1" s="542"/>
    </row>
    <row r="2" spans="1:7" ht="20.5" thickBot="1">
      <c r="A2" s="531" t="s">
        <v>153</v>
      </c>
      <c r="B2" s="531"/>
      <c r="C2" s="531"/>
      <c r="D2" s="503"/>
    </row>
    <row r="3" spans="1:7" ht="19.5" customHeight="1" thickBot="1">
      <c r="A3" s="84"/>
      <c r="B3" s="85"/>
      <c r="C3" s="92"/>
      <c r="D3" s="86"/>
    </row>
    <row r="4" spans="1:7" ht="15" customHeight="1" thickBot="1">
      <c r="A4" s="543" t="s">
        <v>155</v>
      </c>
      <c r="B4" s="255" t="s">
        <v>0</v>
      </c>
      <c r="C4" s="255" t="s">
        <v>2</v>
      </c>
      <c r="D4" s="149"/>
    </row>
    <row r="5" spans="1:7" ht="24" customHeight="1" thickBot="1">
      <c r="A5" s="543"/>
      <c r="B5" s="123" t="s">
        <v>200</v>
      </c>
      <c r="C5" s="123" t="s">
        <v>202</v>
      </c>
      <c r="D5" s="149"/>
    </row>
    <row r="6" spans="1:7" ht="16.5" thickBot="1">
      <c r="A6" s="543"/>
      <c r="B6" s="121"/>
      <c r="C6" s="121"/>
      <c r="D6" s="150"/>
    </row>
    <row r="7" spans="1:7" ht="16.5" thickBot="1">
      <c r="A7" s="543" t="s">
        <v>243</v>
      </c>
      <c r="B7" s="255" t="s">
        <v>3</v>
      </c>
      <c r="C7" s="255" t="s">
        <v>5</v>
      </c>
      <c r="D7" s="255" t="s">
        <v>154</v>
      </c>
    </row>
    <row r="8" spans="1:7" ht="30.75" customHeight="1" thickBot="1">
      <c r="A8" s="543"/>
      <c r="B8" s="255" t="s">
        <v>44</v>
      </c>
      <c r="C8" s="255" t="s">
        <v>151</v>
      </c>
      <c r="D8" s="255" t="s">
        <v>146</v>
      </c>
    </row>
    <row r="9" spans="1:7" ht="18" customHeight="1" thickBot="1">
      <c r="A9" s="93">
        <v>1</v>
      </c>
      <c r="B9" s="214" t="str">
        <f>IF('Summary Schedule'!$C$4="UESC", IF(A9&lt;='Summary Schedule'!$C$27,'Itemized Costs-HIDDEN'!M5,""),"")</f>
        <v/>
      </c>
      <c r="C9" s="214" t="str">
        <f ca="1">IF('Summary Schedule'!$G$42="",IF('Summary Schedule'!$C$4="UESC", IF(A9&lt;='Summary Schedule'!$C$27,INDIRECT("'Sch3-Perf Period Cash Flow'!"&amp;LEFT(ADDRESS(1,ROW(A4),4,1),(ROW(A4)&gt;26)+1)&amp;$A$9+22&amp;""),""),""),"Term&gt;25Yrs")</f>
        <v/>
      </c>
      <c r="D9" s="214" t="str">
        <f ca="1">IF('Summary Schedule'!$G$42="",IFERROR(IF(A9&lt;='Summary Schedule'!$C$27,B9-C9,""),""),"N/A")</f>
        <v/>
      </c>
      <c r="E9" s="14"/>
      <c r="G9" s="14"/>
    </row>
    <row r="10" spans="1:7" ht="18" customHeight="1" thickBot="1">
      <c r="A10" s="93">
        <v>2</v>
      </c>
      <c r="B10" s="214" t="str">
        <f>IF('Summary Schedule'!$C$4="UESC", IF(A10&lt;='Summary Schedule'!$C$27,'Itemized Costs-HIDDEN'!M6,""),"")</f>
        <v/>
      </c>
      <c r="C10" s="214" t="str">
        <f ca="1">IF('Summary Schedule'!$G$42="",IF('Summary Schedule'!$C$4="UESC", IF(A10&lt;='Summary Schedule'!$C$27,INDIRECT("'Sch3-Perf Period Cash Flow'!"&amp;LEFT(ADDRESS(1,ROW(A5),4,1),(ROW(A5)&gt;26)+1)&amp;$A$9+22&amp;""),""),""),"Term&gt;25Yrs")</f>
        <v/>
      </c>
      <c r="D10" s="214" t="str">
        <f ca="1">IF('Summary Schedule'!$G$42="",IFERROR(IF(A10&lt;='Summary Schedule'!$C$27,B10-C10,""),""),"N/A")</f>
        <v/>
      </c>
      <c r="E10" s="14"/>
      <c r="G10" s="14"/>
    </row>
    <row r="11" spans="1:7" ht="18" customHeight="1" thickBot="1">
      <c r="A11" s="93">
        <v>3</v>
      </c>
      <c r="B11" s="214" t="str">
        <f>IF('Summary Schedule'!$C$4="UESC", IF(A11&lt;='Summary Schedule'!$C$27,'Itemized Costs-HIDDEN'!M7,""),"")</f>
        <v/>
      </c>
      <c r="C11" s="214" t="str">
        <f ca="1">IF('Summary Schedule'!$G$42="",IF('Summary Schedule'!$C$4="UESC", IF(A11&lt;='Summary Schedule'!$C$27,INDIRECT("'Sch3-Perf Period Cash Flow'!"&amp;LEFT(ADDRESS(1,ROW(A6),4,1),(ROW(A6)&gt;26)+1)&amp;$A$9+22&amp;""),""),""),"Term&gt;25Yrs")</f>
        <v/>
      </c>
      <c r="D11" s="214" t="str">
        <f ca="1">IF('Summary Schedule'!$G$42="",IFERROR(IF(A11&lt;='Summary Schedule'!$C$27,B11-C11,""),""),"N/A")</f>
        <v/>
      </c>
      <c r="E11" s="14"/>
      <c r="G11" s="14"/>
    </row>
    <row r="12" spans="1:7" ht="18" customHeight="1" thickBot="1">
      <c r="A12" s="93">
        <v>4</v>
      </c>
      <c r="B12" s="214" t="str">
        <f>IF('Summary Schedule'!$C$4="UESC", IF(A12&lt;='Summary Schedule'!$C$27,'Itemized Costs-HIDDEN'!M8,""),"")</f>
        <v/>
      </c>
      <c r="C12" s="214" t="str">
        <f ca="1">IF('Summary Schedule'!$G$42="",IF('Summary Schedule'!$C$4="UESC", IF(A12&lt;='Summary Schedule'!$C$27,INDIRECT("'Sch3-Perf Period Cash Flow'!"&amp;LEFT(ADDRESS(1,ROW(A7),4,1),(ROW(A7)&gt;26)+1)&amp;$A$9+22&amp;""),""),""),"Term&gt;25Yrs")</f>
        <v/>
      </c>
      <c r="D12" s="214" t="str">
        <f ca="1">IF('Summary Schedule'!$G$42="",IFERROR(IF(A12&lt;='Summary Schedule'!$C$27,B12-C12,""),""),"N/A")</f>
        <v/>
      </c>
      <c r="E12" s="14"/>
      <c r="G12" s="14"/>
    </row>
    <row r="13" spans="1:7" ht="18" customHeight="1" thickBot="1">
      <c r="A13" s="93">
        <v>5</v>
      </c>
      <c r="B13" s="214" t="str">
        <f>IF('Summary Schedule'!$C$4="UESC", IF(A13&lt;='Summary Schedule'!$C$27,'Itemized Costs-HIDDEN'!M9,""),"")</f>
        <v/>
      </c>
      <c r="C13" s="214" t="str">
        <f ca="1">IF('Summary Schedule'!$G$42="",IF('Summary Schedule'!$C$4="UESC", IF(A13&lt;='Summary Schedule'!$C$27,INDIRECT("'Sch3-Perf Period Cash Flow'!"&amp;LEFT(ADDRESS(1,ROW(A8),4,1),(ROW(A8)&gt;26)+1)&amp;$A$9+22&amp;""),""),""),"Term&gt;25Yrs")</f>
        <v/>
      </c>
      <c r="D13" s="214" t="str">
        <f ca="1">IF('Summary Schedule'!$G$42="",IFERROR(IF(A13&lt;='Summary Schedule'!$C$27,B13-C13,""),""),"N/A")</f>
        <v/>
      </c>
      <c r="E13" s="14"/>
      <c r="G13" s="14"/>
    </row>
    <row r="14" spans="1:7" ht="18" customHeight="1" thickBot="1">
      <c r="A14" s="93">
        <v>6</v>
      </c>
      <c r="B14" s="214" t="str">
        <f>IF('Summary Schedule'!$C$4="UESC", IF(A14&lt;='Summary Schedule'!$C$27,'Itemized Costs-HIDDEN'!M10,""),"")</f>
        <v/>
      </c>
      <c r="C14" s="214" t="str">
        <f ca="1">IF('Summary Schedule'!$G$42="",IF('Summary Schedule'!$C$4="UESC", IF(A14&lt;='Summary Schedule'!$C$27,INDIRECT("'Sch3-Perf Period Cash Flow'!"&amp;LEFT(ADDRESS(1,ROW(A9),4,1),(ROW(A9)&gt;26)+1)&amp;$A$9+22&amp;""),""),""),"Term&gt;25Yrs")</f>
        <v/>
      </c>
      <c r="D14" s="214" t="str">
        <f ca="1">IF('Summary Schedule'!$G$42="",IFERROR(IF(A14&lt;='Summary Schedule'!$C$27,B14-C14,""),""),"N/A")</f>
        <v/>
      </c>
      <c r="E14" s="14"/>
      <c r="G14" s="14"/>
    </row>
    <row r="15" spans="1:7" ht="18" customHeight="1" thickBot="1">
      <c r="A15" s="93">
        <v>7</v>
      </c>
      <c r="B15" s="214" t="str">
        <f>IF('Summary Schedule'!$C$4="UESC", IF(A15&lt;='Summary Schedule'!$C$27,'Itemized Costs-HIDDEN'!M11,""),"")</f>
        <v/>
      </c>
      <c r="C15" s="214" t="str">
        <f ca="1">IF('Summary Schedule'!$G$42="",IF('Summary Schedule'!$C$4="UESC", IF(A15&lt;='Summary Schedule'!$C$27,INDIRECT("'Sch3-Perf Period Cash Flow'!"&amp;LEFT(ADDRESS(1,ROW(A10),4,1),(ROW(A10)&gt;26)+1)&amp;$A$9+22&amp;""),""),""),"Term&gt;25Yrs")</f>
        <v/>
      </c>
      <c r="D15" s="214" t="str">
        <f ca="1">IF('Summary Schedule'!$G$42="",IFERROR(IF(A15&lt;='Summary Schedule'!$C$27,B15-C15,""),""),"N/A")</f>
        <v/>
      </c>
      <c r="E15" s="14"/>
      <c r="G15" s="14"/>
    </row>
    <row r="16" spans="1:7" ht="18" customHeight="1" thickBot="1">
      <c r="A16" s="93">
        <v>8</v>
      </c>
      <c r="B16" s="214" t="str">
        <f>IF('Summary Schedule'!$C$4="UESC", IF(A16&lt;='Summary Schedule'!$C$27,'Itemized Costs-HIDDEN'!M12,""),"")</f>
        <v/>
      </c>
      <c r="C16" s="214" t="str">
        <f ca="1">IF('Summary Schedule'!$G$42="",IF('Summary Schedule'!$C$4="UESC", IF(A16&lt;='Summary Schedule'!$C$27,INDIRECT("'Sch3-Perf Period Cash Flow'!"&amp;LEFT(ADDRESS(1,ROW(A11),4,1),(ROW(A11)&gt;26)+1)&amp;$A$9+22&amp;""),""),""),"Term&gt;25Yrs")</f>
        <v/>
      </c>
      <c r="D16" s="214" t="str">
        <f ca="1">IF('Summary Schedule'!$G$42="",IFERROR(IF(A16&lt;='Summary Schedule'!$C$27,B16-C16,""),""),"N/A")</f>
        <v/>
      </c>
      <c r="E16" s="14"/>
      <c r="G16" s="14"/>
    </row>
    <row r="17" spans="1:7" ht="18" customHeight="1" thickBot="1">
      <c r="A17" s="93">
        <v>9</v>
      </c>
      <c r="B17" s="214" t="str">
        <f>IF('Summary Schedule'!$C$4="UESC", IF(A17&lt;='Summary Schedule'!$C$27,'Itemized Costs-HIDDEN'!M13,""),"")</f>
        <v/>
      </c>
      <c r="C17" s="214" t="str">
        <f ca="1">IF('Summary Schedule'!$G$42="",IF('Summary Schedule'!$C$4="UESC", IF(A17&lt;='Summary Schedule'!$C$27,INDIRECT("'Sch3-Perf Period Cash Flow'!"&amp;LEFT(ADDRESS(1,ROW(A12),4,1),(ROW(A12)&gt;26)+1)&amp;$A$9+22&amp;""),""),""),"Term&gt;25Yrs")</f>
        <v/>
      </c>
      <c r="D17" s="214" t="str">
        <f ca="1">IF('Summary Schedule'!$G$42="",IFERROR(IF(A17&lt;='Summary Schedule'!$C$27,B17-C17,""),""),"N/A")</f>
        <v/>
      </c>
      <c r="E17" s="14"/>
      <c r="G17" s="14"/>
    </row>
    <row r="18" spans="1:7" ht="18" customHeight="1" thickBot="1">
      <c r="A18" s="93">
        <v>10</v>
      </c>
      <c r="B18" s="214" t="str">
        <f>IF('Summary Schedule'!$C$4="UESC", IF(A18&lt;='Summary Schedule'!$C$27,'Itemized Costs-HIDDEN'!M14,""),"")</f>
        <v/>
      </c>
      <c r="C18" s="214" t="str">
        <f ca="1">IF('Summary Schedule'!$G$42="",IF('Summary Schedule'!$C$4="UESC", IF(A18&lt;='Summary Schedule'!$C$27,INDIRECT("'Sch3-Perf Period Cash Flow'!"&amp;LEFT(ADDRESS(1,ROW(A13),4,1),(ROW(A13)&gt;26)+1)&amp;$A$9+22&amp;""),""),""),"Term&gt;25Yrs")</f>
        <v/>
      </c>
      <c r="D18" s="214" t="str">
        <f ca="1">IF('Summary Schedule'!$G$42="",IFERROR(IF(A18&lt;='Summary Schedule'!$C$27,B18-C18,""),""),"N/A")</f>
        <v/>
      </c>
      <c r="E18" s="14"/>
      <c r="G18" s="14"/>
    </row>
    <row r="19" spans="1:7" ht="18" customHeight="1" thickBot="1">
      <c r="A19" s="93">
        <v>11</v>
      </c>
      <c r="B19" s="214" t="str">
        <f>IF('Summary Schedule'!$C$4="UESC", IF(A19&lt;='Summary Schedule'!$C$27,'Itemized Costs-HIDDEN'!M15,""),"")</f>
        <v/>
      </c>
      <c r="C19" s="214" t="str">
        <f ca="1">IF('Summary Schedule'!$G$42="",IF('Summary Schedule'!$C$4="UESC", IF(A19&lt;='Summary Schedule'!$C$27,INDIRECT("'Sch3-Perf Period Cash Flow'!"&amp;LEFT(ADDRESS(1,ROW(A14),4,1),(ROW(A14)&gt;26)+1)&amp;$A$9+22&amp;""),""),""),"Term&gt;25Yrs")</f>
        <v/>
      </c>
      <c r="D19" s="214" t="str">
        <f ca="1">IF('Summary Schedule'!$G$42="",IFERROR(IF(A19&lt;='Summary Schedule'!$C$27,B19-C19,""),""),"N/A")</f>
        <v/>
      </c>
      <c r="E19" s="14"/>
      <c r="G19" s="14"/>
    </row>
    <row r="20" spans="1:7" ht="18" customHeight="1" thickBot="1">
      <c r="A20" s="93">
        <v>12</v>
      </c>
      <c r="B20" s="214" t="str">
        <f>IF('Summary Schedule'!$C$4="UESC", IF(A20&lt;='Summary Schedule'!$C$27,'Itemized Costs-HIDDEN'!M16,""),"")</f>
        <v/>
      </c>
      <c r="C20" s="214" t="str">
        <f ca="1">IF('Summary Schedule'!$G$42="",IF('Summary Schedule'!$C$4="UESC", IF(A20&lt;='Summary Schedule'!$C$27,INDIRECT("'Sch3-Perf Period Cash Flow'!"&amp;LEFT(ADDRESS(1,ROW(A15),4,1),(ROW(A15)&gt;26)+1)&amp;$A$9+22&amp;""),""),""),"Term&gt;25Yrs")</f>
        <v/>
      </c>
      <c r="D20" s="214" t="str">
        <f ca="1">IF('Summary Schedule'!$G$42="",IFERROR(IF(A20&lt;='Summary Schedule'!$C$27,B20-C20,""),""),"N/A")</f>
        <v/>
      </c>
    </row>
    <row r="21" spans="1:7" ht="18" customHeight="1" thickBot="1">
      <c r="A21" s="93">
        <v>13</v>
      </c>
      <c r="B21" s="214" t="str">
        <f>IF('Summary Schedule'!$C$4="UESC", IF(A21&lt;='Summary Schedule'!$C$27,'Itemized Costs-HIDDEN'!M17,""),"")</f>
        <v/>
      </c>
      <c r="C21" s="214" t="str">
        <f ca="1">IF('Summary Schedule'!$G$42="",IF('Summary Schedule'!$C$4="UESC", IF(A21&lt;='Summary Schedule'!$C$27,INDIRECT("'Sch3-Perf Period Cash Flow'!"&amp;LEFT(ADDRESS(1,ROW(A16),4,1),(ROW(A16)&gt;26)+1)&amp;$A$9+22&amp;""),""),""),"Term&gt;25Yrs")</f>
        <v/>
      </c>
      <c r="D21" s="214" t="str">
        <f ca="1">IF('Summary Schedule'!$G$42="",IFERROR(IF(A21&lt;='Summary Schedule'!$C$27,B21-C21,""),""),"N/A")</f>
        <v/>
      </c>
    </row>
    <row r="22" spans="1:7" ht="18" customHeight="1" thickBot="1">
      <c r="A22" s="93">
        <v>14</v>
      </c>
      <c r="B22" s="214" t="str">
        <f>IF('Summary Schedule'!$C$4="UESC", IF(A22&lt;='Summary Schedule'!$C$27,'Itemized Costs-HIDDEN'!M18,""),"")</f>
        <v/>
      </c>
      <c r="C22" s="214" t="str">
        <f ca="1">IF('Summary Schedule'!$G$42="",IF('Summary Schedule'!$C$4="UESC", IF(A22&lt;='Summary Schedule'!$C$27,INDIRECT("'Sch3-Perf Period Cash Flow'!"&amp;LEFT(ADDRESS(1,ROW(A17),4,1),(ROW(A17)&gt;26)+1)&amp;$A$9+22&amp;""),""),""),"Term&gt;25Yrs")</f>
        <v/>
      </c>
      <c r="D22" s="214" t="str">
        <f ca="1">IF('Summary Schedule'!$G$42="",IFERROR(IF(A22&lt;='Summary Schedule'!$C$27,B22-C22,""),""),"N/A")</f>
        <v/>
      </c>
    </row>
    <row r="23" spans="1:7" ht="18" customHeight="1" thickBot="1">
      <c r="A23" s="93">
        <v>15</v>
      </c>
      <c r="B23" s="214" t="str">
        <f>IF('Summary Schedule'!$C$4="UESC", IF(A23&lt;='Summary Schedule'!$C$27,'Itemized Costs-HIDDEN'!M19,""),"")</f>
        <v/>
      </c>
      <c r="C23" s="214" t="str">
        <f ca="1">IF('Summary Schedule'!$G$42="",IF('Summary Schedule'!$C$4="UESC", IF(A23&lt;='Summary Schedule'!$C$27,INDIRECT("'Sch3-Perf Period Cash Flow'!"&amp;LEFT(ADDRESS(1,ROW(A18),4,1),(ROW(A18)&gt;26)+1)&amp;$A$9+22&amp;""),""),""),"Term&gt;25Yrs")</f>
        <v/>
      </c>
      <c r="D23" s="214" t="str">
        <f ca="1">IF('Summary Schedule'!$G$42="",IFERROR(IF(A23&lt;='Summary Schedule'!$C$27,B23-C23,""),""),"N/A")</f>
        <v/>
      </c>
    </row>
    <row r="24" spans="1:7" ht="18" customHeight="1" thickBot="1">
      <c r="A24" s="93">
        <v>16</v>
      </c>
      <c r="B24" s="214" t="str">
        <f>IF('Summary Schedule'!$C$4="UESC", IF(A24&lt;='Summary Schedule'!$C$27,'Itemized Costs-HIDDEN'!M20,""),"")</f>
        <v/>
      </c>
      <c r="C24" s="214" t="str">
        <f ca="1">IF('Summary Schedule'!$G$42="",IF('Summary Schedule'!$C$4="UESC", IF(A24&lt;='Summary Schedule'!$C$27,INDIRECT("'Sch3-Perf Period Cash Flow'!"&amp;LEFT(ADDRESS(1,ROW(A19),4,1),(ROW(A19)&gt;26)+1)&amp;$A$9+22&amp;""),""),""),"Term&gt;25Yrs")</f>
        <v/>
      </c>
      <c r="D24" s="214" t="str">
        <f ca="1">IF('Summary Schedule'!$G$42="",IFERROR(IF(A24&lt;='Summary Schedule'!$C$27,B24-C24,""),""),"N/A")</f>
        <v/>
      </c>
    </row>
    <row r="25" spans="1:7" ht="18" customHeight="1" thickBot="1">
      <c r="A25" s="93">
        <v>17</v>
      </c>
      <c r="B25" s="214" t="str">
        <f>IF('Summary Schedule'!$C$4="UESC", IF(A25&lt;='Summary Schedule'!$C$27,'Itemized Costs-HIDDEN'!M21,""),"")</f>
        <v/>
      </c>
      <c r="C25" s="214" t="str">
        <f ca="1">IF('Summary Schedule'!$G$42="",IF('Summary Schedule'!$C$4="UESC", IF(A25&lt;='Summary Schedule'!$C$27,INDIRECT("'Sch3-Perf Period Cash Flow'!"&amp;LEFT(ADDRESS(1,ROW(A20),4,1),(ROW(A20)&gt;26)+1)&amp;$A$9+22&amp;""),""),""),"Term&gt;25Yrs")</f>
        <v/>
      </c>
      <c r="D25" s="214" t="str">
        <f ca="1">IF('Summary Schedule'!$G$42="",IFERROR(IF(A25&lt;='Summary Schedule'!$C$27,B25-C25,""),""),"N/A")</f>
        <v/>
      </c>
    </row>
    <row r="26" spans="1:7" ht="18" customHeight="1" thickBot="1">
      <c r="A26" s="93">
        <v>18</v>
      </c>
      <c r="B26" s="214" t="str">
        <f>IF('Summary Schedule'!$C$4="UESC", IF(A26&lt;='Summary Schedule'!$C$27,'Itemized Costs-HIDDEN'!M22,""),"")</f>
        <v/>
      </c>
      <c r="C26" s="214" t="str">
        <f ca="1">IF('Summary Schedule'!$G$42="",IF('Summary Schedule'!$C$4="UESC", IF(A26&lt;='Summary Schedule'!$C$27,INDIRECT("'Sch3-Perf Period Cash Flow'!"&amp;LEFT(ADDRESS(1,ROW(A21),4,1),(ROW(A21)&gt;26)+1)&amp;$A$9+22&amp;""),""),""),"Term&gt;25Yrs")</f>
        <v/>
      </c>
      <c r="D26" s="214" t="str">
        <f ca="1">IF('Summary Schedule'!$G$42="",IFERROR(IF(A26&lt;='Summary Schedule'!$C$27,B26-C26,""),""),"N/A")</f>
        <v/>
      </c>
    </row>
    <row r="27" spans="1:7" ht="18" customHeight="1" thickBot="1">
      <c r="A27" s="93">
        <v>19</v>
      </c>
      <c r="B27" s="214" t="str">
        <f>IF('Summary Schedule'!$C$4="UESC", IF(A27&lt;='Summary Schedule'!$C$27,'Itemized Costs-HIDDEN'!M23,""),"")</f>
        <v/>
      </c>
      <c r="C27" s="214" t="str">
        <f ca="1">IF('Summary Schedule'!$G$42="",IF('Summary Schedule'!$C$4="UESC", IF(A27&lt;='Summary Schedule'!$C$27,INDIRECT("'Sch3-Perf Period Cash Flow'!"&amp;LEFT(ADDRESS(1,ROW(A22),4,1),(ROW(A22)&gt;26)+1)&amp;$A$9+22&amp;""),""),""),"Term&gt;25Yrs")</f>
        <v/>
      </c>
      <c r="D27" s="214" t="str">
        <f ca="1">IF('Summary Schedule'!$G$42="",IFERROR(IF(A27&lt;='Summary Schedule'!$C$27,B27-C27,""),""),"N/A")</f>
        <v/>
      </c>
    </row>
    <row r="28" spans="1:7" ht="18" customHeight="1" thickBot="1">
      <c r="A28" s="93">
        <v>20</v>
      </c>
      <c r="B28" s="214" t="str">
        <f>IF('Summary Schedule'!$C$4="UESC", IF(A28&lt;='Summary Schedule'!$C$27,'Itemized Costs-HIDDEN'!M24,""),"")</f>
        <v/>
      </c>
      <c r="C28" s="214" t="str">
        <f ca="1">IF('Summary Schedule'!$G$42="",IF('Summary Schedule'!$C$4="UESC", IF(A28&lt;='Summary Schedule'!$C$27,INDIRECT("'Sch3-Perf Period Cash Flow'!"&amp;LEFT(ADDRESS(1,ROW(A23),4,1),(ROW(A23)&gt;26)+1)&amp;$A$9+22&amp;""),""),""),"Term&gt;25Yrs")</f>
        <v/>
      </c>
      <c r="D28" s="214" t="str">
        <f ca="1">IF('Summary Schedule'!$G$42="",IFERROR(IF(A28&lt;='Summary Schedule'!$C$27,B28-C28,""),""),"N/A")</f>
        <v/>
      </c>
    </row>
    <row r="29" spans="1:7" ht="18" customHeight="1" thickBot="1">
      <c r="A29" s="93">
        <v>21</v>
      </c>
      <c r="B29" s="214" t="str">
        <f>IF('Summary Schedule'!$C$4="UESC", IF(A29&lt;='Summary Schedule'!$C$27,'Itemized Costs-HIDDEN'!M25,""),"")</f>
        <v/>
      </c>
      <c r="C29" s="214" t="str">
        <f ca="1">IF('Summary Schedule'!$G$42="",IF('Summary Schedule'!$C$4="UESC", IF(A29&lt;='Summary Schedule'!$C$27,INDIRECT("'Sch3-Perf Period Cash Flow'!"&amp;LEFT(ADDRESS(1,ROW(A24),4,1),(ROW(A24)&gt;26)+1)&amp;$A$9+22&amp;""),""),""),"Term&gt;25Yrs")</f>
        <v/>
      </c>
      <c r="D29" s="214" t="str">
        <f ca="1">IF('Summary Schedule'!$G$42="",IFERROR(IF(A29&lt;='Summary Schedule'!$C$27,B29-C29,""),""),"N/A")</f>
        <v/>
      </c>
    </row>
    <row r="30" spans="1:7" ht="18" customHeight="1" thickBot="1">
      <c r="A30" s="93">
        <v>22</v>
      </c>
      <c r="B30" s="214" t="str">
        <f>IF('Summary Schedule'!$C$4="UESC", IF(A30&lt;='Summary Schedule'!$C$27,'Itemized Costs-HIDDEN'!M26,""),"")</f>
        <v/>
      </c>
      <c r="C30" s="214" t="str">
        <f ca="1">IF('Summary Schedule'!$G$42="",IF('Summary Schedule'!$C$4="UESC", IF(A30&lt;='Summary Schedule'!$C$27,INDIRECT("'Sch3-Perf Period Cash Flow'!"&amp;LEFT(ADDRESS(1,ROW(A25),4,1),(ROW(A25)&gt;26)+1)&amp;$A$9+22&amp;""),""),""),"Term&gt;25Yrs")</f>
        <v/>
      </c>
      <c r="D30" s="214" t="str">
        <f ca="1">IF('Summary Schedule'!$G$42="",IFERROR(IF(A30&lt;='Summary Schedule'!$C$27,B30-C30,""),""),"N/A")</f>
        <v/>
      </c>
    </row>
    <row r="31" spans="1:7" ht="18" customHeight="1" thickBot="1">
      <c r="A31" s="93">
        <v>23</v>
      </c>
      <c r="B31" s="214" t="str">
        <f>IF('Summary Schedule'!$C$4="UESC", IF(A31&lt;='Summary Schedule'!$C$27,'Itemized Costs-HIDDEN'!M27,""),"")</f>
        <v/>
      </c>
      <c r="C31" s="214" t="str">
        <f ca="1">IF('Summary Schedule'!$G$42="",IF('Summary Schedule'!$C$4="UESC", IF(A31&lt;='Summary Schedule'!$C$27,INDIRECT("'Sch3-Perf Period Cash Flow'!"&amp;LEFT(ADDRESS(1,ROW(A26),4,1),(ROW(A26)&gt;26)+1)&amp;$A$9+22&amp;""),""),""),"Term&gt;25Yrs")</f>
        <v/>
      </c>
      <c r="D31" s="214" t="str">
        <f ca="1">IF('Summary Schedule'!$G$42="",IFERROR(IF(A31&lt;='Summary Schedule'!$C$27,B31-C31,""),""),"N/A")</f>
        <v/>
      </c>
    </row>
    <row r="32" spans="1:7" ht="18" customHeight="1" thickBot="1">
      <c r="A32" s="93">
        <v>24</v>
      </c>
      <c r="B32" s="214" t="str">
        <f>IF('Summary Schedule'!$C$4="UESC", IF(A32&lt;='Summary Schedule'!$C$27,'Itemized Costs-HIDDEN'!M28,""),"")</f>
        <v/>
      </c>
      <c r="C32" s="214" t="str">
        <f ca="1">IF('Summary Schedule'!$G$42="",IF('Summary Schedule'!$C$4="UESC", IF(A32&lt;='Summary Schedule'!$C$27,INDIRECT("'Sch3-Perf Period Cash Flow'!"&amp;LEFT(ADDRESS(1,ROW(A27),4,1),(ROW(A27)&gt;26)+1)&amp;$A$9+22&amp;""),""),""),"Term&gt;25Yrs")</f>
        <v/>
      </c>
      <c r="D32" s="214" t="str">
        <f ca="1">IF('Summary Schedule'!$G$42="",IFERROR(IF(A32&lt;='Summary Schedule'!$C$27,B32-C32,""),""),"N/A")</f>
        <v/>
      </c>
    </row>
    <row r="33" spans="1:4" ht="18" customHeight="1" thickBot="1">
      <c r="A33" s="93">
        <v>25</v>
      </c>
      <c r="B33" s="214" t="str">
        <f>IF('Summary Schedule'!$C$4="UESC", IF(A33&lt;='Summary Schedule'!$C$27,'Itemized Costs-HIDDEN'!M29,""),"")</f>
        <v/>
      </c>
      <c r="C33" s="214" t="str">
        <f ca="1">IF('Summary Schedule'!$G$42="",IF('Summary Schedule'!$C$4="UESC", IF(A33&lt;='Summary Schedule'!$C$27,INDIRECT("'Sch3-Perf Period Cash Flow'!"&amp;LEFT(ADDRESS(1,ROW(A28),4,1),(ROW(A28)&gt;26)+1)&amp;$A$9+22&amp;""),""),""),"Term&gt;25Yrs")</f>
        <v/>
      </c>
      <c r="D33" s="214" t="str">
        <f ca="1">IF('Summary Schedule'!$G$42="",IFERROR(IF(A33&lt;='Summary Schedule'!$C$27,B33-C33,""),""),"N/A")</f>
        <v/>
      </c>
    </row>
    <row r="34" spans="1:4" ht="18" hidden="1" customHeight="1" thickBot="1">
      <c r="A34" s="93">
        <v>26</v>
      </c>
      <c r="B34" s="214" t="str">
        <f>IF('Summary Schedule'!$C$4="UESC", IF(A34&lt;='Summary Schedule'!$C$27,'Itemized Costs-HIDDEN'!M30,""),"")</f>
        <v/>
      </c>
      <c r="C34" s="214" t="str">
        <f ca="1">IF('Summary Schedule'!$G$42="",IF('Summary Schedule'!$C$4="UESC", IF(A34&lt;='Summary Schedule'!$C$27,INDIRECT("'Sch3-Perf Period Cash Flow'!"&amp;LEFT(ADDRESS(1,ROW(A29),4,1),(ROW(A29)&gt;26)+1)&amp;$A$9+22&amp;""),""),""),"Term&gt;25Yrs")</f>
        <v/>
      </c>
      <c r="D34" s="214" t="str">
        <f ca="1">IF('Summary Schedule'!$G$42="",IFERROR(IF(A34&lt;='Summary Schedule'!$C$27,B34-C34,""),""),"N/A")</f>
        <v/>
      </c>
    </row>
    <row r="35" spans="1:4" ht="18" hidden="1" customHeight="1" thickBot="1">
      <c r="A35" s="93">
        <v>27</v>
      </c>
      <c r="B35" s="214" t="str">
        <f>IF('Summary Schedule'!$C$4="UESC", IF(A35&lt;='Summary Schedule'!$C$27,'Itemized Costs-HIDDEN'!M31,""),"")</f>
        <v/>
      </c>
      <c r="C35" s="214" t="str">
        <f ca="1">IF('Summary Schedule'!$G$42="",IF('Summary Schedule'!$C$4="UESC", IF(A35&lt;='Summary Schedule'!$C$27,INDIRECT("'Sch3-Perf Period Cash Flow'!"&amp;LEFT(ADDRESS(1,ROW(A30),4,1),(ROW(A30)&gt;26)+1)&amp;$A$9+22&amp;""),""),""),"Term&gt;25Yrs")</f>
        <v/>
      </c>
      <c r="D35" s="214" t="str">
        <f ca="1">IF('Summary Schedule'!$G$42="",IFERROR(IF(A35&lt;='Summary Schedule'!$C$27,B35-C35,""),""),"N/A")</f>
        <v/>
      </c>
    </row>
    <row r="36" spans="1:4" ht="18" hidden="1" customHeight="1" thickBot="1">
      <c r="A36" s="93">
        <v>28</v>
      </c>
      <c r="B36" s="214" t="str">
        <f>IF('Summary Schedule'!$C$4="UESC", IF(A36&lt;='Summary Schedule'!$C$27,'Itemized Costs-HIDDEN'!M32,""),"")</f>
        <v/>
      </c>
      <c r="C36" s="214" t="str">
        <f ca="1">IF('Summary Schedule'!$G$42="",IF('Summary Schedule'!$C$4="UESC", IF(A36&lt;='Summary Schedule'!$C$27,INDIRECT("'Sch3-Perf Period Cash Flow'!"&amp;LEFT(ADDRESS(1,ROW(A31),4,1),(ROW(A31)&gt;26)+1)&amp;$A$9+22&amp;""),""),""),"Term&gt;25Yrs")</f>
        <v/>
      </c>
      <c r="D36" s="214" t="str">
        <f ca="1">IF('Summary Schedule'!$G$42="",IFERROR(IF(A36&lt;='Summary Schedule'!$C$27,B36-C36,""),""),"N/A")</f>
        <v/>
      </c>
    </row>
    <row r="37" spans="1:4" ht="18" hidden="1" customHeight="1" thickBot="1">
      <c r="A37" s="93">
        <v>29</v>
      </c>
      <c r="B37" s="214" t="str">
        <f>IF('Summary Schedule'!$C$4="UESC", IF(A37&lt;='Summary Schedule'!$C$27,'Itemized Costs-HIDDEN'!M33,""),"")</f>
        <v/>
      </c>
      <c r="C37" s="214" t="str">
        <f ca="1">IF('Summary Schedule'!$G$42="",IF('Summary Schedule'!$C$4="UESC", IF(A37&lt;='Summary Schedule'!$C$27,INDIRECT("'Sch3-Perf Period Cash Flow'!"&amp;LEFT(ADDRESS(1,ROW(A32),4,1),(ROW(A32)&gt;26)+1)&amp;$A$9+22&amp;""),""),""),"Term&gt;25Yrs")</f>
        <v/>
      </c>
      <c r="D37" s="214" t="str">
        <f ca="1">IF('Summary Schedule'!$G$42="",IFERROR(IF(A37&lt;='Summary Schedule'!$C$27,B37-C37,""),""),"N/A")</f>
        <v/>
      </c>
    </row>
    <row r="38" spans="1:4" ht="18" hidden="1" customHeight="1" thickBot="1">
      <c r="A38" s="93">
        <v>30</v>
      </c>
      <c r="B38" s="214" t="str">
        <f>IF('Summary Schedule'!$C$4="UESC", IF(A38&lt;='Summary Schedule'!$C$27,'Itemized Costs-HIDDEN'!M34,""),"")</f>
        <v/>
      </c>
      <c r="C38" s="214" t="str">
        <f ca="1">IF('Summary Schedule'!$G$42="",IF('Summary Schedule'!$C$4="UESC", IF(A38&lt;='Summary Schedule'!$C$27,INDIRECT("'Sch3-Perf Period Cash Flow'!"&amp;LEFT(ADDRESS(1,ROW(A33),4,1),(ROW(A33)&gt;26)+1)&amp;$A$9+22&amp;""),""),""),"Term&gt;25Yrs")</f>
        <v/>
      </c>
      <c r="D38" s="214" t="str">
        <f ca="1">IF('Summary Schedule'!$G$42="",IFERROR(IF(A38&lt;='Summary Schedule'!$C$27,B38-C38,""),""),"N/A")</f>
        <v/>
      </c>
    </row>
    <row r="39" spans="1:4" ht="18" hidden="1" customHeight="1" thickBot="1">
      <c r="A39" s="93">
        <v>31</v>
      </c>
      <c r="B39" s="214" t="str">
        <f>IF('Summary Schedule'!$C$4="UESC", IF(A39&lt;='Summary Schedule'!$C$27,'Itemized Costs-HIDDEN'!M35,""),"")</f>
        <v/>
      </c>
      <c r="C39" s="214" t="str">
        <f ca="1">IF('Summary Schedule'!$G$42="",IF('Summary Schedule'!$C$4="UESC", IF(A39&lt;='Summary Schedule'!$C$27,INDIRECT("'Sch3-Perf Period Cash Flow'!"&amp;LEFT(ADDRESS(1,ROW(A34),4,1),(ROW(A34)&gt;26)+1)&amp;$A$9+22&amp;""),""),""),"Term&gt;25Yrs")</f>
        <v/>
      </c>
      <c r="D39" s="214" t="str">
        <f ca="1">IF('Summary Schedule'!$G$42="",IFERROR(IF(A39&lt;='Summary Schedule'!$C$27,B39-C39,""),""),"N/A")</f>
        <v/>
      </c>
    </row>
    <row r="40" spans="1:4" ht="18" hidden="1" customHeight="1" thickBot="1">
      <c r="A40" s="93">
        <v>32</v>
      </c>
      <c r="B40" s="214" t="str">
        <f>IF('Summary Schedule'!$C$4="UESC", IF(A40&lt;='Summary Schedule'!$C$27,'Itemized Costs-HIDDEN'!M36,""),"")</f>
        <v/>
      </c>
      <c r="C40" s="214" t="str">
        <f ca="1">IF('Summary Schedule'!$G$42="",IF('Summary Schedule'!$C$4="UESC", IF(A40&lt;='Summary Schedule'!$C$27,INDIRECT("'Sch3-Perf Period Cash Flow'!"&amp;LEFT(ADDRESS(1,ROW(A35),4,1),(ROW(A35)&gt;26)+1)&amp;$A$9+22&amp;""),""),""),"Term&gt;25Yrs")</f>
        <v/>
      </c>
      <c r="D40" s="214" t="str">
        <f ca="1">IF('Summary Schedule'!$G$42="",IFERROR(IF(A40&lt;='Summary Schedule'!$C$27,B40-C40,""),""),"N/A")</f>
        <v/>
      </c>
    </row>
    <row r="41" spans="1:4" ht="18" hidden="1" customHeight="1" thickBot="1">
      <c r="A41" s="93">
        <v>33</v>
      </c>
      <c r="B41" s="214" t="str">
        <f>IF('Summary Schedule'!$C$4="UESC", IF(A41&lt;='Summary Schedule'!$C$27,'Itemized Costs-HIDDEN'!M37,""),"")</f>
        <v/>
      </c>
      <c r="C41" s="214" t="str">
        <f ca="1">IF('Summary Schedule'!$G$42="",IF('Summary Schedule'!$C$4="UESC", IF(A41&lt;='Summary Schedule'!$C$27,INDIRECT("'Sch3-Perf Period Cash Flow'!"&amp;LEFT(ADDRESS(1,ROW(A36),4,1),(ROW(A36)&gt;26)+1)&amp;$A$9+22&amp;""),""),""),"Term&gt;25Yrs")</f>
        <v/>
      </c>
      <c r="D41" s="214" t="str">
        <f ca="1">IF('Summary Schedule'!$G$42="",IFERROR(IF(A41&lt;='Summary Schedule'!$C$27,B41-C41,""),""),"N/A")</f>
        <v/>
      </c>
    </row>
    <row r="42" spans="1:4" ht="18" hidden="1" customHeight="1" thickBot="1">
      <c r="A42" s="93">
        <v>34</v>
      </c>
      <c r="B42" s="214" t="str">
        <f>IF('Summary Schedule'!$C$4="UESC", IF(A42&lt;='Summary Schedule'!$C$27,'Itemized Costs-HIDDEN'!M38,""),"")</f>
        <v/>
      </c>
      <c r="C42" s="214" t="str">
        <f ca="1">IF('Summary Schedule'!$G$42="",IF('Summary Schedule'!$C$4="UESC", IF(A42&lt;='Summary Schedule'!$C$27,INDIRECT("'Sch3-Perf Period Cash Flow'!"&amp;LEFT(ADDRESS(1,ROW(A37),4,1),(ROW(A37)&gt;26)+1)&amp;$A$9+22&amp;""),""),""),"Term&gt;25Yrs")</f>
        <v/>
      </c>
      <c r="D42" s="214" t="str">
        <f ca="1">IF('Summary Schedule'!$G$42="",IFERROR(IF(A42&lt;='Summary Schedule'!$C$27,B42-C42,""),""),"N/A")</f>
        <v/>
      </c>
    </row>
    <row r="43" spans="1:4" ht="18" hidden="1" customHeight="1" thickBot="1">
      <c r="A43" s="93">
        <v>35</v>
      </c>
      <c r="B43" s="214" t="str">
        <f>IF('Summary Schedule'!$C$4="UESC", IF(A43&lt;='Summary Schedule'!$C$27,'Itemized Costs-HIDDEN'!M39,""),"")</f>
        <v/>
      </c>
      <c r="C43" s="214" t="str">
        <f ca="1">IF('Summary Schedule'!$G$42="",IF('Summary Schedule'!$C$4="UESC", IF(A43&lt;='Summary Schedule'!$C$27,INDIRECT("'Sch3-Perf Period Cash Flow'!"&amp;LEFT(ADDRESS(1,ROW(A38),4,1),(ROW(A38)&gt;26)+1)&amp;$A$9+22&amp;""),""),""),"Term&gt;25Yrs")</f>
        <v/>
      </c>
      <c r="D43" s="214" t="str">
        <f ca="1">IF('Summary Schedule'!$G$42="",IFERROR(IF(A43&lt;='Summary Schedule'!$C$27,B43-C43,""),""),"N/A")</f>
        <v/>
      </c>
    </row>
    <row r="44" spans="1:4" ht="18" hidden="1" customHeight="1" thickBot="1">
      <c r="A44" s="93">
        <v>36</v>
      </c>
      <c r="B44" s="214" t="str">
        <f>IF('Summary Schedule'!$C$4="UESC", IF(A44&lt;='Summary Schedule'!$C$27,'Itemized Costs-HIDDEN'!M40,""),"")</f>
        <v/>
      </c>
      <c r="C44" s="214" t="str">
        <f ca="1">IF('Summary Schedule'!$G$42="",IF('Summary Schedule'!$C$4="UESC", IF(A44&lt;='Summary Schedule'!$C$27,INDIRECT("'Sch3-Perf Period Cash Flow'!"&amp;LEFT(ADDRESS(1,ROW(A39),4,1),(ROW(A39)&gt;26)+1)&amp;$A$9+22&amp;""),""),""),"Term&gt;25Yrs")</f>
        <v/>
      </c>
      <c r="D44" s="214" t="str">
        <f ca="1">IF('Summary Schedule'!$G$42="",IFERROR(IF(A44&lt;='Summary Schedule'!$C$27,B44-C44,""),""),"N/A")</f>
        <v/>
      </c>
    </row>
    <row r="45" spans="1:4" ht="18" hidden="1" customHeight="1" thickBot="1">
      <c r="A45" s="93">
        <v>37</v>
      </c>
      <c r="B45" s="214" t="str">
        <f>IF('Summary Schedule'!$C$4="UESC", IF(A45&lt;='Summary Schedule'!$C$27,'Itemized Costs-HIDDEN'!M41,""),"")</f>
        <v/>
      </c>
      <c r="C45" s="214" t="str">
        <f ca="1">IF('Summary Schedule'!$G$42="",IF('Summary Schedule'!$C$4="UESC", IF(A45&lt;='Summary Schedule'!$C$27,INDIRECT("'Sch3-Perf Period Cash Flow'!"&amp;LEFT(ADDRESS(1,ROW(A40),4,1),(ROW(A40)&gt;26)+1)&amp;$A$9+22&amp;""),""),""),"Term&gt;25Yrs")</f>
        <v/>
      </c>
      <c r="D45" s="214" t="str">
        <f ca="1">IF('Summary Schedule'!$G$42="",IFERROR(IF(A45&lt;='Summary Schedule'!$C$27,B45-C45,""),""),"N/A")</f>
        <v/>
      </c>
    </row>
    <row r="46" spans="1:4" ht="18" hidden="1" customHeight="1" thickBot="1">
      <c r="A46" s="93">
        <v>38</v>
      </c>
      <c r="B46" s="214" t="str">
        <f>IF('Summary Schedule'!$C$4="UESC", IF(A46&lt;='Summary Schedule'!$C$27,'Itemized Costs-HIDDEN'!M42,""),"")</f>
        <v/>
      </c>
      <c r="C46" s="214" t="str">
        <f ca="1">IF('Summary Schedule'!$G$42="",IF('Summary Schedule'!$C$4="UESC", IF(A46&lt;='Summary Schedule'!$C$27,INDIRECT("'Sch3-Perf Period Cash Flow'!"&amp;LEFT(ADDRESS(1,ROW(A41),4,1),(ROW(A41)&gt;26)+1)&amp;$A$9+22&amp;""),""),""),"Term&gt;25Yrs")</f>
        <v/>
      </c>
      <c r="D46" s="214" t="str">
        <f ca="1">IF('Summary Schedule'!$G$42="",IFERROR(IF(A46&lt;='Summary Schedule'!$C$27,B46-C46,""),""),"N/A")</f>
        <v/>
      </c>
    </row>
    <row r="47" spans="1:4" ht="18" hidden="1" customHeight="1" thickBot="1">
      <c r="A47" s="93">
        <v>39</v>
      </c>
      <c r="B47" s="214" t="str">
        <f>IF('Summary Schedule'!$C$4="UESC", IF(A47&lt;='Summary Schedule'!$C$27,'Itemized Costs-HIDDEN'!M43,""),"")</f>
        <v/>
      </c>
      <c r="C47" s="214" t="str">
        <f ca="1">IF('Summary Schedule'!$G$42="",IF('Summary Schedule'!$C$4="UESC", IF(A47&lt;='Summary Schedule'!$C$27,INDIRECT("'Sch3-Perf Period Cash Flow'!"&amp;LEFT(ADDRESS(1,ROW(A42),4,1),(ROW(A42)&gt;26)+1)&amp;$A$9+22&amp;""),""),""),"Term&gt;25Yrs")</f>
        <v/>
      </c>
      <c r="D47" s="214" t="str">
        <f ca="1">IF('Summary Schedule'!$G$42="",IFERROR(IF(A47&lt;='Summary Schedule'!$C$27,B47-C47,""),""),"N/A")</f>
        <v/>
      </c>
    </row>
    <row r="48" spans="1:4" ht="18" hidden="1" customHeight="1" thickBot="1">
      <c r="A48" s="93">
        <v>40</v>
      </c>
      <c r="B48" s="214" t="str">
        <f>IF('Summary Schedule'!$C$4="UESC", IF(A48&lt;='Summary Schedule'!$C$27,'Itemized Costs-HIDDEN'!M44,""),"")</f>
        <v/>
      </c>
      <c r="C48" s="214" t="str">
        <f ca="1">IF('Summary Schedule'!$G$42="",IF('Summary Schedule'!$C$4="UESC", IF(A48&lt;='Summary Schedule'!$C$27,INDIRECT("'Sch3-Perf Period Cash Flow'!"&amp;LEFT(ADDRESS(1,ROW(A43),4,1),(ROW(A43)&gt;26)+1)&amp;$A$9+22&amp;""),""),""),"Term&gt;25Yrs")</f>
        <v/>
      </c>
      <c r="D48" s="214" t="str">
        <f ca="1">IF('Summary Schedule'!$G$42="",IFERROR(IF(A48&lt;='Summary Schedule'!$C$27,B48-C48,""),""),"N/A")</f>
        <v/>
      </c>
    </row>
    <row r="49" spans="1:5" ht="32.25" customHeight="1" thickBot="1">
      <c r="A49" s="94" t="s">
        <v>65</v>
      </c>
      <c r="B49" s="215">
        <f>SUM(B9:B33)</f>
        <v>0</v>
      </c>
      <c r="C49" s="215">
        <f ca="1">SUM(C9:C33)</f>
        <v>0</v>
      </c>
      <c r="D49" s="215">
        <f ca="1">SUM(D9:D33)</f>
        <v>0</v>
      </c>
      <c r="E49" s="45"/>
    </row>
    <row r="50" spans="1:5" ht="20.25" customHeight="1">
      <c r="A50" s="544" t="s">
        <v>30</v>
      </c>
      <c r="B50" s="545"/>
      <c r="C50" s="552" t="s">
        <v>152</v>
      </c>
      <c r="D50" s="151"/>
      <c r="E50" s="45"/>
    </row>
    <row r="51" spans="1:5" ht="16.5" thickBot="1">
      <c r="A51" s="546"/>
      <c r="B51" s="547"/>
      <c r="C51" s="572"/>
      <c r="D51" s="149"/>
      <c r="E51" s="45"/>
    </row>
    <row r="52" spans="1:5" ht="18" customHeight="1" thickBot="1">
      <c r="A52" s="546"/>
      <c r="B52" s="547"/>
      <c r="C52" s="265">
        <f ca="1">C49+C6</f>
        <v>0</v>
      </c>
      <c r="D52" s="149"/>
      <c r="E52" s="45"/>
    </row>
    <row r="53" spans="1:5" ht="16.5" thickBot="1">
      <c r="A53" s="264"/>
      <c r="B53" s="2"/>
      <c r="C53" s="263"/>
      <c r="D53" s="254"/>
      <c r="E53" s="45"/>
    </row>
    <row r="54" spans="1:5">
      <c r="A54" s="573" t="s">
        <v>15</v>
      </c>
      <c r="B54" s="557"/>
      <c r="C54" s="557"/>
      <c r="D54" s="526"/>
    </row>
    <row r="55" spans="1:5" ht="53.25" customHeight="1">
      <c r="A55" s="559" t="s">
        <v>366</v>
      </c>
      <c r="B55" s="560"/>
      <c r="C55" s="560"/>
      <c r="D55" s="555"/>
    </row>
    <row r="56" spans="1:5" ht="16" customHeight="1">
      <c r="A56" s="564" t="s">
        <v>354</v>
      </c>
      <c r="B56" s="562"/>
      <c r="C56" s="562"/>
      <c r="D56" s="555"/>
    </row>
    <row r="57" spans="1:5" ht="16" customHeight="1">
      <c r="A57" s="564" t="s">
        <v>355</v>
      </c>
      <c r="B57" s="542"/>
      <c r="C57" s="542"/>
      <c r="D57" s="555"/>
    </row>
    <row r="58" spans="1:5" ht="17.25" customHeight="1" thickBot="1">
      <c r="A58" s="565" t="s">
        <v>356</v>
      </c>
      <c r="B58" s="503"/>
      <c r="C58" s="503"/>
      <c r="D58" s="566"/>
    </row>
    <row r="59" spans="1:5" ht="16.5" thickBot="1">
      <c r="A59" s="567" t="s">
        <v>173</v>
      </c>
      <c r="B59" s="568"/>
      <c r="C59" s="568"/>
      <c r="D59" s="569"/>
    </row>
    <row r="60" spans="1:5" ht="71.25" customHeight="1" thickBot="1">
      <c r="A60" s="570"/>
      <c r="B60" s="571"/>
      <c r="C60" s="571"/>
      <c r="D60" s="566"/>
    </row>
    <row r="61" spans="1:5">
      <c r="A61" s="1" t="str">
        <f>'Annual Escalation Rates'!A52</f>
        <v>4.2.9.c</v>
      </c>
    </row>
    <row r="62" spans="1:5">
      <c r="A62" s="38" t="str">
        <f>'Summary Schedule'!A54</f>
        <v>02112025</v>
      </c>
    </row>
  </sheetData>
  <sheetProtection algorithmName="SHA-512" hashValue="chwuNEEw9Acy03HHClmgCTNYrnso+5+XZG5BWMaNO7qO6WsHCdBYWvyiExSA6PO/M1ng9TXDy2GOMCsMRDb+jQ==" saltValue="/yK6EAIeRlzn/LJCO/vaLA==" spinCount="100000" sheet="1" objects="1" scenarios="1"/>
  <mergeCells count="13">
    <mergeCell ref="A57:D57"/>
    <mergeCell ref="A58:D58"/>
    <mergeCell ref="A59:D59"/>
    <mergeCell ref="A60:D60"/>
    <mergeCell ref="A1:D1"/>
    <mergeCell ref="A4:A6"/>
    <mergeCell ref="A7:A8"/>
    <mergeCell ref="A50:B52"/>
    <mergeCell ref="C50:C51"/>
    <mergeCell ref="A2:D2"/>
    <mergeCell ref="A54:D54"/>
    <mergeCell ref="A55:D55"/>
    <mergeCell ref="A56:D56"/>
  </mergeCells>
  <dataValidations count="3">
    <dataValidation type="whole" allowBlank="1" showInputMessage="1" showErrorMessage="1" error="Please enter a valid value " sqref="D51:D52 D6" xr:uid="{00000000-0002-0000-0400-000000000000}">
      <formula1>0</formula1>
      <formula2>1000000000</formula2>
    </dataValidation>
    <dataValidation type="whole" allowBlank="1" showInputMessage="1" showErrorMessage="1" error="Please enter a number" sqref="B6" xr:uid="{26066514-CB5F-40A3-9078-7B9D6742FA98}">
      <formula1>0</formula1>
      <formula2>1000000000</formula2>
    </dataValidation>
    <dataValidation type="whole" allowBlank="1" showInputMessage="1" showErrorMessage="1" error="Please enter a  number" sqref="C6" xr:uid="{C1BC513F-B440-4CA4-A723-D541CAFDF002}">
      <formula1>0</formula1>
      <formula2>1000000000</formula2>
    </dataValidation>
  </dataValidations>
  <pageMargins left="0.75" right="0.75" top="1" bottom="1" header="0.5" footer="0.5"/>
  <pageSetup scale="55" orientation="portrait"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1" id="{D66BB452-D044-E14B-A769-9E06A8FB8647}">
            <xm:f>'Summary Schedule'!$C$4&lt;&gt;"UESC"</xm:f>
            <x14:dxf>
              <font>
                <color theme="0" tint="-0.24994659260841701"/>
              </font>
              <fill>
                <patternFill patternType="solid">
                  <fgColor theme="0" tint="-0.24994659260841701"/>
                  <bgColor theme="0" tint="-0.24994659260841701"/>
                </patternFill>
              </fill>
              <border>
                <left/>
                <right/>
                <top/>
                <bottom/>
                <vertical/>
                <horizontal/>
              </border>
            </x14:dxf>
          </x14:cfRule>
          <xm:sqref>A1:D62</xm:sqref>
        </x14:conditionalFormatting>
      </x14:conditionalFormattings>
    </ex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2">
    <tabColor rgb="FF0000FF"/>
    <pageSetUpPr fitToPage="1"/>
  </sheetPr>
  <dimension ref="A1:J64"/>
  <sheetViews>
    <sheetView zoomScale="90" zoomScaleNormal="90" workbookViewId="0">
      <selection sqref="A1:F1"/>
    </sheetView>
  </sheetViews>
  <sheetFormatPr defaultColWidth="11" defaultRowHeight="16"/>
  <cols>
    <col min="1" max="1" width="23" style="1" customWidth="1"/>
    <col min="2" max="4" width="27" style="1" customWidth="1"/>
    <col min="5" max="5" width="21.83203125" style="1" customWidth="1"/>
    <col min="6" max="6" width="22.83203125" style="1" customWidth="1"/>
    <col min="7" max="7" width="16.5" style="1" customWidth="1"/>
    <col min="8" max="8" width="14.5" style="1" bestFit="1" customWidth="1"/>
    <col min="9" max="9" width="12.83203125" style="1" bestFit="1" customWidth="1"/>
    <col min="10" max="10" width="14.5" style="1" bestFit="1" customWidth="1"/>
    <col min="11" max="16384" width="11" style="1"/>
  </cols>
  <sheetData>
    <row r="1" spans="1:10" ht="20">
      <c r="A1" s="528" t="s">
        <v>389</v>
      </c>
      <c r="B1" s="528"/>
      <c r="C1" s="528"/>
      <c r="D1" s="528"/>
      <c r="E1" s="528"/>
      <c r="F1" s="542"/>
    </row>
    <row r="2" spans="1:10" ht="20.5" thickBot="1">
      <c r="A2" s="531" t="s">
        <v>153</v>
      </c>
      <c r="B2" s="531"/>
      <c r="C2" s="531"/>
      <c r="D2" s="531"/>
      <c r="E2" s="531"/>
      <c r="F2" s="503"/>
    </row>
    <row r="3" spans="1:10" ht="19.5" customHeight="1" thickBot="1">
      <c r="A3" s="84"/>
      <c r="B3" s="85"/>
      <c r="C3" s="328"/>
      <c r="D3" s="328"/>
      <c r="E3" s="574"/>
      <c r="F3" s="575"/>
      <c r="G3" s="329"/>
    </row>
    <row r="4" spans="1:10" ht="15" customHeight="1" thickBot="1">
      <c r="A4" s="543" t="s">
        <v>155</v>
      </c>
      <c r="B4" s="255" t="s">
        <v>0</v>
      </c>
      <c r="C4" s="255" t="s">
        <v>1</v>
      </c>
      <c r="D4" s="330" t="s">
        <v>2</v>
      </c>
      <c r="E4" s="576"/>
      <c r="F4" s="577"/>
    </row>
    <row r="5" spans="1:10" ht="24" customHeight="1" thickBot="1">
      <c r="A5" s="543"/>
      <c r="B5" s="123" t="s">
        <v>200</v>
      </c>
      <c r="C5" s="123" t="s">
        <v>201</v>
      </c>
      <c r="D5" s="331" t="s">
        <v>202</v>
      </c>
      <c r="E5" s="576"/>
      <c r="F5" s="577"/>
    </row>
    <row r="6" spans="1:10" ht="16.5" thickBot="1">
      <c r="A6" s="543"/>
      <c r="B6" s="472"/>
      <c r="C6" s="472"/>
      <c r="D6" s="472"/>
      <c r="E6" s="578"/>
      <c r="F6" s="579"/>
    </row>
    <row r="7" spans="1:10" ht="16.5" thickBot="1">
      <c r="A7" s="543" t="s">
        <v>243</v>
      </c>
      <c r="B7" s="255" t="s">
        <v>3</v>
      </c>
      <c r="C7" s="255" t="s">
        <v>4</v>
      </c>
      <c r="D7" s="255" t="s">
        <v>402</v>
      </c>
      <c r="E7" s="255" t="s">
        <v>154</v>
      </c>
      <c r="F7" s="255" t="s">
        <v>390</v>
      </c>
      <c r="G7" s="44"/>
    </row>
    <row r="8" spans="1:10" ht="30.75" customHeight="1" thickBot="1">
      <c r="A8" s="543"/>
      <c r="B8" s="255" t="s">
        <v>44</v>
      </c>
      <c r="C8" s="255" t="s">
        <v>120</v>
      </c>
      <c r="D8" s="255" t="s">
        <v>391</v>
      </c>
      <c r="E8" s="255" t="s">
        <v>392</v>
      </c>
      <c r="F8" s="255" t="s">
        <v>393</v>
      </c>
    </row>
    <row r="9" spans="1:10" ht="18" customHeight="1" thickBot="1">
      <c r="A9" s="93">
        <v>1</v>
      </c>
      <c r="B9" s="214" t="str">
        <f>IF('Summary Schedule'!$C$4="ESA", IF(A9&lt;='Summary Schedule'!$C$27,'Itemized Costs-HIDDEN'!M5+E9,""), "")</f>
        <v/>
      </c>
      <c r="C9" s="214" t="str">
        <f>IF('Summary Schedule'!$C$4="ESA", IF(A9&lt;='Summary Schedule'!$C$27,'Amortization-HIDDEN'!K17+E9,""),"")</f>
        <v/>
      </c>
      <c r="D9" s="214" t="str">
        <f>IF('Summary Schedule'!$C$4="ESA",E9+F9,"")</f>
        <v/>
      </c>
      <c r="E9" s="214">
        <f>IF('Sch1esa-ESA Pymts'!D9="",0, 'Sch1esa-ESA Pymts'!D9)</f>
        <v>0</v>
      </c>
      <c r="F9" s="214" t="str">
        <f ca="1">IF('Summary Schedule'!$G$42="",IF('Summary Schedule'!$C$4="ESA", IF(A9&lt;='Summary Schedule'!$C$27, INDIRECT("'Sch3-Perf Period Cash Flow'!"&amp;LEFT(ADDRESS(1,ROW(A4),4,1),(ROW(A4)&gt;26)+1)&amp;$A$9+22&amp;""),0),""),"Term&gt;25Yrs")</f>
        <v/>
      </c>
      <c r="G9" s="332"/>
      <c r="H9" s="14"/>
      <c r="I9" s="14"/>
      <c r="J9" s="14"/>
    </row>
    <row r="10" spans="1:10" ht="18" customHeight="1" thickBot="1">
      <c r="A10" s="93">
        <v>2</v>
      </c>
      <c r="B10" s="214" t="str">
        <f>IF('Summary Schedule'!$C$4="ESA", IF(A10&lt;='Summary Schedule'!$C$27,'Itemized Costs-HIDDEN'!M6+E10,""), "")</f>
        <v/>
      </c>
      <c r="C10" s="214" t="str">
        <f>IF('Summary Schedule'!$C$4="ESA", IF(A10&lt;='Summary Schedule'!$C$27,'Amortization-HIDDEN'!K18+E10,""),"")</f>
        <v/>
      </c>
      <c r="D10" s="214" t="str">
        <f>IF('Summary Schedule'!$C$4="ESA",E10+F10,"")</f>
        <v/>
      </c>
      <c r="E10" s="214">
        <f>IF('Sch1esa-ESA Pymts'!D10="",0, 'Sch1esa-ESA Pymts'!D10)</f>
        <v>0</v>
      </c>
      <c r="F10" s="214" t="str">
        <f ca="1">IF('Summary Schedule'!$G$42="",IF('Summary Schedule'!$C$4="ESA", IF(A10&lt;='Summary Schedule'!$C$27, INDIRECT("'Sch3-Perf Period Cash Flow'!"&amp;LEFT(ADDRESS(1,ROW(A5),4,1),(ROW(A5)&gt;26)+1)&amp;$A$9+22&amp;""),0),""),"Term&gt;25Yrs")</f>
        <v/>
      </c>
      <c r="G10" s="332"/>
      <c r="H10" s="14"/>
      <c r="I10" s="14"/>
      <c r="J10" s="14"/>
    </row>
    <row r="11" spans="1:10" ht="18" customHeight="1" thickBot="1">
      <c r="A11" s="93">
        <v>3</v>
      </c>
      <c r="B11" s="214" t="str">
        <f>IF('Summary Schedule'!$C$4="ESA", IF(A11&lt;='Summary Schedule'!$C$27,'Itemized Costs-HIDDEN'!M7+E11,""), "")</f>
        <v/>
      </c>
      <c r="C11" s="214" t="str">
        <f>IF('Summary Schedule'!$C$4="ESA", IF(A11&lt;='Summary Schedule'!$C$27,'Amortization-HIDDEN'!K19+E11,""),"")</f>
        <v/>
      </c>
      <c r="D11" s="214" t="str">
        <f>IF('Summary Schedule'!$C$4="ESA",E11+F11,"")</f>
        <v/>
      </c>
      <c r="E11" s="214">
        <f>IF('Sch1esa-ESA Pymts'!D11="",0, 'Sch1esa-ESA Pymts'!D11)</f>
        <v>0</v>
      </c>
      <c r="F11" s="214" t="str">
        <f ca="1">IF('Summary Schedule'!$G$42="",IF('Summary Schedule'!$C$4="ESA", IF(A11&lt;='Summary Schedule'!$C$27, INDIRECT("'Sch3-Perf Period Cash Flow'!"&amp;LEFT(ADDRESS(1,ROW(A6),4,1),(ROW(A6)&gt;26)+1)&amp;$A$9+22&amp;""),0),""),"Term&gt;25Yrs")</f>
        <v/>
      </c>
      <c r="G11" s="332"/>
      <c r="H11" s="14"/>
      <c r="I11" s="14"/>
      <c r="J11" s="14"/>
    </row>
    <row r="12" spans="1:10" ht="18" customHeight="1" thickBot="1">
      <c r="A12" s="93">
        <v>4</v>
      </c>
      <c r="B12" s="214" t="str">
        <f>IF('Summary Schedule'!$C$4="ESA", IF(A12&lt;='Summary Schedule'!$C$27,'Itemized Costs-HIDDEN'!M8+E12,""), "")</f>
        <v/>
      </c>
      <c r="C12" s="214" t="str">
        <f>IF('Summary Schedule'!$C$4="ESA", IF(A12&lt;='Summary Schedule'!$C$27,'Amortization-HIDDEN'!K20+E12,""),"")</f>
        <v/>
      </c>
      <c r="D12" s="214" t="str">
        <f>IF('Summary Schedule'!$C$4="ESA",E12+F12,"")</f>
        <v/>
      </c>
      <c r="E12" s="214">
        <f>IF('Sch1esa-ESA Pymts'!D12="",0, 'Sch1esa-ESA Pymts'!D12)</f>
        <v>0</v>
      </c>
      <c r="F12" s="214" t="str">
        <f ca="1">IF('Summary Schedule'!$G$42="",IF('Summary Schedule'!$C$4="ESA", IF(A12&lt;='Summary Schedule'!$C$27, INDIRECT("'Sch3-Perf Period Cash Flow'!"&amp;LEFT(ADDRESS(1,ROW(A7),4,1),(ROW(A7)&gt;26)+1)&amp;$A$9+22&amp;""),0),""),"Term&gt;25Yrs")</f>
        <v/>
      </c>
      <c r="G12" s="332"/>
      <c r="H12" s="14"/>
      <c r="I12" s="14"/>
      <c r="J12" s="14"/>
    </row>
    <row r="13" spans="1:10" ht="18" customHeight="1" thickBot="1">
      <c r="A13" s="93">
        <v>5</v>
      </c>
      <c r="B13" s="214" t="str">
        <f>IF('Summary Schedule'!$C$4="ESA", IF(A13&lt;='Summary Schedule'!$C$27,'Itemized Costs-HIDDEN'!M9+E13,""), "")</f>
        <v/>
      </c>
      <c r="C13" s="214" t="str">
        <f>IF('Summary Schedule'!$C$4="ESA", IF(A13&lt;='Summary Schedule'!$C$27,'Amortization-HIDDEN'!K21+E13,""),"")</f>
        <v/>
      </c>
      <c r="D13" s="214" t="str">
        <f>IF('Summary Schedule'!$C$4="ESA",E13+F13,"")</f>
        <v/>
      </c>
      <c r="E13" s="214">
        <f>IF('Sch1esa-ESA Pymts'!D13="",0, 'Sch1esa-ESA Pymts'!D13)</f>
        <v>0</v>
      </c>
      <c r="F13" s="214" t="str">
        <f ca="1">IF('Summary Schedule'!$G$42="",IF('Summary Schedule'!$C$4="ESA", IF(A13&lt;='Summary Schedule'!$C$27, INDIRECT("'Sch3-Perf Period Cash Flow'!"&amp;LEFT(ADDRESS(1,ROW(A8),4,1),(ROW(A8)&gt;26)+1)&amp;$A$9+22&amp;""),0),""),"Term&gt;25Yrs")</f>
        <v/>
      </c>
      <c r="G13" s="332"/>
      <c r="H13" s="14"/>
      <c r="I13" s="14"/>
      <c r="J13" s="14"/>
    </row>
    <row r="14" spans="1:10" ht="18" customHeight="1" thickBot="1">
      <c r="A14" s="93">
        <v>6</v>
      </c>
      <c r="B14" s="214" t="str">
        <f>IF('Summary Schedule'!$C$4="ESA", IF(A14&lt;='Summary Schedule'!$C$27,'Itemized Costs-HIDDEN'!M10+E14,""), "")</f>
        <v/>
      </c>
      <c r="C14" s="214" t="str">
        <f>IF('Summary Schedule'!$C$4="ESA", IF(A14&lt;='Summary Schedule'!$C$27,'Amortization-HIDDEN'!K22+E14,""),"")</f>
        <v/>
      </c>
      <c r="D14" s="214" t="str">
        <f>IF('Summary Schedule'!$C$4="ESA",E14+F14,"")</f>
        <v/>
      </c>
      <c r="E14" s="214">
        <f>IF('Sch1esa-ESA Pymts'!D14="",0, 'Sch1esa-ESA Pymts'!D14)</f>
        <v>0</v>
      </c>
      <c r="F14" s="214" t="str">
        <f ca="1">IF('Summary Schedule'!$G$42="",IF('Summary Schedule'!$C$4="ESA", IF(A14&lt;='Summary Schedule'!$C$27, INDIRECT("'Sch3-Perf Period Cash Flow'!"&amp;LEFT(ADDRESS(1,ROW(A9),4,1),(ROW(A9)&gt;26)+1)&amp;$A$9+22&amp;""),0),""),"Term&gt;25Yrs")</f>
        <v/>
      </c>
      <c r="G14" s="332"/>
      <c r="H14" s="14"/>
      <c r="I14" s="14"/>
      <c r="J14" s="14"/>
    </row>
    <row r="15" spans="1:10" ht="18" customHeight="1" thickBot="1">
      <c r="A15" s="93">
        <v>7</v>
      </c>
      <c r="B15" s="214" t="str">
        <f>IF('Summary Schedule'!$C$4="ESA", IF(A15&lt;='Summary Schedule'!$C$27,'Itemized Costs-HIDDEN'!M11+E15,""), "")</f>
        <v/>
      </c>
      <c r="C15" s="214" t="str">
        <f>IF('Summary Schedule'!$C$4="ESA", IF(A15&lt;='Summary Schedule'!$C$27,'Amortization-HIDDEN'!K23+E15,""),"")</f>
        <v/>
      </c>
      <c r="D15" s="214" t="str">
        <f>IF('Summary Schedule'!$C$4="ESA",E15+F15,"")</f>
        <v/>
      </c>
      <c r="E15" s="214">
        <f>IF('Sch1esa-ESA Pymts'!D15="",0, 'Sch1esa-ESA Pymts'!D15)</f>
        <v>0</v>
      </c>
      <c r="F15" s="214" t="str">
        <f ca="1">IF('Summary Schedule'!$G$42="",IF('Summary Schedule'!$C$4="ESA", IF(A15&lt;='Summary Schedule'!$C$27, INDIRECT("'Sch3-Perf Period Cash Flow'!"&amp;LEFT(ADDRESS(1,ROW(A10),4,1),(ROW(A10)&gt;26)+1)&amp;$A$9+22&amp;""),0),""),"Term&gt;25Yrs")</f>
        <v/>
      </c>
      <c r="G15" s="332"/>
      <c r="H15" s="14"/>
      <c r="I15" s="14"/>
      <c r="J15" s="14"/>
    </row>
    <row r="16" spans="1:10" ht="18" customHeight="1" thickBot="1">
      <c r="A16" s="93">
        <v>8</v>
      </c>
      <c r="B16" s="214" t="str">
        <f>IF('Summary Schedule'!$C$4="ESA", IF(A16&lt;='Summary Schedule'!$C$27,'Itemized Costs-HIDDEN'!M12+E16,""), "")</f>
        <v/>
      </c>
      <c r="C16" s="214" t="str">
        <f>IF('Summary Schedule'!$C$4="ESA", IF(A16&lt;='Summary Schedule'!$C$27,'Amortization-HIDDEN'!K24+E16,""),"")</f>
        <v/>
      </c>
      <c r="D16" s="214" t="str">
        <f>IF('Summary Schedule'!$C$4="ESA",E16+F16,"")</f>
        <v/>
      </c>
      <c r="E16" s="214">
        <f>IF('Sch1esa-ESA Pymts'!D16="",0, 'Sch1esa-ESA Pymts'!D16)</f>
        <v>0</v>
      </c>
      <c r="F16" s="214" t="str">
        <f ca="1">IF('Summary Schedule'!$G$42="",IF('Summary Schedule'!$C$4="ESA", IF(A16&lt;='Summary Schedule'!$C$27, INDIRECT("'Sch3-Perf Period Cash Flow'!"&amp;LEFT(ADDRESS(1,ROW(A11),4,1),(ROW(A11)&gt;26)+1)&amp;$A$9+22&amp;""),0),""),"Term&gt;25Yrs")</f>
        <v/>
      </c>
      <c r="G16" s="332"/>
      <c r="H16" s="14"/>
      <c r="I16" s="14"/>
      <c r="J16" s="14"/>
    </row>
    <row r="17" spans="1:10" ht="18" customHeight="1" thickBot="1">
      <c r="A17" s="93">
        <v>9</v>
      </c>
      <c r="B17" s="214" t="str">
        <f>IF('Summary Schedule'!$C$4="ESA", IF(A17&lt;='Summary Schedule'!$C$27,'Itemized Costs-HIDDEN'!M13+E17,""), "")</f>
        <v/>
      </c>
      <c r="C17" s="214" t="str">
        <f>IF('Summary Schedule'!$C$4="ESA", IF(A17&lt;='Summary Schedule'!$C$27,'Amortization-HIDDEN'!K25+E17,""),"")</f>
        <v/>
      </c>
      <c r="D17" s="214" t="str">
        <f>IF('Summary Schedule'!$C$4="ESA",E17+F17,"")</f>
        <v/>
      </c>
      <c r="E17" s="214">
        <f>IF('Sch1esa-ESA Pymts'!D17="",0, 'Sch1esa-ESA Pymts'!D17)</f>
        <v>0</v>
      </c>
      <c r="F17" s="214" t="str">
        <f ca="1">IF('Summary Schedule'!$G$42="",IF('Summary Schedule'!$C$4="ESA", IF(A17&lt;='Summary Schedule'!$C$27, INDIRECT("'Sch3-Perf Period Cash Flow'!"&amp;LEFT(ADDRESS(1,ROW(A12),4,1),(ROW(A12)&gt;26)+1)&amp;$A$9+22&amp;""),0),""),"Term&gt;25Yrs")</f>
        <v/>
      </c>
      <c r="G17" s="332"/>
      <c r="H17" s="14"/>
      <c r="I17" s="14"/>
      <c r="J17" s="14"/>
    </row>
    <row r="18" spans="1:10" ht="18" customHeight="1" thickBot="1">
      <c r="A18" s="93">
        <v>10</v>
      </c>
      <c r="B18" s="214" t="str">
        <f>IF('Summary Schedule'!$C$4="ESA", IF(A18&lt;='Summary Schedule'!$C$27,'Itemized Costs-HIDDEN'!M14+E18,""), "")</f>
        <v/>
      </c>
      <c r="C18" s="214" t="str">
        <f>IF('Summary Schedule'!$C$4="ESA", IF(A18&lt;='Summary Schedule'!$C$27,'Amortization-HIDDEN'!K26+E18,""),"")</f>
        <v/>
      </c>
      <c r="D18" s="214" t="str">
        <f>IF('Summary Schedule'!$C$4="ESA",E18+F18,"")</f>
        <v/>
      </c>
      <c r="E18" s="214">
        <f>IF('Sch1esa-ESA Pymts'!D18="",0, 'Sch1esa-ESA Pymts'!D18)</f>
        <v>0</v>
      </c>
      <c r="F18" s="214" t="str">
        <f ca="1">IF('Summary Schedule'!$G$42="",IF('Summary Schedule'!$C$4="ESA", IF(A18&lt;='Summary Schedule'!$C$27, INDIRECT("'Sch3-Perf Period Cash Flow'!"&amp;LEFT(ADDRESS(1,ROW(A13),4,1),(ROW(A13)&gt;26)+1)&amp;$A$9+22&amp;""),0),""),"Term&gt;25Yrs")</f>
        <v/>
      </c>
      <c r="G18" s="332"/>
      <c r="H18" s="14"/>
      <c r="I18" s="14"/>
      <c r="J18" s="14"/>
    </row>
    <row r="19" spans="1:10" ht="18" customHeight="1" thickBot="1">
      <c r="A19" s="93">
        <v>11</v>
      </c>
      <c r="B19" s="214" t="str">
        <f>IF('Summary Schedule'!$C$4="ESA", IF(A19&lt;='Summary Schedule'!$C$27,'Itemized Costs-HIDDEN'!M15+E19,""), "")</f>
        <v/>
      </c>
      <c r="C19" s="214" t="str">
        <f>IF('Summary Schedule'!$C$4="ESA", IF(A19&lt;='Summary Schedule'!$C$27,'Amortization-HIDDEN'!K27+E19,""),"")</f>
        <v/>
      </c>
      <c r="D19" s="214" t="str">
        <f>IF('Summary Schedule'!$C$4="ESA",E19+F19,"")</f>
        <v/>
      </c>
      <c r="E19" s="214">
        <f>IF('Sch1esa-ESA Pymts'!D19="",0, 'Sch1esa-ESA Pymts'!D19)</f>
        <v>0</v>
      </c>
      <c r="F19" s="214" t="str">
        <f ca="1">IF('Summary Schedule'!$G$42="",IF('Summary Schedule'!$C$4="ESA", IF(A19&lt;='Summary Schedule'!$C$27, INDIRECT("'Sch3-Perf Period Cash Flow'!"&amp;LEFT(ADDRESS(1,ROW(A14),4,1),(ROW(A14)&gt;26)+1)&amp;$A$9+22&amp;""),0),""),"Term&gt;25Yrs")</f>
        <v/>
      </c>
      <c r="G19" s="332"/>
      <c r="H19" s="14"/>
      <c r="I19" s="14"/>
      <c r="J19" s="14"/>
    </row>
    <row r="20" spans="1:10" ht="18" customHeight="1" thickBot="1">
      <c r="A20" s="93">
        <v>12</v>
      </c>
      <c r="B20" s="214" t="str">
        <f>IF('Summary Schedule'!$C$4="ESA", IF(A20&lt;='Summary Schedule'!$C$27,'Itemized Costs-HIDDEN'!M16+E20,""), "")</f>
        <v/>
      </c>
      <c r="C20" s="214" t="str">
        <f>IF('Summary Schedule'!$C$4="ESA", IF(A20&lt;='Summary Schedule'!$C$27,'Amortization-HIDDEN'!K28+E20,""),"")</f>
        <v/>
      </c>
      <c r="D20" s="214" t="str">
        <f>IF('Summary Schedule'!$C$4="ESA",E20+F20,"")</f>
        <v/>
      </c>
      <c r="E20" s="214">
        <f>IF('Sch1esa-ESA Pymts'!D20="",0, 'Sch1esa-ESA Pymts'!D20)</f>
        <v>0</v>
      </c>
      <c r="F20" s="214" t="str">
        <f ca="1">IF('Summary Schedule'!$G$42="",IF('Summary Schedule'!$C$4="ESA", IF(A20&lt;='Summary Schedule'!$C$27, INDIRECT("'Sch3-Perf Period Cash Flow'!"&amp;LEFT(ADDRESS(1,ROW(A15),4,1),(ROW(A15)&gt;26)+1)&amp;$A$9+22&amp;""),0),""),"Term&gt;25Yrs")</f>
        <v/>
      </c>
      <c r="G20" s="332"/>
    </row>
    <row r="21" spans="1:10" ht="18" customHeight="1" thickBot="1">
      <c r="A21" s="93">
        <v>13</v>
      </c>
      <c r="B21" s="214" t="str">
        <f>IF('Summary Schedule'!$C$4="ESA", IF(A21&lt;='Summary Schedule'!$C$27,'Itemized Costs-HIDDEN'!M17+E21,""), "")</f>
        <v/>
      </c>
      <c r="C21" s="214" t="str">
        <f>IF('Summary Schedule'!$C$4="ESA", IF(A21&lt;='Summary Schedule'!$C$27,'Amortization-HIDDEN'!K29+E21,""),"")</f>
        <v/>
      </c>
      <c r="D21" s="214" t="str">
        <f>IF('Summary Schedule'!$C$4="ESA",E21+F21,"")</f>
        <v/>
      </c>
      <c r="E21" s="214">
        <f>IF('Sch1esa-ESA Pymts'!D21="",0, 'Sch1esa-ESA Pymts'!D21)</f>
        <v>0</v>
      </c>
      <c r="F21" s="214" t="str">
        <f ca="1">IF('Summary Schedule'!$G$42="",IF('Summary Schedule'!$C$4="ESA", IF(A21&lt;='Summary Schedule'!$C$27, INDIRECT("'Sch3-Perf Period Cash Flow'!"&amp;LEFT(ADDRESS(1,ROW(A16),4,1),(ROW(A16)&gt;26)+1)&amp;$A$9+22&amp;""),0),""),"Term&gt;25Yrs")</f>
        <v/>
      </c>
      <c r="G21" s="332"/>
    </row>
    <row r="22" spans="1:10" ht="18" customHeight="1" thickBot="1">
      <c r="A22" s="93">
        <v>14</v>
      </c>
      <c r="B22" s="214" t="str">
        <f>IF('Summary Schedule'!$C$4="ESA", IF(A22&lt;='Summary Schedule'!$C$27,'Itemized Costs-HIDDEN'!M18+E22,""), "")</f>
        <v/>
      </c>
      <c r="C22" s="214" t="str">
        <f>IF('Summary Schedule'!$C$4="ESA", IF(A22&lt;='Summary Schedule'!$C$27,'Amortization-HIDDEN'!K30+E22,""),"")</f>
        <v/>
      </c>
      <c r="D22" s="214" t="str">
        <f>IF('Summary Schedule'!$C$4="ESA",E22+F22,"")</f>
        <v/>
      </c>
      <c r="E22" s="214">
        <f>IF('Sch1esa-ESA Pymts'!D22="",0, 'Sch1esa-ESA Pymts'!D22)</f>
        <v>0</v>
      </c>
      <c r="F22" s="214" t="str">
        <f ca="1">IF('Summary Schedule'!$G$42="",IF('Summary Schedule'!$C$4="ESA", IF(A22&lt;='Summary Schedule'!$C$27, INDIRECT("'Sch3-Perf Period Cash Flow'!"&amp;LEFT(ADDRESS(1,ROW(A17),4,1),(ROW(A17)&gt;26)+1)&amp;$A$9+22&amp;""),0),""),"Term&gt;25Yrs")</f>
        <v/>
      </c>
      <c r="G22" s="332"/>
    </row>
    <row r="23" spans="1:10" ht="18" customHeight="1" thickBot="1">
      <c r="A23" s="93">
        <v>15</v>
      </c>
      <c r="B23" s="214" t="str">
        <f>IF('Summary Schedule'!$C$4="ESA", IF(A23&lt;='Summary Schedule'!$C$27,'Itemized Costs-HIDDEN'!M19+E23,""), "")</f>
        <v/>
      </c>
      <c r="C23" s="214" t="str">
        <f>IF('Summary Schedule'!$C$4="ESA", IF(A23&lt;='Summary Schedule'!$C$27,'Amortization-HIDDEN'!K31+E23,""),"")</f>
        <v/>
      </c>
      <c r="D23" s="214" t="str">
        <f>IF('Summary Schedule'!$C$4="ESA",E23+F23,"")</f>
        <v/>
      </c>
      <c r="E23" s="214">
        <f>IF('Sch1esa-ESA Pymts'!D23="",0, 'Sch1esa-ESA Pymts'!D23)</f>
        <v>0</v>
      </c>
      <c r="F23" s="214" t="str">
        <f ca="1">IF('Summary Schedule'!$G$42="",IF('Summary Schedule'!$C$4="ESA", IF(A23&lt;='Summary Schedule'!$C$27, INDIRECT("'Sch3-Perf Period Cash Flow'!"&amp;LEFT(ADDRESS(1,ROW(A18),4,1),(ROW(A18)&gt;26)+1)&amp;$A$9+22&amp;""),0),""),"Term&gt;25Yrs")</f>
        <v/>
      </c>
      <c r="G23" s="332"/>
    </row>
    <row r="24" spans="1:10" ht="18" customHeight="1" thickBot="1">
      <c r="A24" s="93">
        <v>16</v>
      </c>
      <c r="B24" s="214" t="str">
        <f>IF('Summary Schedule'!$C$4="ESA", IF(A24&lt;='Summary Schedule'!$C$27,'Itemized Costs-HIDDEN'!M20+E24,""), "")</f>
        <v/>
      </c>
      <c r="C24" s="214" t="str">
        <f>IF('Summary Schedule'!$C$4="ESA", IF(A24&lt;='Summary Schedule'!$C$27,'Amortization-HIDDEN'!K32+E24,""),"")</f>
        <v/>
      </c>
      <c r="D24" s="214" t="str">
        <f>IF('Summary Schedule'!$C$4="ESA",E24+F24,"")</f>
        <v/>
      </c>
      <c r="E24" s="214">
        <f>IF('Sch1esa-ESA Pymts'!D24="",0, 'Sch1esa-ESA Pymts'!D24)</f>
        <v>0</v>
      </c>
      <c r="F24" s="214" t="str">
        <f ca="1">IF('Summary Schedule'!$G$42="",IF('Summary Schedule'!$C$4="ESA", IF(A24&lt;='Summary Schedule'!$C$27, INDIRECT("'Sch3-Perf Period Cash Flow'!"&amp;LEFT(ADDRESS(1,ROW(A19),4,1),(ROW(A19)&gt;26)+1)&amp;$A$9+22&amp;""),0),""),"Term&gt;25Yrs")</f>
        <v/>
      </c>
      <c r="G24" s="332"/>
    </row>
    <row r="25" spans="1:10" ht="18" customHeight="1" thickBot="1">
      <c r="A25" s="93">
        <v>17</v>
      </c>
      <c r="B25" s="214" t="str">
        <f>IF('Summary Schedule'!$C$4="ESA", IF(A25&lt;='Summary Schedule'!$C$27,'Itemized Costs-HIDDEN'!M21+E25,""), "")</f>
        <v/>
      </c>
      <c r="C25" s="214" t="str">
        <f>IF('Summary Schedule'!$C$4="ESA", IF(A25&lt;='Summary Schedule'!$C$27,'Amortization-HIDDEN'!K33+E25,""),"")</f>
        <v/>
      </c>
      <c r="D25" s="214" t="str">
        <f>IF('Summary Schedule'!$C$4="ESA",E25+F25,"")</f>
        <v/>
      </c>
      <c r="E25" s="214">
        <f>IF('Sch1esa-ESA Pymts'!D25="",0, 'Sch1esa-ESA Pymts'!D25)</f>
        <v>0</v>
      </c>
      <c r="F25" s="214" t="str">
        <f ca="1">IF('Summary Schedule'!$G$42="",IF('Summary Schedule'!$C$4="ESA", IF(A25&lt;='Summary Schedule'!$C$27, INDIRECT("'Sch3-Perf Period Cash Flow'!"&amp;LEFT(ADDRESS(1,ROW(A20),4,1),(ROW(A20)&gt;26)+1)&amp;$A$9+22&amp;""),0),""),"Term&gt;25Yrs")</f>
        <v/>
      </c>
      <c r="G25" s="332"/>
    </row>
    <row r="26" spans="1:10" ht="18" customHeight="1" thickBot="1">
      <c r="A26" s="93">
        <v>18</v>
      </c>
      <c r="B26" s="214" t="str">
        <f>IF('Summary Schedule'!$C$4="ESA", IF(A26&lt;='Summary Schedule'!$C$27,'Itemized Costs-HIDDEN'!M22+E26,""), "")</f>
        <v/>
      </c>
      <c r="C26" s="214" t="str">
        <f>IF('Summary Schedule'!$C$4="ESA", IF(A26&lt;='Summary Schedule'!$C$27,'Amortization-HIDDEN'!K34+E26,""),"")</f>
        <v/>
      </c>
      <c r="D26" s="214" t="str">
        <f>IF('Summary Schedule'!$C$4="ESA",E26+F26,"")</f>
        <v/>
      </c>
      <c r="E26" s="214">
        <f>IF('Sch1esa-ESA Pymts'!D26="",0, 'Sch1esa-ESA Pymts'!D26)</f>
        <v>0</v>
      </c>
      <c r="F26" s="214" t="str">
        <f ca="1">IF('Summary Schedule'!$G$42="",IF('Summary Schedule'!$C$4="ESA", IF(A26&lt;='Summary Schedule'!$C$27, INDIRECT("'Sch3-Perf Period Cash Flow'!"&amp;LEFT(ADDRESS(1,ROW(A21),4,1),(ROW(A21)&gt;26)+1)&amp;$A$9+22&amp;""),0),""),"Term&gt;25Yrs")</f>
        <v/>
      </c>
      <c r="G26" s="332"/>
    </row>
    <row r="27" spans="1:10" ht="18" customHeight="1" thickBot="1">
      <c r="A27" s="93">
        <v>19</v>
      </c>
      <c r="B27" s="214" t="str">
        <f>IF('Summary Schedule'!$C$4="ESA", IF(A27&lt;='Summary Schedule'!$C$27,'Itemized Costs-HIDDEN'!M23+E27,""), "")</f>
        <v/>
      </c>
      <c r="C27" s="214" t="str">
        <f>IF('Summary Schedule'!$C$4="ESA", IF(A27&lt;='Summary Schedule'!$C$27,'Amortization-HIDDEN'!K35+E27,""),"")</f>
        <v/>
      </c>
      <c r="D27" s="214" t="str">
        <f>IF('Summary Schedule'!$C$4="ESA",E27+F27,"")</f>
        <v/>
      </c>
      <c r="E27" s="214">
        <f>IF('Sch1esa-ESA Pymts'!D27="",0, 'Sch1esa-ESA Pymts'!D27)</f>
        <v>0</v>
      </c>
      <c r="F27" s="214" t="str">
        <f ca="1">IF('Summary Schedule'!$G$42="",IF('Summary Schedule'!$C$4="ESA", IF(A27&lt;='Summary Schedule'!$C$27, INDIRECT("'Sch3-Perf Period Cash Flow'!"&amp;LEFT(ADDRESS(1,ROW(A22),4,1),(ROW(A22)&gt;26)+1)&amp;$A$9+22&amp;""),0),""),"Term&gt;25Yrs")</f>
        <v/>
      </c>
      <c r="G27" s="332"/>
    </row>
    <row r="28" spans="1:10" ht="18" customHeight="1" thickBot="1">
      <c r="A28" s="93">
        <v>20</v>
      </c>
      <c r="B28" s="214" t="str">
        <f>IF('Summary Schedule'!$C$4="ESA", IF(A28&lt;='Summary Schedule'!$C$27,'Itemized Costs-HIDDEN'!M24+E28,""), "")</f>
        <v/>
      </c>
      <c r="C28" s="214" t="str">
        <f>IF('Summary Schedule'!$C$4="ESA", IF(A28&lt;='Summary Schedule'!$C$27,'Amortization-HIDDEN'!K36+E28,""),"")</f>
        <v/>
      </c>
      <c r="D28" s="214" t="str">
        <f>IF('Summary Schedule'!$C$4="ESA",E28+F28,"")</f>
        <v/>
      </c>
      <c r="E28" s="214">
        <f>IF('Sch1esa-ESA Pymts'!D28="",0, 'Sch1esa-ESA Pymts'!D28)</f>
        <v>0</v>
      </c>
      <c r="F28" s="214" t="str">
        <f ca="1">IF('Summary Schedule'!$G$42="",IF('Summary Schedule'!$C$4="ESA", IF(A28&lt;='Summary Schedule'!$C$27, INDIRECT("'Sch3-Perf Period Cash Flow'!"&amp;LEFT(ADDRESS(1,ROW(A23),4,1),(ROW(A23)&gt;26)+1)&amp;$A$9+22&amp;""),0),""),"Term&gt;25Yrs")</f>
        <v/>
      </c>
      <c r="G28" s="332"/>
    </row>
    <row r="29" spans="1:10" ht="18" customHeight="1" thickBot="1">
      <c r="A29" s="93">
        <v>21</v>
      </c>
      <c r="B29" s="214" t="str">
        <f>IF('Summary Schedule'!$C$4="ESA", IF(A29&lt;='Summary Schedule'!$C$27,'Itemized Costs-HIDDEN'!M25+E29,""), "")</f>
        <v/>
      </c>
      <c r="C29" s="214" t="str">
        <f>IF('Summary Schedule'!$C$4="ESA", IF(A29&lt;='Summary Schedule'!$C$27,'Amortization-HIDDEN'!K37+E29,""),"")</f>
        <v/>
      </c>
      <c r="D29" s="214" t="str">
        <f>IF('Summary Schedule'!$C$4="ESA",E29+F29,"")</f>
        <v/>
      </c>
      <c r="E29" s="214"/>
      <c r="F29" s="214" t="str">
        <f ca="1">IF('Summary Schedule'!$G$42="",IF('Summary Schedule'!$C$4="ESA", IF(A29&lt;='Summary Schedule'!$C$27, INDIRECT("'Sch3-Perf Period Cash Flow'!"&amp;LEFT(ADDRESS(1,ROW(A24),4,1),(ROW(A24)&gt;26)+1)&amp;$A$9+22&amp;""),0),""),"Term&gt;25Yrs")</f>
        <v/>
      </c>
      <c r="G29" s="332"/>
    </row>
    <row r="30" spans="1:10" ht="18" customHeight="1" thickBot="1">
      <c r="A30" s="93">
        <v>22</v>
      </c>
      <c r="B30" s="214" t="str">
        <f>IF('Summary Schedule'!$C$4="ESA", IF(A30&lt;='Summary Schedule'!$C$27,'Itemized Costs-HIDDEN'!M26+E30,""), "")</f>
        <v/>
      </c>
      <c r="C30" s="214" t="str">
        <f>IF('Summary Schedule'!$C$4="ESA", IF(A30&lt;='Summary Schedule'!$C$27,'Amortization-HIDDEN'!K38+E30,""),"")</f>
        <v/>
      </c>
      <c r="D30" s="214" t="str">
        <f>IF('Summary Schedule'!$C$4="ESA",E30+F30,"")</f>
        <v/>
      </c>
      <c r="E30" s="214"/>
      <c r="F30" s="214" t="str">
        <f ca="1">IF('Summary Schedule'!$G$42="",IF('Summary Schedule'!$C$4="ESA", IF(A30&lt;='Summary Schedule'!$C$27, INDIRECT("'Sch3-Perf Period Cash Flow'!"&amp;LEFT(ADDRESS(1,ROW(A25),4,1),(ROW(A25)&gt;26)+1)&amp;$A$9+22&amp;""),0),""),"Term&gt;25Yrs")</f>
        <v/>
      </c>
      <c r="G30" s="332"/>
    </row>
    <row r="31" spans="1:10" ht="18" customHeight="1" thickBot="1">
      <c r="A31" s="93">
        <v>23</v>
      </c>
      <c r="B31" s="214" t="str">
        <f>IF('Summary Schedule'!$C$4="ESA", IF(A31&lt;='Summary Schedule'!$C$27,'Itemized Costs-HIDDEN'!M27+E31,""), "")</f>
        <v/>
      </c>
      <c r="C31" s="214" t="str">
        <f>IF('Summary Schedule'!$C$4="ESA", IF(A31&lt;='Summary Schedule'!$C$27,'Amortization-HIDDEN'!K39+E31,""),"")</f>
        <v/>
      </c>
      <c r="D31" s="214" t="str">
        <f>IF('Summary Schedule'!$C$4="ESA",E31+F31,"")</f>
        <v/>
      </c>
      <c r="E31" s="214"/>
      <c r="F31" s="214" t="str">
        <f ca="1">IF('Summary Schedule'!$G$42="",IF('Summary Schedule'!$C$4="ESA", IF(A31&lt;='Summary Schedule'!$C$27, INDIRECT("'Sch3-Perf Period Cash Flow'!"&amp;LEFT(ADDRESS(1,ROW(A26),4,1),(ROW(A26)&gt;26)+1)&amp;$A$9+22&amp;""),0),""),"Term&gt;25Yrs")</f>
        <v/>
      </c>
      <c r="G31" s="332"/>
    </row>
    <row r="32" spans="1:10" ht="18" customHeight="1" thickBot="1">
      <c r="A32" s="93">
        <v>24</v>
      </c>
      <c r="B32" s="214" t="str">
        <f>IF('Summary Schedule'!$C$4="ESA", IF(A32&lt;='Summary Schedule'!$C$27,'Itemized Costs-HIDDEN'!M28+E32,""), "")</f>
        <v/>
      </c>
      <c r="C32" s="214" t="str">
        <f>IF('Summary Schedule'!$C$4="ESA", IF(A32&lt;='Summary Schedule'!$C$27,'Amortization-HIDDEN'!K40+E32,""),"")</f>
        <v/>
      </c>
      <c r="D32" s="214" t="str">
        <f>IF('Summary Schedule'!$C$4="ESA",E32+F32,"")</f>
        <v/>
      </c>
      <c r="E32" s="214"/>
      <c r="F32" s="214" t="str">
        <f ca="1">IF('Summary Schedule'!$G$42="",IF('Summary Schedule'!$C$4="ESA", IF(A32&lt;='Summary Schedule'!$C$27, INDIRECT("'Sch3-Perf Period Cash Flow'!"&amp;LEFT(ADDRESS(1,ROW(A27),4,1),(ROW(A27)&gt;26)+1)&amp;$A$9+22&amp;""),0),""),"Term&gt;25Yrs")</f>
        <v/>
      </c>
      <c r="G32" s="332"/>
    </row>
    <row r="33" spans="1:7" ht="18" customHeight="1" thickBot="1">
      <c r="A33" s="93">
        <v>25</v>
      </c>
      <c r="B33" s="214" t="str">
        <f>IF('Summary Schedule'!$C$4="ESA", IF(A33&lt;='Summary Schedule'!$C$27,'Itemized Costs-HIDDEN'!M29+E33,""), "")</f>
        <v/>
      </c>
      <c r="C33" s="214" t="str">
        <f>IF('Summary Schedule'!$C$4="ESA", IF(A33&lt;='Summary Schedule'!$C$27,'Amortization-HIDDEN'!K41+E33,""),"")</f>
        <v/>
      </c>
      <c r="D33" s="214" t="str">
        <f>IF('Summary Schedule'!$C$4="ESA",E33+F33,"")</f>
        <v/>
      </c>
      <c r="E33" s="214"/>
      <c r="F33" s="214" t="str">
        <f ca="1">IF('Summary Schedule'!$G$42="",IF('Summary Schedule'!$C$4="ESA", IF(A33&lt;='Summary Schedule'!$C$27, INDIRECT("'Sch3-Perf Period Cash Flow'!"&amp;LEFT(ADDRESS(1,ROW(A28),4,1),(ROW(A28)&gt;26)+1)&amp;$A$9+22&amp;""),0),""),"Term&gt;25Yrs")</f>
        <v/>
      </c>
      <c r="G33" s="332"/>
    </row>
    <row r="34" spans="1:7" ht="18" hidden="1" customHeight="1" thickBot="1">
      <c r="A34" s="93">
        <v>26</v>
      </c>
      <c r="B34" s="214" t="str">
        <f>IF('Summary Schedule'!$C$4="ESA", IF(A34&lt;='Summary Schedule'!$C$27,'Itemized Costs-HIDDEN'!M30+E34,""), "")</f>
        <v/>
      </c>
      <c r="C34" s="214" t="str">
        <f>IF('Summary Schedule'!$C$4="ESA", IF(A34&lt;='Summary Schedule'!$C$27,#REF!+E34,""),"")</f>
        <v/>
      </c>
      <c r="D34" s="214" t="str">
        <f>IF('Summary Schedule'!$C$4="ESA",E34+F34,"")</f>
        <v/>
      </c>
      <c r="E34" s="214"/>
      <c r="F34" s="214" t="str">
        <f ca="1">IF('Summary Schedule'!$G$42="",IF('Summary Schedule'!$C$4="ESA", IF(A34&lt;='Summary Schedule'!$C$27, INDIRECT("'Sch3-Perf Period Cash Flow'!"&amp;LEFT(ADDRESS(1,ROW(A29),4,1),(ROW(A29)&gt;26)+1)&amp;$A$9+22&amp;""),0),""),"Term&gt;25Yrs")</f>
        <v/>
      </c>
      <c r="G34" s="332"/>
    </row>
    <row r="35" spans="1:7" ht="18" hidden="1" customHeight="1" thickBot="1">
      <c r="A35" s="93">
        <v>27</v>
      </c>
      <c r="B35" s="214" t="str">
        <f>IF('Summary Schedule'!$C$4="ESA", IF(A35&lt;='Summary Schedule'!$C$27,'Itemized Costs-HIDDEN'!M31+E35,""), "")</f>
        <v/>
      </c>
      <c r="C35" s="214" t="str">
        <f>IF('Summary Schedule'!$C$4="ESA", IF(A35&lt;='Summary Schedule'!$C$27,#REF!+E35,""),"")</f>
        <v/>
      </c>
      <c r="D35" s="214" t="str">
        <f>IF('Summary Schedule'!$C$4="ESA",E35+F35,"")</f>
        <v/>
      </c>
      <c r="E35" s="214"/>
      <c r="F35" s="214" t="str">
        <f ca="1">IF('Summary Schedule'!$G$42="",IF('Summary Schedule'!$C$4="ESA", IF(A35&lt;='Summary Schedule'!$C$27, INDIRECT("'Sch3-Perf Period Cash Flow'!"&amp;LEFT(ADDRESS(1,ROW(A30),4,1),(ROW(A30)&gt;26)+1)&amp;$A$9+22&amp;""),0),""),"Term&gt;25Yrs")</f>
        <v/>
      </c>
      <c r="G35" s="332"/>
    </row>
    <row r="36" spans="1:7" ht="18" hidden="1" customHeight="1" thickBot="1">
      <c r="A36" s="93">
        <v>28</v>
      </c>
      <c r="B36" s="214" t="str">
        <f>IF('Summary Schedule'!$C$4="ESA", IF(A36&lt;='Summary Schedule'!$C$27,'Itemized Costs-HIDDEN'!M32+E36,""), "")</f>
        <v/>
      </c>
      <c r="C36" s="214" t="str">
        <f>IF('Summary Schedule'!$C$4="ESA", IF(A36&lt;='Summary Schedule'!$C$27,#REF!+E36,""),"")</f>
        <v/>
      </c>
      <c r="D36" s="214" t="str">
        <f>IF('Summary Schedule'!$C$4="ESA",E36+F36,"")</f>
        <v/>
      </c>
      <c r="E36" s="214"/>
      <c r="F36" s="214" t="str">
        <f ca="1">IF('Summary Schedule'!$G$42="",IF('Summary Schedule'!$C$4="ESA", IF(A36&lt;='Summary Schedule'!$C$27, INDIRECT("'Sch3-Perf Period Cash Flow'!"&amp;LEFT(ADDRESS(1,ROW(A31),4,1),(ROW(A31)&gt;26)+1)&amp;$A$9+22&amp;""),0),""),"Term&gt;25Yrs")</f>
        <v/>
      </c>
      <c r="G36" s="332"/>
    </row>
    <row r="37" spans="1:7" ht="18" hidden="1" customHeight="1" thickBot="1">
      <c r="A37" s="93">
        <v>29</v>
      </c>
      <c r="B37" s="214" t="str">
        <f>IF('Summary Schedule'!$C$4="ESA", IF(A37&lt;='Summary Schedule'!$C$27,'Itemized Costs-HIDDEN'!M33+E37,""), "")</f>
        <v/>
      </c>
      <c r="C37" s="214" t="str">
        <f>IF('Summary Schedule'!$C$4="ESA", IF(A37&lt;='Summary Schedule'!$C$27,#REF!+E37,""),"")</f>
        <v/>
      </c>
      <c r="D37" s="214" t="str">
        <f>IF('Summary Schedule'!$C$4="ESA",E37+F37,"")</f>
        <v/>
      </c>
      <c r="E37" s="214"/>
      <c r="F37" s="214" t="str">
        <f ca="1">IF('Summary Schedule'!$G$42="",IF('Summary Schedule'!$C$4="ESA", IF(A37&lt;='Summary Schedule'!$C$27, INDIRECT("'Sch3-Perf Period Cash Flow'!"&amp;LEFT(ADDRESS(1,ROW(A32),4,1),(ROW(A32)&gt;26)+1)&amp;$A$9+22&amp;""),0),""),"Term&gt;25Yrs")</f>
        <v/>
      </c>
      <c r="G37" s="332"/>
    </row>
    <row r="38" spans="1:7" ht="18" hidden="1" customHeight="1" thickBot="1">
      <c r="A38" s="93">
        <v>30</v>
      </c>
      <c r="B38" s="214" t="str">
        <f>IF('Summary Schedule'!$C$4="ESA", IF(A38&lt;='Summary Schedule'!$C$27,'Itemized Costs-HIDDEN'!M34+E38,""), "")</f>
        <v/>
      </c>
      <c r="C38" s="214" t="str">
        <f>IF('Summary Schedule'!$C$4="ESA", IF(A38&lt;='Summary Schedule'!$C$27,#REF!+E38,""),"")</f>
        <v/>
      </c>
      <c r="D38" s="214" t="str">
        <f>IF('Summary Schedule'!$C$4="ESA",E38+F38,"")</f>
        <v/>
      </c>
      <c r="E38" s="214"/>
      <c r="F38" s="214" t="str">
        <f ca="1">IF('Summary Schedule'!$G$42="",IF('Summary Schedule'!$C$4="ESA", IF(A38&lt;='Summary Schedule'!$C$27, INDIRECT("'Sch3-Perf Period Cash Flow'!"&amp;LEFT(ADDRESS(1,ROW(A33),4,1),(ROW(A33)&gt;26)+1)&amp;$A$9+22&amp;""),0),""),"Term&gt;25Yrs")</f>
        <v/>
      </c>
      <c r="G38" s="332"/>
    </row>
    <row r="39" spans="1:7" ht="18" hidden="1" customHeight="1" thickBot="1">
      <c r="A39" s="93">
        <v>31</v>
      </c>
      <c r="B39" s="214" t="str">
        <f>IF('Summary Schedule'!$C$4="ESA", IF(A39&lt;='Summary Schedule'!$C$27,'Itemized Costs-HIDDEN'!M35+E39,""), "")</f>
        <v/>
      </c>
      <c r="C39" s="214" t="str">
        <f>IF('Summary Schedule'!$C$4="ESA", IF(A39&lt;='Summary Schedule'!$C$27,#REF!+E39,""),"")</f>
        <v/>
      </c>
      <c r="D39" s="214" t="str">
        <f>IF('Summary Schedule'!$C$4="ESA",E39+F39,"")</f>
        <v/>
      </c>
      <c r="E39" s="214"/>
      <c r="F39" s="214" t="str">
        <f ca="1">IF('Summary Schedule'!$G$42="",IF('Summary Schedule'!$C$4="ESA", IF(A39&lt;='Summary Schedule'!$C$27, INDIRECT("'Sch3-Perf Period Cash Flow'!"&amp;LEFT(ADDRESS(1,ROW(A34),4,1),(ROW(A34)&gt;26)+1)&amp;$A$9+22&amp;""),0),""),"Term&gt;25Yrs")</f>
        <v/>
      </c>
      <c r="G39" s="332"/>
    </row>
    <row r="40" spans="1:7" ht="18" hidden="1" customHeight="1" thickBot="1">
      <c r="A40" s="93">
        <v>32</v>
      </c>
      <c r="B40" s="214" t="str">
        <f>IF('Summary Schedule'!$C$4="ESA", IF(A40&lt;='Summary Schedule'!$C$27,'Itemized Costs-HIDDEN'!M36+E40,""), "")</f>
        <v/>
      </c>
      <c r="C40" s="214" t="str">
        <f>IF('Summary Schedule'!$C$4="ESA", IF(A40&lt;='Summary Schedule'!$C$27,#REF!+E40,""),"")</f>
        <v/>
      </c>
      <c r="D40" s="214" t="str">
        <f>IF('Summary Schedule'!$C$4="ESA",E40+F40,"")</f>
        <v/>
      </c>
      <c r="E40" s="214"/>
      <c r="F40" s="214" t="str">
        <f ca="1">IF('Summary Schedule'!$G$42="",IF('Summary Schedule'!$C$4="ESA", IF(A40&lt;='Summary Schedule'!$C$27, INDIRECT("'Sch3-Perf Period Cash Flow'!"&amp;LEFT(ADDRESS(1,ROW(A35),4,1),(ROW(A35)&gt;26)+1)&amp;$A$9+22&amp;""),0),""),"Term&gt;25Yrs")</f>
        <v/>
      </c>
      <c r="G40" s="332"/>
    </row>
    <row r="41" spans="1:7" ht="18" hidden="1" customHeight="1" thickBot="1">
      <c r="A41" s="93">
        <v>33</v>
      </c>
      <c r="B41" s="214" t="str">
        <f>IF('Summary Schedule'!$C$4="ESA", IF(A41&lt;='Summary Schedule'!$C$27,'Itemized Costs-HIDDEN'!M37+E41,""), "")</f>
        <v/>
      </c>
      <c r="C41" s="214" t="str">
        <f>IF('Summary Schedule'!$C$4="ESA", IF(A41&lt;='Summary Schedule'!$C$27,#REF!+E41,""),"")</f>
        <v/>
      </c>
      <c r="D41" s="214" t="str">
        <f>IF('Summary Schedule'!$C$4="ESA",E41+F41,"")</f>
        <v/>
      </c>
      <c r="E41" s="214"/>
      <c r="F41" s="214" t="str">
        <f ca="1">IF('Summary Schedule'!$G$42="",IF('Summary Schedule'!$C$4="ESA", IF(A41&lt;='Summary Schedule'!$C$27, INDIRECT("'Sch3-Perf Period Cash Flow'!"&amp;LEFT(ADDRESS(1,ROW(A36),4,1),(ROW(A36)&gt;26)+1)&amp;$A$9+22&amp;""),0),""),"Term&gt;25Yrs")</f>
        <v/>
      </c>
      <c r="G41" s="332"/>
    </row>
    <row r="42" spans="1:7" ht="18" hidden="1" customHeight="1" thickBot="1">
      <c r="A42" s="93">
        <v>34</v>
      </c>
      <c r="B42" s="214" t="str">
        <f>IF('Summary Schedule'!$C$4="ESA", IF(A42&lt;='Summary Schedule'!$C$27,'Itemized Costs-HIDDEN'!M38+E42,""), "")</f>
        <v/>
      </c>
      <c r="C42" s="214" t="str">
        <f>IF('Summary Schedule'!$C$4="ESA", IF(A42&lt;='Summary Schedule'!$C$27,#REF!+E42,""),"")</f>
        <v/>
      </c>
      <c r="D42" s="214" t="str">
        <f>IF('Summary Schedule'!$C$4="ESA",E42+F42,"")</f>
        <v/>
      </c>
      <c r="E42" s="214"/>
      <c r="F42" s="214" t="str">
        <f ca="1">IF('Summary Schedule'!$G$42="",IF('Summary Schedule'!$C$4="ESA", IF(A42&lt;='Summary Schedule'!$C$27, INDIRECT("'Sch3-Perf Period Cash Flow'!"&amp;LEFT(ADDRESS(1,ROW(A37),4,1),(ROW(A37)&gt;26)+1)&amp;$A$9+22&amp;""),0),""),"Term&gt;25Yrs")</f>
        <v/>
      </c>
      <c r="G42" s="332"/>
    </row>
    <row r="43" spans="1:7" ht="18" hidden="1" customHeight="1" thickBot="1">
      <c r="A43" s="93">
        <v>35</v>
      </c>
      <c r="B43" s="214" t="str">
        <f>IF('Summary Schedule'!$C$4="ESA", IF(A43&lt;='Summary Schedule'!$C$27,'Itemized Costs-HIDDEN'!M39+E43,""), "")</f>
        <v/>
      </c>
      <c r="C43" s="214" t="str">
        <f>IF('Summary Schedule'!$C$4="ESA", IF(A43&lt;='Summary Schedule'!$C$27,#REF!+E43,""),"")</f>
        <v/>
      </c>
      <c r="D43" s="214" t="str">
        <f>IF('Summary Schedule'!$C$4="ESA",E43+F43,"")</f>
        <v/>
      </c>
      <c r="E43" s="214"/>
      <c r="F43" s="214" t="str">
        <f ca="1">IF('Summary Schedule'!$G$42="",IF('Summary Schedule'!$C$4="ESA", IF(A43&lt;='Summary Schedule'!$C$27, INDIRECT("'Sch3-Perf Period Cash Flow'!"&amp;LEFT(ADDRESS(1,ROW(A38),4,1),(ROW(A38)&gt;26)+1)&amp;$A$9+22&amp;""),0),""),"Term&gt;25Yrs")</f>
        <v/>
      </c>
      <c r="G43" s="332"/>
    </row>
    <row r="44" spans="1:7" ht="18" hidden="1" customHeight="1" thickBot="1">
      <c r="A44" s="93">
        <v>36</v>
      </c>
      <c r="B44" s="214" t="str">
        <f>IF('Summary Schedule'!$C$4="ESA", IF(A44&lt;='Summary Schedule'!$C$27,'Itemized Costs-HIDDEN'!M40+E44,""), "")</f>
        <v/>
      </c>
      <c r="C44" s="214" t="str">
        <f>IF('Summary Schedule'!$C$4="ESA", IF(A44&lt;='Summary Schedule'!$C$27,#REF!+E44,""),"")</f>
        <v/>
      </c>
      <c r="D44" s="214" t="str">
        <f>IF('Summary Schedule'!$C$4="ESA",E44+F44,"")</f>
        <v/>
      </c>
      <c r="E44" s="214"/>
      <c r="F44" s="214" t="str">
        <f ca="1">IF('Summary Schedule'!$G$42="",IF('Summary Schedule'!$C$4="ESA", IF(A44&lt;='Summary Schedule'!$C$27, INDIRECT("'Sch3-Perf Period Cash Flow'!"&amp;LEFT(ADDRESS(1,ROW(A39),4,1),(ROW(A39)&gt;26)+1)&amp;$A$9+22&amp;""),0),""),"Term&gt;25Yrs")</f>
        <v/>
      </c>
      <c r="G44" s="332"/>
    </row>
    <row r="45" spans="1:7" ht="18" hidden="1" customHeight="1" thickBot="1">
      <c r="A45" s="93">
        <v>37</v>
      </c>
      <c r="B45" s="214" t="str">
        <f>IF('Summary Schedule'!$C$4="ESA", IF(A45&lt;='Summary Schedule'!$C$27,'Itemized Costs-HIDDEN'!M41+E45,""), "")</f>
        <v/>
      </c>
      <c r="C45" s="214" t="str">
        <f>IF('Summary Schedule'!$C$4="ESA", IF(A45&lt;='Summary Schedule'!$C$27,#REF!+E45,""),"")</f>
        <v/>
      </c>
      <c r="D45" s="214" t="str">
        <f>IF('Summary Schedule'!$C$4="ESA",E45+F45,"")</f>
        <v/>
      </c>
      <c r="E45" s="214"/>
      <c r="F45" s="214" t="str">
        <f ca="1">IF('Summary Schedule'!$G$42="",IF('Summary Schedule'!$C$4="ESA", IF(A45&lt;='Summary Schedule'!$C$27, INDIRECT("'Sch3-Perf Period Cash Flow'!"&amp;LEFT(ADDRESS(1,ROW(A40),4,1),(ROW(A40)&gt;26)+1)&amp;$A$9+22&amp;""),0),""),"Term&gt;25Yrs")</f>
        <v/>
      </c>
      <c r="G45" s="332"/>
    </row>
    <row r="46" spans="1:7" ht="18" hidden="1" customHeight="1" thickBot="1">
      <c r="A46" s="93">
        <v>38</v>
      </c>
      <c r="B46" s="214" t="str">
        <f>IF('Summary Schedule'!$C$4="ESA", IF(A46&lt;='Summary Schedule'!$C$27,'Itemized Costs-HIDDEN'!M42+E46,""), "")</f>
        <v/>
      </c>
      <c r="C46" s="214" t="str">
        <f>IF('Summary Schedule'!$C$4="ESA", IF(A46&lt;='Summary Schedule'!$C$27,#REF!+E46,""),"")</f>
        <v/>
      </c>
      <c r="D46" s="214" t="str">
        <f>IF('Summary Schedule'!$C$4="ESA",E46+F46,"")</f>
        <v/>
      </c>
      <c r="E46" s="214"/>
      <c r="F46" s="214" t="str">
        <f ca="1">IF('Summary Schedule'!$G$42="",IF('Summary Schedule'!$C$4="ESA", IF(A46&lt;='Summary Schedule'!$C$27, INDIRECT("'Sch3-Perf Period Cash Flow'!"&amp;LEFT(ADDRESS(1,ROW(A41),4,1),(ROW(A41)&gt;26)+1)&amp;$A$9+22&amp;""),0),""),"Term&gt;25Yrs")</f>
        <v/>
      </c>
      <c r="G46" s="332"/>
    </row>
    <row r="47" spans="1:7" ht="18" hidden="1" customHeight="1" thickBot="1">
      <c r="A47" s="93">
        <v>39</v>
      </c>
      <c r="B47" s="214" t="str">
        <f>IF('Summary Schedule'!$C$4="ESA", IF(A47&lt;='Summary Schedule'!$C$27,'Itemized Costs-HIDDEN'!M43+E47,""), "")</f>
        <v/>
      </c>
      <c r="C47" s="214" t="str">
        <f>IF('Summary Schedule'!$C$4="ESA", IF(A47&lt;='Summary Schedule'!$C$27,#REF!+E47,""),"")</f>
        <v/>
      </c>
      <c r="D47" s="214" t="str">
        <f>IF('Summary Schedule'!$C$4="ESA",E47+F47,"")</f>
        <v/>
      </c>
      <c r="E47" s="214"/>
      <c r="F47" s="214" t="str">
        <f ca="1">IF('Summary Schedule'!$G$42="",IF('Summary Schedule'!$C$4="ESA", IF(A47&lt;='Summary Schedule'!$C$27, INDIRECT("'Sch3-Perf Period Cash Flow'!"&amp;LEFT(ADDRESS(1,ROW(A42),4,1),(ROW(A42)&gt;26)+1)&amp;$A$9+22&amp;""),0),""),"Term&gt;25Yrs")</f>
        <v/>
      </c>
      <c r="G47" s="332"/>
    </row>
    <row r="48" spans="1:7" ht="18" hidden="1" customHeight="1" thickBot="1">
      <c r="A48" s="93">
        <v>40</v>
      </c>
      <c r="B48" s="214" t="str">
        <f>IF('Summary Schedule'!$C$4="ESA", IF(A48&lt;='Summary Schedule'!$C$27,'Itemized Costs-HIDDEN'!M44+E48,""), "")</f>
        <v/>
      </c>
      <c r="C48" s="214" t="str">
        <f>IF('Summary Schedule'!$C$4="ESA", IF(A48&lt;='Summary Schedule'!$C$27,#REF!+E48,""),"")</f>
        <v/>
      </c>
      <c r="D48" s="214" t="str">
        <f>IF('Summary Schedule'!$C$4="ESA",E48+F48,"")</f>
        <v/>
      </c>
      <c r="E48" s="214"/>
      <c r="F48" s="214" t="str">
        <f ca="1">IF('Summary Schedule'!$G$42="",IF('Summary Schedule'!$C$4="ESA", IF(A48&lt;='Summary Schedule'!$C$27, INDIRECT("'Sch3-Perf Period Cash Flow'!"&amp;LEFT(ADDRESS(1,ROW(A43),4,1),(ROW(A43)&gt;26)+1)&amp;$A$9+22&amp;""),0),""),"Term&gt;25Yrs")</f>
        <v/>
      </c>
      <c r="G48" s="332"/>
    </row>
    <row r="49" spans="1:8" ht="32.25" customHeight="1" thickBot="1">
      <c r="A49" s="94" t="s">
        <v>65</v>
      </c>
      <c r="B49" s="374">
        <f>SUM(B9:B33)</f>
        <v>0</v>
      </c>
      <c r="C49" s="215">
        <f>SUM(C9:C33)</f>
        <v>0</v>
      </c>
      <c r="D49" s="215">
        <f>SUM(D9:D33)</f>
        <v>0</v>
      </c>
      <c r="E49" s="333">
        <f>SUM(E9:E33)</f>
        <v>0</v>
      </c>
      <c r="F49" s="333">
        <f ca="1">SUM(F9:F33)</f>
        <v>0</v>
      </c>
      <c r="G49" s="45"/>
      <c r="H49" s="45"/>
    </row>
    <row r="50" spans="1:8" ht="20.25" customHeight="1">
      <c r="A50" s="544" t="s">
        <v>30</v>
      </c>
      <c r="B50" s="545"/>
      <c r="C50" s="550" t="s">
        <v>6</v>
      </c>
      <c r="D50" s="550" t="s">
        <v>152</v>
      </c>
      <c r="E50" s="574"/>
      <c r="F50" s="575"/>
      <c r="G50" s="45"/>
      <c r="H50" s="45"/>
    </row>
    <row r="51" spans="1:8" ht="16.5" thickBot="1">
      <c r="A51" s="546"/>
      <c r="B51" s="547"/>
      <c r="C51" s="551"/>
      <c r="D51" s="551"/>
      <c r="E51" s="576"/>
      <c r="F51" s="577"/>
      <c r="G51" s="45"/>
      <c r="H51" s="45"/>
    </row>
    <row r="52" spans="1:8" ht="18" customHeight="1" thickBot="1">
      <c r="A52" s="548"/>
      <c r="B52" s="549"/>
      <c r="C52" s="166">
        <f>C49+C6</f>
        <v>0</v>
      </c>
      <c r="D52" s="334">
        <f>D49+D6</f>
        <v>0</v>
      </c>
      <c r="E52" s="576"/>
      <c r="F52" s="577"/>
      <c r="G52" s="45"/>
      <c r="H52" s="45"/>
    </row>
    <row r="53" spans="1:8" ht="16.5" thickBot="1">
      <c r="A53" s="46"/>
      <c r="B53" s="47"/>
      <c r="C53" s="48"/>
      <c r="D53" s="48"/>
      <c r="E53" s="578"/>
      <c r="F53" s="579"/>
      <c r="G53" s="45"/>
      <c r="H53" s="45"/>
    </row>
    <row r="54" spans="1:8">
      <c r="A54" s="556" t="s">
        <v>15</v>
      </c>
      <c r="B54" s="557"/>
      <c r="C54" s="557"/>
      <c r="D54" s="557"/>
      <c r="E54" s="557"/>
      <c r="F54" s="513"/>
    </row>
    <row r="55" spans="1:8" ht="44.25" customHeight="1">
      <c r="A55" s="559" t="s">
        <v>394</v>
      </c>
      <c r="B55" s="560"/>
      <c r="C55" s="560"/>
      <c r="D55" s="560"/>
      <c r="E55" s="560"/>
      <c r="F55" s="561"/>
    </row>
    <row r="56" spans="1:8" ht="17.25" customHeight="1">
      <c r="A56" s="554" t="s">
        <v>318</v>
      </c>
      <c r="B56" s="562"/>
      <c r="C56" s="562"/>
      <c r="D56" s="562"/>
      <c r="E56" s="562"/>
      <c r="F56" s="563"/>
    </row>
    <row r="57" spans="1:8" ht="17.25" customHeight="1">
      <c r="A57" s="554" t="s">
        <v>206</v>
      </c>
      <c r="B57" s="542"/>
      <c r="C57" s="542"/>
      <c r="D57" s="542"/>
      <c r="E57" s="542"/>
      <c r="F57" s="555"/>
    </row>
    <row r="58" spans="1:8" ht="17.25" customHeight="1">
      <c r="A58" s="554" t="s">
        <v>279</v>
      </c>
      <c r="B58" s="542"/>
      <c r="C58" s="542"/>
      <c r="D58" s="542"/>
      <c r="E58" s="542"/>
      <c r="F58" s="555"/>
    </row>
    <row r="59" spans="1:8" ht="16" customHeight="1">
      <c r="A59" s="554" t="s">
        <v>280</v>
      </c>
      <c r="B59" s="542"/>
      <c r="C59" s="542"/>
      <c r="D59" s="542"/>
      <c r="E59" s="542"/>
      <c r="F59" s="555"/>
    </row>
    <row r="60" spans="1:8" ht="16.5" thickBot="1">
      <c r="A60" s="554" t="s">
        <v>281</v>
      </c>
      <c r="B60" s="542"/>
      <c r="C60" s="542"/>
      <c r="D60" s="542"/>
      <c r="E60" s="542"/>
      <c r="F60" s="555"/>
    </row>
    <row r="61" spans="1:8">
      <c r="A61" s="556" t="s">
        <v>173</v>
      </c>
      <c r="B61" s="557"/>
      <c r="C61" s="557"/>
      <c r="D61" s="557"/>
      <c r="E61" s="557"/>
      <c r="F61" s="513"/>
    </row>
    <row r="62" spans="1:8" ht="71.25" customHeight="1" thickBot="1">
      <c r="A62" s="520"/>
      <c r="B62" s="521"/>
      <c r="C62" s="521"/>
      <c r="D62" s="521"/>
      <c r="E62" s="521"/>
      <c r="F62" s="558"/>
    </row>
    <row r="63" spans="1:8">
      <c r="A63" s="1" t="str">
        <f>'Summary Schedule'!A53</f>
        <v>4.2.9.c</v>
      </c>
    </row>
    <row r="64" spans="1:8">
      <c r="A64" s="1" t="str">
        <f>'Summary Schedule'!A54</f>
        <v>02112025</v>
      </c>
    </row>
  </sheetData>
  <sheetProtection algorithmName="SHA-512" hashValue="ycCWXhQexwsrpyGG6dOsfxeLkKBxOS5XUfwM0Hi7CEfKsBhATmvgiEqCuBFvdU/dGcPe0QqCSMnJiRawAapa7w==" saltValue="2IQ3jtkQWT4mA3he/XjXqw==" spinCount="100000" sheet="1" objects="1" scenarios="1"/>
  <mergeCells count="18">
    <mergeCell ref="A60:F60"/>
    <mergeCell ref="A61:F61"/>
    <mergeCell ref="A62:F62"/>
    <mergeCell ref="A54:F54"/>
    <mergeCell ref="A55:F55"/>
    <mergeCell ref="A56:F56"/>
    <mergeCell ref="A57:F57"/>
    <mergeCell ref="A58:F58"/>
    <mergeCell ref="A59:F59"/>
    <mergeCell ref="A50:B52"/>
    <mergeCell ref="C50:C51"/>
    <mergeCell ref="D50:D51"/>
    <mergeCell ref="E50:F53"/>
    <mergeCell ref="A1:F1"/>
    <mergeCell ref="A2:F2"/>
    <mergeCell ref="E3:F6"/>
    <mergeCell ref="A4:A6"/>
    <mergeCell ref="A7:A8"/>
  </mergeCells>
  <dataValidations count="1">
    <dataValidation type="whole" allowBlank="1" showInputMessage="1" showErrorMessage="1" error="Please enter a number" sqref="B6:D6" xr:uid="{2AD489ED-DB1D-4648-B58E-EBA64996F2FA}">
      <formula1>0</formula1>
      <formula2>100000000</formula2>
    </dataValidation>
  </dataValidations>
  <pageMargins left="0.75" right="0.75" top="1" bottom="1" header="0.5" footer="0.5"/>
  <pageSetup scale="55" orientation="portrait"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2" id="{1F956354-4D1A-1F4C-9B07-0AF826B54C43}">
            <xm:f>'Summary Schedule'!$C$4&lt;&gt;"ESA"</xm:f>
            <x14:dxf>
              <font>
                <u val="none"/>
                <color theme="0" tint="-0.24994659260841701"/>
              </font>
              <fill>
                <patternFill>
                  <fgColor theme="0" tint="-0.24994659260841701"/>
                  <bgColor theme="0" tint="-0.24994659260841701"/>
                </patternFill>
              </fill>
              <border>
                <left/>
                <right/>
                <top/>
                <bottom/>
                <vertical/>
                <horizontal/>
              </border>
            </x14:dxf>
          </x14:cfRule>
          <xm:sqref>A63:A64</xm:sqref>
        </x14:conditionalFormatting>
        <x14:conditionalFormatting xmlns:xm="http://schemas.microsoft.com/office/excel/2006/main">
          <x14:cfRule type="expression" priority="3" id="{21175981-518D-6547-87DA-D0EAC6F85FDA}">
            <xm:f>'Summary Schedule'!$C$4&lt;&gt;"ESA"</xm:f>
            <x14:dxf>
              <font>
                <color theme="0" tint="-0.24994659260841701"/>
              </font>
              <fill>
                <patternFill patternType="solid">
                  <fgColor theme="0" tint="-0.24994659260841701"/>
                  <bgColor theme="0" tint="-0.24994659260841701"/>
                </patternFill>
              </fill>
              <border>
                <left/>
                <right/>
                <top/>
                <bottom/>
                <vertical/>
                <horizontal/>
              </border>
            </x14:dxf>
          </x14:cfRule>
          <xm:sqref>A1:F64</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3">
    <tabColor rgb="FF0000FF"/>
    <pageSetUpPr fitToPage="1"/>
  </sheetPr>
  <dimension ref="A1:G46"/>
  <sheetViews>
    <sheetView zoomScale="90" zoomScaleNormal="90" workbookViewId="0">
      <selection sqref="A1:E1"/>
    </sheetView>
  </sheetViews>
  <sheetFormatPr defaultColWidth="11" defaultRowHeight="16"/>
  <cols>
    <col min="1" max="1" width="23" style="1" customWidth="1"/>
    <col min="2" max="2" width="27" style="1" customWidth="1"/>
    <col min="3" max="3" width="32.33203125" style="1" customWidth="1"/>
    <col min="4" max="4" width="26.33203125" style="1" customWidth="1"/>
    <col min="5" max="5" width="33" style="1" customWidth="1"/>
    <col min="6" max="6" width="12.83203125" style="1" bestFit="1" customWidth="1"/>
    <col min="7" max="7" width="14.5" style="1" bestFit="1" customWidth="1"/>
    <col min="8" max="16384" width="11" style="1"/>
  </cols>
  <sheetData>
    <row r="1" spans="1:7" ht="20">
      <c r="A1" s="580" t="s">
        <v>395</v>
      </c>
      <c r="B1" s="581"/>
      <c r="C1" s="581"/>
      <c r="D1" s="581"/>
      <c r="E1" s="582"/>
    </row>
    <row r="2" spans="1:7" ht="20.5" thickBot="1">
      <c r="A2" s="530" t="s">
        <v>396</v>
      </c>
      <c r="B2" s="531"/>
      <c r="C2" s="531"/>
      <c r="D2" s="531"/>
      <c r="E2" s="532"/>
    </row>
    <row r="3" spans="1:7" ht="19.5" customHeight="1">
      <c r="A3" s="359"/>
      <c r="B3" s="85"/>
      <c r="C3" s="85"/>
      <c r="D3" s="85"/>
      <c r="E3" s="86"/>
    </row>
    <row r="4" spans="1:7" ht="19.5" customHeight="1">
      <c r="A4" s="361" t="s">
        <v>407</v>
      </c>
      <c r="B4" s="440"/>
      <c r="C4" s="354" t="s">
        <v>405</v>
      </c>
      <c r="D4" s="355"/>
      <c r="E4" s="362"/>
    </row>
    <row r="5" spans="1:7" ht="19.5" customHeight="1">
      <c r="A5" s="363" t="s">
        <v>408</v>
      </c>
      <c r="B5" s="335"/>
      <c r="C5" s="588"/>
      <c r="D5" s="589"/>
      <c r="E5" s="590"/>
    </row>
    <row r="6" spans="1:7" ht="19.5" customHeight="1" thickBot="1">
      <c r="A6" s="363" t="s">
        <v>612</v>
      </c>
      <c r="B6" s="335"/>
      <c r="C6" s="591"/>
      <c r="D6" s="592"/>
      <c r="E6" s="593"/>
    </row>
    <row r="7" spans="1:7" ht="17.25" customHeight="1">
      <c r="A7" s="583" t="s">
        <v>243</v>
      </c>
      <c r="B7" s="336" t="s">
        <v>0</v>
      </c>
      <c r="C7" s="336" t="s">
        <v>1</v>
      </c>
      <c r="D7" s="336" t="s">
        <v>2</v>
      </c>
      <c r="E7" s="337" t="s">
        <v>3</v>
      </c>
    </row>
    <row r="8" spans="1:7" ht="57" customHeight="1">
      <c r="A8" s="584"/>
      <c r="B8" s="338" t="s">
        <v>397</v>
      </c>
      <c r="C8" s="338" t="s">
        <v>398</v>
      </c>
      <c r="D8" s="338" t="s">
        <v>409</v>
      </c>
      <c r="E8" s="339" t="s">
        <v>410</v>
      </c>
    </row>
    <row r="9" spans="1:7" ht="18" customHeight="1">
      <c r="A9" s="340">
        <v>1</v>
      </c>
      <c r="B9" s="441">
        <f>B4</f>
        <v>0</v>
      </c>
      <c r="C9" s="356">
        <f>IF('Summary Schedule'!$C$4="ESA", SUMIF('Sch2a-Imp Price by ECM'!$C$9:$C$258,"Yes",'Sch4-Cost Savings by ECM'!P8:P257),0)*B5</f>
        <v>0</v>
      </c>
      <c r="D9" s="442">
        <f>IF(A9&lt;21,B9*C9,"")</f>
        <v>0</v>
      </c>
      <c r="E9" s="364">
        <f>C9*0.0209666638431559</f>
        <v>0</v>
      </c>
      <c r="F9" s="14"/>
      <c r="G9" s="14"/>
    </row>
    <row r="10" spans="1:7" ht="18" customHeight="1">
      <c r="A10" s="340">
        <v>2</v>
      </c>
      <c r="B10" s="441">
        <f>B9*(1+'Annual Escalation Rates'!B6)</f>
        <v>0</v>
      </c>
      <c r="C10" s="356">
        <f>C9*(1-$B$6)</f>
        <v>0</v>
      </c>
      <c r="D10" s="442">
        <f t="shared" ref="D10:D28" si="0">IF(A10&lt;21,B10*C10,"")</f>
        <v>0</v>
      </c>
      <c r="E10" s="364">
        <f t="shared" ref="E10:E28" si="1">C10*0.0209666638431559</f>
        <v>0</v>
      </c>
      <c r="F10" s="14"/>
      <c r="G10" s="14"/>
    </row>
    <row r="11" spans="1:7" ht="18" customHeight="1">
      <c r="A11" s="340">
        <v>3</v>
      </c>
      <c r="B11" s="441">
        <f>B10*(1+'Annual Escalation Rates'!B7)</f>
        <v>0</v>
      </c>
      <c r="C11" s="356">
        <f t="shared" ref="C11:C28" si="2">C10*(1-$B$6)</f>
        <v>0</v>
      </c>
      <c r="D11" s="442">
        <f t="shared" si="0"/>
        <v>0</v>
      </c>
      <c r="E11" s="364">
        <f t="shared" si="1"/>
        <v>0</v>
      </c>
      <c r="F11" s="14"/>
      <c r="G11" s="14"/>
    </row>
    <row r="12" spans="1:7" ht="18" customHeight="1">
      <c r="A12" s="340">
        <v>4</v>
      </c>
      <c r="B12" s="441">
        <f>B11*(1+'Annual Escalation Rates'!B8)</f>
        <v>0</v>
      </c>
      <c r="C12" s="356">
        <f t="shared" si="2"/>
        <v>0</v>
      </c>
      <c r="D12" s="442">
        <f t="shared" si="0"/>
        <v>0</v>
      </c>
      <c r="E12" s="364">
        <f t="shared" si="1"/>
        <v>0</v>
      </c>
      <c r="F12" s="14"/>
      <c r="G12" s="14"/>
    </row>
    <row r="13" spans="1:7" ht="18" customHeight="1">
      <c r="A13" s="340">
        <v>5</v>
      </c>
      <c r="B13" s="441">
        <f>B12*(1+'Annual Escalation Rates'!B9)</f>
        <v>0</v>
      </c>
      <c r="C13" s="356">
        <f t="shared" si="2"/>
        <v>0</v>
      </c>
      <c r="D13" s="442">
        <f t="shared" si="0"/>
        <v>0</v>
      </c>
      <c r="E13" s="364">
        <f t="shared" si="1"/>
        <v>0</v>
      </c>
      <c r="F13" s="14"/>
      <c r="G13" s="14"/>
    </row>
    <row r="14" spans="1:7" ht="18" customHeight="1">
      <c r="A14" s="340">
        <v>6</v>
      </c>
      <c r="B14" s="441">
        <f>B13*(1+'Annual Escalation Rates'!B10)</f>
        <v>0</v>
      </c>
      <c r="C14" s="356">
        <f t="shared" si="2"/>
        <v>0</v>
      </c>
      <c r="D14" s="442">
        <f t="shared" si="0"/>
        <v>0</v>
      </c>
      <c r="E14" s="364">
        <f t="shared" si="1"/>
        <v>0</v>
      </c>
      <c r="F14" s="14"/>
      <c r="G14" s="14"/>
    </row>
    <row r="15" spans="1:7" ht="18" customHeight="1">
      <c r="A15" s="340">
        <v>7</v>
      </c>
      <c r="B15" s="441">
        <f>B14*(1+'Annual Escalation Rates'!B11)</f>
        <v>0</v>
      </c>
      <c r="C15" s="356">
        <f t="shared" si="2"/>
        <v>0</v>
      </c>
      <c r="D15" s="442">
        <f t="shared" si="0"/>
        <v>0</v>
      </c>
      <c r="E15" s="364">
        <f t="shared" si="1"/>
        <v>0</v>
      </c>
      <c r="F15" s="14"/>
      <c r="G15" s="14"/>
    </row>
    <row r="16" spans="1:7" ht="18" customHeight="1">
      <c r="A16" s="340">
        <v>8</v>
      </c>
      <c r="B16" s="441">
        <f>B15*(1+'Annual Escalation Rates'!B12)</f>
        <v>0</v>
      </c>
      <c r="C16" s="356">
        <f t="shared" si="2"/>
        <v>0</v>
      </c>
      <c r="D16" s="442">
        <f t="shared" si="0"/>
        <v>0</v>
      </c>
      <c r="E16" s="364">
        <f t="shared" si="1"/>
        <v>0</v>
      </c>
      <c r="F16" s="14"/>
      <c r="G16" s="14"/>
    </row>
    <row r="17" spans="1:7" ht="18" customHeight="1">
      <c r="A17" s="340">
        <v>9</v>
      </c>
      <c r="B17" s="441">
        <f>B16*(1+'Annual Escalation Rates'!B13)</f>
        <v>0</v>
      </c>
      <c r="C17" s="356">
        <f t="shared" si="2"/>
        <v>0</v>
      </c>
      <c r="D17" s="442">
        <f t="shared" si="0"/>
        <v>0</v>
      </c>
      <c r="E17" s="364">
        <f t="shared" si="1"/>
        <v>0</v>
      </c>
      <c r="F17" s="14"/>
      <c r="G17" s="14"/>
    </row>
    <row r="18" spans="1:7" ht="18" customHeight="1">
      <c r="A18" s="340">
        <v>10</v>
      </c>
      <c r="B18" s="441">
        <f>B17*(1+'Annual Escalation Rates'!B14)</f>
        <v>0</v>
      </c>
      <c r="C18" s="356">
        <f t="shared" si="2"/>
        <v>0</v>
      </c>
      <c r="D18" s="442">
        <f t="shared" si="0"/>
        <v>0</v>
      </c>
      <c r="E18" s="364">
        <f t="shared" si="1"/>
        <v>0</v>
      </c>
      <c r="F18" s="14"/>
      <c r="G18" s="14"/>
    </row>
    <row r="19" spans="1:7" ht="18" customHeight="1">
      <c r="A19" s="340">
        <v>11</v>
      </c>
      <c r="B19" s="441">
        <f>B18*(1+'Annual Escalation Rates'!B15)</f>
        <v>0</v>
      </c>
      <c r="C19" s="356">
        <f t="shared" si="2"/>
        <v>0</v>
      </c>
      <c r="D19" s="442">
        <f t="shared" si="0"/>
        <v>0</v>
      </c>
      <c r="E19" s="364">
        <f t="shared" si="1"/>
        <v>0</v>
      </c>
      <c r="F19" s="14"/>
      <c r="G19" s="14"/>
    </row>
    <row r="20" spans="1:7" ht="18" customHeight="1">
      <c r="A20" s="340">
        <v>12</v>
      </c>
      <c r="B20" s="441">
        <f>B19*(1+'Annual Escalation Rates'!B16)</f>
        <v>0</v>
      </c>
      <c r="C20" s="356">
        <f t="shared" si="2"/>
        <v>0</v>
      </c>
      <c r="D20" s="442">
        <f t="shared" si="0"/>
        <v>0</v>
      </c>
      <c r="E20" s="364">
        <f t="shared" si="1"/>
        <v>0</v>
      </c>
    </row>
    <row r="21" spans="1:7" ht="18" customHeight="1">
      <c r="A21" s="340">
        <v>13</v>
      </c>
      <c r="B21" s="441">
        <f>B20*(1+'Annual Escalation Rates'!B17)</f>
        <v>0</v>
      </c>
      <c r="C21" s="356">
        <f t="shared" si="2"/>
        <v>0</v>
      </c>
      <c r="D21" s="442">
        <f t="shared" si="0"/>
        <v>0</v>
      </c>
      <c r="E21" s="364">
        <f t="shared" si="1"/>
        <v>0</v>
      </c>
    </row>
    <row r="22" spans="1:7" ht="18" customHeight="1">
      <c r="A22" s="340">
        <v>14</v>
      </c>
      <c r="B22" s="441">
        <f>B21*(1+'Annual Escalation Rates'!B18)</f>
        <v>0</v>
      </c>
      <c r="C22" s="356">
        <f t="shared" si="2"/>
        <v>0</v>
      </c>
      <c r="D22" s="442">
        <f t="shared" si="0"/>
        <v>0</v>
      </c>
      <c r="E22" s="364">
        <f t="shared" si="1"/>
        <v>0</v>
      </c>
    </row>
    <row r="23" spans="1:7" ht="18" customHeight="1">
      <c r="A23" s="340">
        <v>15</v>
      </c>
      <c r="B23" s="441">
        <f>B22*(1+'Annual Escalation Rates'!B19)</f>
        <v>0</v>
      </c>
      <c r="C23" s="356">
        <f t="shared" si="2"/>
        <v>0</v>
      </c>
      <c r="D23" s="442">
        <f t="shared" si="0"/>
        <v>0</v>
      </c>
      <c r="E23" s="364">
        <f t="shared" si="1"/>
        <v>0</v>
      </c>
    </row>
    <row r="24" spans="1:7" ht="18" customHeight="1">
      <c r="A24" s="340">
        <v>16</v>
      </c>
      <c r="B24" s="441">
        <f>B23*(1+'Annual Escalation Rates'!B20)</f>
        <v>0</v>
      </c>
      <c r="C24" s="356">
        <f t="shared" si="2"/>
        <v>0</v>
      </c>
      <c r="D24" s="442">
        <f t="shared" si="0"/>
        <v>0</v>
      </c>
      <c r="E24" s="364">
        <f t="shared" si="1"/>
        <v>0</v>
      </c>
    </row>
    <row r="25" spans="1:7" ht="18" customHeight="1">
      <c r="A25" s="340">
        <v>17</v>
      </c>
      <c r="B25" s="441">
        <f>B24*(1+'Annual Escalation Rates'!B21)</f>
        <v>0</v>
      </c>
      <c r="C25" s="356">
        <f t="shared" si="2"/>
        <v>0</v>
      </c>
      <c r="D25" s="442">
        <f t="shared" si="0"/>
        <v>0</v>
      </c>
      <c r="E25" s="364">
        <f t="shared" si="1"/>
        <v>0</v>
      </c>
    </row>
    <row r="26" spans="1:7" ht="18" customHeight="1">
      <c r="A26" s="340">
        <v>18</v>
      </c>
      <c r="B26" s="441">
        <f>B25*(1+'Annual Escalation Rates'!B22)</f>
        <v>0</v>
      </c>
      <c r="C26" s="356">
        <f t="shared" si="2"/>
        <v>0</v>
      </c>
      <c r="D26" s="442">
        <f t="shared" si="0"/>
        <v>0</v>
      </c>
      <c r="E26" s="364">
        <f t="shared" si="1"/>
        <v>0</v>
      </c>
    </row>
    <row r="27" spans="1:7" ht="18" customHeight="1">
      <c r="A27" s="340">
        <v>19</v>
      </c>
      <c r="B27" s="441">
        <f>B26*(1+'Annual Escalation Rates'!B23)</f>
        <v>0</v>
      </c>
      <c r="C27" s="356">
        <f t="shared" si="2"/>
        <v>0</v>
      </c>
      <c r="D27" s="442">
        <f t="shared" si="0"/>
        <v>0</v>
      </c>
      <c r="E27" s="364">
        <f t="shared" si="1"/>
        <v>0</v>
      </c>
    </row>
    <row r="28" spans="1:7" ht="18" customHeight="1">
      <c r="A28" s="340">
        <v>20</v>
      </c>
      <c r="B28" s="441">
        <f>B27*(1+'Annual Escalation Rates'!B24)</f>
        <v>0</v>
      </c>
      <c r="C28" s="356">
        <f t="shared" si="2"/>
        <v>0</v>
      </c>
      <c r="D28" s="442">
        <f t="shared" si="0"/>
        <v>0</v>
      </c>
      <c r="E28" s="364">
        <f t="shared" si="1"/>
        <v>0</v>
      </c>
    </row>
    <row r="29" spans="1:7" ht="18" customHeight="1">
      <c r="A29" s="340">
        <v>21</v>
      </c>
      <c r="B29" s="441"/>
      <c r="C29" s="443"/>
      <c r="D29" s="442"/>
      <c r="E29" s="444"/>
    </row>
    <row r="30" spans="1:7" ht="18" customHeight="1">
      <c r="A30" s="340">
        <v>22</v>
      </c>
      <c r="B30" s="441"/>
      <c r="C30" s="443"/>
      <c r="D30" s="442"/>
      <c r="E30" s="444"/>
    </row>
    <row r="31" spans="1:7" ht="18" customHeight="1">
      <c r="A31" s="340">
        <v>23</v>
      </c>
      <c r="B31" s="441"/>
      <c r="C31" s="443"/>
      <c r="D31" s="442"/>
      <c r="E31" s="444"/>
    </row>
    <row r="32" spans="1:7" ht="18" customHeight="1">
      <c r="A32" s="340">
        <v>24</v>
      </c>
      <c r="B32" s="441"/>
      <c r="C32" s="443"/>
      <c r="D32" s="442"/>
      <c r="E32" s="444"/>
    </row>
    <row r="33" spans="1:7" ht="18" customHeight="1">
      <c r="A33" s="340">
        <v>25</v>
      </c>
      <c r="B33" s="441"/>
      <c r="C33" s="443"/>
      <c r="D33" s="442"/>
      <c r="E33" s="444"/>
    </row>
    <row r="34" spans="1:7" ht="32.25" customHeight="1">
      <c r="A34" s="360" t="s">
        <v>65</v>
      </c>
      <c r="B34" s="445"/>
      <c r="C34" s="446">
        <f>SUM(C9:C33)</f>
        <v>0</v>
      </c>
      <c r="D34" s="445">
        <f>SUM(D9:D33)</f>
        <v>0</v>
      </c>
      <c r="E34" s="447">
        <f>SUM(E9:E33)</f>
        <v>0</v>
      </c>
      <c r="G34" s="371"/>
    </row>
    <row r="35" spans="1:7">
      <c r="A35" s="341"/>
      <c r="B35" s="342"/>
      <c r="C35" s="343"/>
      <c r="D35" s="343"/>
      <c r="E35" s="365"/>
    </row>
    <row r="36" spans="1:7">
      <c r="A36" s="600" t="s">
        <v>15</v>
      </c>
      <c r="B36" s="601"/>
      <c r="C36" s="601"/>
      <c r="D36" s="601"/>
      <c r="E36" s="602"/>
    </row>
    <row r="37" spans="1:7">
      <c r="A37" s="603" t="s">
        <v>411</v>
      </c>
      <c r="B37" s="604"/>
      <c r="C37" s="604"/>
      <c r="D37" s="604"/>
      <c r="E37" s="605"/>
    </row>
    <row r="38" spans="1:7">
      <c r="A38" s="606" t="s">
        <v>412</v>
      </c>
      <c r="B38" s="607"/>
      <c r="C38" s="607"/>
      <c r="D38" s="607"/>
      <c r="E38" s="608"/>
    </row>
    <row r="39" spans="1:7" ht="17.25" customHeight="1">
      <c r="A39" s="366" t="s">
        <v>413</v>
      </c>
      <c r="B39" s="367"/>
      <c r="C39" s="367"/>
      <c r="D39" s="367"/>
      <c r="E39" s="368"/>
    </row>
    <row r="40" spans="1:7" ht="28" customHeight="1">
      <c r="A40" s="609" t="s">
        <v>414</v>
      </c>
      <c r="B40" s="607"/>
      <c r="C40" s="607"/>
      <c r="D40" s="607"/>
      <c r="E40" s="608"/>
    </row>
    <row r="41" spans="1:7">
      <c r="A41" s="610" t="s">
        <v>415</v>
      </c>
      <c r="B41" s="611"/>
      <c r="C41" s="611"/>
      <c r="D41" s="611"/>
      <c r="E41" s="612"/>
    </row>
    <row r="42" spans="1:7" ht="32" customHeight="1" thickBot="1">
      <c r="A42" s="585" t="s">
        <v>602</v>
      </c>
      <c r="B42" s="586"/>
      <c r="C42" s="586"/>
      <c r="D42" s="586"/>
      <c r="E42" s="587"/>
    </row>
    <row r="43" spans="1:7" ht="26.25" customHeight="1">
      <c r="A43" s="594" t="s">
        <v>173</v>
      </c>
      <c r="B43" s="595"/>
      <c r="C43" s="595"/>
      <c r="D43" s="595"/>
      <c r="E43" s="596"/>
    </row>
    <row r="44" spans="1:7" ht="71.25" customHeight="1" thickBot="1">
      <c r="A44" s="597"/>
      <c r="B44" s="598"/>
      <c r="C44" s="598"/>
      <c r="D44" s="598"/>
      <c r="E44" s="599"/>
    </row>
    <row r="45" spans="1:7">
      <c r="A45" s="1" t="str">
        <f>'Summary Schedule'!A53</f>
        <v>4.2.9.c</v>
      </c>
    </row>
    <row r="46" spans="1:7">
      <c r="A46" s="353" t="str">
        <f>'Summary Schedule'!A54</f>
        <v>02112025</v>
      </c>
    </row>
  </sheetData>
  <sheetProtection algorithmName="SHA-512" hashValue="EoZVMNbunD3SNfplMdYzbzbZIS3R20eZvrZhfOn+evbofTuJn+gkElVH+T2Y2XqN2Wt3ZJbEnthS7r404ZzWRA==" saltValue="7ZgbzrPan6VW7vfjcDIX2g==" spinCount="100000" sheet="1" objects="1" scenarios="1"/>
  <mergeCells count="12">
    <mergeCell ref="A43:E43"/>
    <mergeCell ref="A44:E44"/>
    <mergeCell ref="A36:E36"/>
    <mergeCell ref="A37:E37"/>
    <mergeCell ref="A38:E38"/>
    <mergeCell ref="A40:E40"/>
    <mergeCell ref="A41:E41"/>
    <mergeCell ref="A1:E1"/>
    <mergeCell ref="A2:E2"/>
    <mergeCell ref="A7:A8"/>
    <mergeCell ref="A42:E42"/>
    <mergeCell ref="C5:E6"/>
  </mergeCells>
  <dataValidations count="5">
    <dataValidation type="decimal" allowBlank="1" showInputMessage="1" showErrorMessage="1" error="Please enter a percentage between 0 and 100%." sqref="B5:B6" xr:uid="{00000000-0002-0000-0600-000000000000}">
      <formula1>0</formula1>
      <formula2>1</formula2>
    </dataValidation>
    <dataValidation type="whole" allowBlank="1" showInputMessage="1" showErrorMessage="1" errorTitle="Error" error="Please enter a number" sqref="B4" xr:uid="{00000000-0002-0000-0600-000001000000}">
      <formula1>-1</formula1>
      <formula2>4</formula2>
    </dataValidation>
    <dataValidation type="whole" allowBlank="1" showInputMessage="1" showErrorMessage="1" sqref="E9:E28" xr:uid="{24EB0324-E52A-4043-9162-818489BBA464}">
      <formula1>0</formula1>
      <formula2>1000000000</formula2>
    </dataValidation>
    <dataValidation type="whole" allowBlank="1" showInputMessage="1" showErrorMessage="1" sqref="C9:C28" xr:uid="{3A6091F9-E491-D149-823A-1905EC5E16A2}">
      <formula1>0</formula1>
      <formula2>10000000000</formula2>
    </dataValidation>
    <dataValidation type="whole" allowBlank="1" showInputMessage="1" showErrorMessage="1" errorTitle="FMV Data Error" error="Please enter a valid amount for FMV" sqref="D4" xr:uid="{C47B0ED5-4747-2B42-9A95-B532D11549B0}">
      <formula1>0</formula1>
      <formula2>100000000</formula2>
    </dataValidation>
  </dataValidations>
  <pageMargins left="0.75" right="0.75" top="1" bottom="1" header="0.5" footer="0.5"/>
  <pageSetup scale="55" orientation="portrait"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2" id="{53E6989B-71D7-4943-B051-F85DF762634A}">
            <xm:f>'Summary Schedule'!$C$4&lt;&gt;"ESA"</xm:f>
            <x14:dxf>
              <font>
                <u val="none"/>
                <color theme="0" tint="-0.24994659260841701"/>
              </font>
              <fill>
                <patternFill>
                  <fgColor theme="0" tint="-0.24994659260841701"/>
                  <bgColor theme="0" tint="-0.24994659260841701"/>
                </patternFill>
              </fill>
              <border>
                <left/>
                <right/>
                <top/>
                <bottom/>
                <vertical/>
                <horizontal/>
              </border>
            </x14:dxf>
          </x14:cfRule>
          <xm:sqref>A1:E47</xm:sqref>
        </x14:conditionalFormatting>
        <x14:conditionalFormatting xmlns:xm="http://schemas.microsoft.com/office/excel/2006/main">
          <x14:cfRule type="expression" priority="1" id="{16CB34C0-9E50-1249-B0B1-DC3F5002E41A}">
            <xm:f>'Summary Schedule'!$C$4&lt;&gt;"ESA"</xm:f>
            <x14:dxf>
              <font>
                <u val="none"/>
                <color theme="0" tint="-0.24994659260841701"/>
              </font>
              <fill>
                <patternFill>
                  <fgColor theme="0" tint="-0.24994659260841701"/>
                  <bgColor theme="0" tint="-0.24994659260841701"/>
                </patternFill>
              </fill>
              <border>
                <left/>
                <right/>
                <top/>
                <bottom/>
                <vertical/>
                <horizontal/>
              </border>
            </x14:dxf>
          </x14:cfRule>
          <xm:sqref>C5</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O272"/>
  <sheetViews>
    <sheetView zoomScale="80" zoomScaleNormal="80" zoomScalePageLayoutView="150" workbookViewId="0">
      <selection sqref="A1:L1"/>
    </sheetView>
  </sheetViews>
  <sheetFormatPr defaultColWidth="11" defaultRowHeight="16"/>
  <cols>
    <col min="1" max="2" width="31.5" style="17" customWidth="1"/>
    <col min="3" max="3" width="12.5" style="17" customWidth="1"/>
    <col min="4" max="4" width="30.5" style="17" customWidth="1"/>
    <col min="5" max="6" width="12.83203125" style="17" customWidth="1"/>
    <col min="7" max="7" width="15.5" style="17" customWidth="1"/>
    <col min="8" max="8" width="14.5" style="17" customWidth="1"/>
    <col min="9" max="9" width="20.5" style="17" customWidth="1"/>
    <col min="10" max="10" width="20" style="17" customWidth="1"/>
    <col min="11" max="11" width="14.5" style="17" customWidth="1"/>
    <col min="12" max="12" width="21" style="17" customWidth="1"/>
    <col min="13" max="13" width="11" style="17"/>
    <col min="14" max="14" width="13.33203125" style="17" bestFit="1" customWidth="1"/>
    <col min="15" max="15" width="11.83203125" style="17" bestFit="1" customWidth="1"/>
    <col min="16" max="16384" width="11" style="17"/>
  </cols>
  <sheetData>
    <row r="1" spans="1:13" ht="21" customHeight="1">
      <c r="A1" s="633" t="s">
        <v>264</v>
      </c>
      <c r="B1" s="633"/>
      <c r="C1" s="633"/>
      <c r="D1" s="633"/>
      <c r="E1" s="633"/>
      <c r="F1" s="633"/>
      <c r="G1" s="633"/>
      <c r="H1" s="633"/>
      <c r="I1" s="633"/>
      <c r="J1" s="633"/>
      <c r="K1" s="633"/>
      <c r="L1" s="633"/>
    </row>
    <row r="2" spans="1:13" ht="20.25" customHeight="1" thickBot="1">
      <c r="A2" s="633" t="s">
        <v>7</v>
      </c>
      <c r="B2" s="633"/>
      <c r="C2" s="633"/>
      <c r="D2" s="633"/>
      <c r="E2" s="633"/>
      <c r="F2" s="633"/>
      <c r="G2" s="633"/>
      <c r="H2" s="633"/>
      <c r="I2" s="633"/>
      <c r="J2" s="633"/>
      <c r="K2" s="633"/>
      <c r="L2" s="633"/>
    </row>
    <row r="3" spans="1:13" ht="20.25" customHeight="1" thickBot="1">
      <c r="A3" s="634"/>
      <c r="B3" s="635"/>
      <c r="C3" s="635"/>
      <c r="D3" s="635"/>
      <c r="E3" s="635"/>
      <c r="F3" s="635"/>
      <c r="G3" s="635"/>
      <c r="H3" s="635"/>
      <c r="I3" s="635"/>
      <c r="J3" s="635"/>
      <c r="K3" s="635"/>
      <c r="L3" s="636"/>
    </row>
    <row r="4" spans="1:13" ht="15.75" customHeight="1">
      <c r="A4" s="639" t="s">
        <v>203</v>
      </c>
      <c r="B4" s="642" t="s">
        <v>8</v>
      </c>
      <c r="C4" s="631" t="str">
        <f>IF('Summary Schedule'!C4="ESA", "Energy Sales Agreement (ESA)?","Not Applicable")</f>
        <v>Not Applicable</v>
      </c>
      <c r="D4" s="640" t="s">
        <v>204</v>
      </c>
      <c r="E4" s="629" t="s">
        <v>9</v>
      </c>
      <c r="F4" s="629" t="s">
        <v>59</v>
      </c>
      <c r="G4" s="629" t="s">
        <v>595</v>
      </c>
      <c r="H4" s="629" t="s">
        <v>399</v>
      </c>
      <c r="I4" s="629" t="s">
        <v>111</v>
      </c>
      <c r="J4" s="629" t="s">
        <v>1</v>
      </c>
      <c r="K4" s="629" t="s">
        <v>112</v>
      </c>
      <c r="L4" s="629" t="s">
        <v>113</v>
      </c>
    </row>
    <row r="5" spans="1:13" ht="18" customHeight="1" thickBot="1">
      <c r="A5" s="639"/>
      <c r="B5" s="642"/>
      <c r="C5" s="631"/>
      <c r="D5" s="640"/>
      <c r="E5" s="629"/>
      <c r="F5" s="629"/>
      <c r="G5" s="629"/>
      <c r="H5" s="629"/>
      <c r="I5" s="630"/>
      <c r="J5" s="629"/>
      <c r="K5" s="614"/>
      <c r="L5" s="614" t="s">
        <v>268</v>
      </c>
    </row>
    <row r="6" spans="1:13" ht="26.25" customHeight="1">
      <c r="A6" s="639"/>
      <c r="B6" s="642"/>
      <c r="C6" s="631"/>
      <c r="D6" s="640"/>
      <c r="E6" s="629"/>
      <c r="F6" s="629"/>
      <c r="G6" s="629"/>
      <c r="H6" s="629"/>
      <c r="I6" s="637" t="str">
        <f>IF('Summary Schedule'!C4="UESC","Implementation Cost (Direct)*","Cost of Goods and Services (Base Construction)*")</f>
        <v>Cost of Goods and Services (Base Construction)*</v>
      </c>
      <c r="J6" s="637" t="str">
        <f>IF('Summary Schedule'!C4="UESC", "Mark-up (Overhead &amp; Profit)", "Project Implementation Delivery Charge*")</f>
        <v>Project Implementation Delivery Charge*</v>
      </c>
      <c r="K6" s="613" t="s">
        <v>421</v>
      </c>
      <c r="L6" s="613" t="s">
        <v>323</v>
      </c>
    </row>
    <row r="7" spans="1:13" ht="48" customHeight="1" thickBot="1">
      <c r="A7" s="638"/>
      <c r="B7" s="643"/>
      <c r="C7" s="632"/>
      <c r="D7" s="641"/>
      <c r="E7" s="630"/>
      <c r="F7" s="630"/>
      <c r="G7" s="630"/>
      <c r="H7" s="630"/>
      <c r="I7" s="638"/>
      <c r="J7" s="638"/>
      <c r="K7" s="614"/>
      <c r="L7" s="614" t="s">
        <v>315</v>
      </c>
    </row>
    <row r="8" spans="1:13" ht="47.25" customHeight="1" thickBot="1">
      <c r="A8" s="626" t="s">
        <v>324</v>
      </c>
      <c r="B8" s="627"/>
      <c r="C8" s="627"/>
      <c r="D8" s="627"/>
      <c r="E8" s="627"/>
      <c r="F8" s="627"/>
      <c r="G8" s="627"/>
      <c r="H8" s="627"/>
      <c r="I8" s="627"/>
      <c r="J8" s="627"/>
      <c r="K8" s="628"/>
      <c r="L8" s="369"/>
    </row>
    <row r="9" spans="1:13" ht="51" customHeight="1" thickBot="1">
      <c r="A9" s="414"/>
      <c r="B9" s="237"/>
      <c r="C9" s="237"/>
      <c r="D9" s="432"/>
      <c r="E9" s="235"/>
      <c r="F9" s="236"/>
      <c r="G9" s="234"/>
      <c r="H9" s="234"/>
      <c r="I9" s="234"/>
      <c r="J9" s="234"/>
      <c r="K9" s="234"/>
      <c r="L9" s="41" t="str">
        <f>IF((I9+J9-K9)=0, "", (I9+J9-K9))</f>
        <v/>
      </c>
      <c r="M9" s="147"/>
    </row>
    <row r="10" spans="1:13" ht="42" customHeight="1" thickBot="1">
      <c r="A10" s="414"/>
      <c r="B10" s="237"/>
      <c r="C10" s="237"/>
      <c r="D10" s="432"/>
      <c r="E10" s="235"/>
      <c r="F10" s="236"/>
      <c r="G10" s="234"/>
      <c r="H10" s="234"/>
      <c r="I10" s="234"/>
      <c r="J10" s="234"/>
      <c r="K10" s="234"/>
      <c r="L10" s="41" t="str">
        <f t="shared" ref="L10:L73" si="0">IF((I10+J10-K10)=0, "", (I10+J10-K10))</f>
        <v/>
      </c>
      <c r="M10" s="148"/>
    </row>
    <row r="11" spans="1:13" ht="29.25" customHeight="1" thickBot="1">
      <c r="A11" s="414"/>
      <c r="B11" s="237"/>
      <c r="C11" s="237"/>
      <c r="D11" s="432"/>
      <c r="E11" s="235"/>
      <c r="F11" s="236"/>
      <c r="G11" s="234"/>
      <c r="H11" s="234"/>
      <c r="I11" s="234"/>
      <c r="J11" s="234"/>
      <c r="K11" s="234"/>
      <c r="L11" s="41" t="str">
        <f>IF((I11+J11-K11)=0, "", (I11+J11-K11))</f>
        <v/>
      </c>
      <c r="M11" s="148"/>
    </row>
    <row r="12" spans="1:13" ht="29.25" customHeight="1" thickBot="1">
      <c r="A12" s="414"/>
      <c r="B12" s="237"/>
      <c r="C12" s="237"/>
      <c r="D12" s="432"/>
      <c r="E12" s="235"/>
      <c r="F12" s="236"/>
      <c r="G12" s="234"/>
      <c r="H12" s="234"/>
      <c r="I12" s="234"/>
      <c r="J12" s="234"/>
      <c r="K12" s="234"/>
      <c r="L12" s="41" t="str">
        <f t="shared" si="0"/>
        <v/>
      </c>
      <c r="M12" s="148"/>
    </row>
    <row r="13" spans="1:13" ht="29.25" customHeight="1" thickBot="1">
      <c r="A13" s="414"/>
      <c r="B13" s="237"/>
      <c r="C13" s="237"/>
      <c r="D13" s="432"/>
      <c r="E13" s="235"/>
      <c r="F13" s="236"/>
      <c r="G13" s="234"/>
      <c r="H13" s="234"/>
      <c r="I13" s="234"/>
      <c r="J13" s="234"/>
      <c r="K13" s="234"/>
      <c r="L13" s="41" t="str">
        <f t="shared" si="0"/>
        <v/>
      </c>
      <c r="M13" s="148"/>
    </row>
    <row r="14" spans="1:13" ht="29.25" customHeight="1" thickBot="1">
      <c r="A14" s="414"/>
      <c r="B14" s="237"/>
      <c r="C14" s="237"/>
      <c r="D14" s="432"/>
      <c r="E14" s="235"/>
      <c r="F14" s="236"/>
      <c r="G14" s="234"/>
      <c r="H14" s="234"/>
      <c r="I14" s="234"/>
      <c r="J14" s="234"/>
      <c r="K14" s="234"/>
      <c r="L14" s="41" t="str">
        <f>IF((I14+J14-K14)=0, "", (I14+J14-K14))</f>
        <v/>
      </c>
      <c r="M14" s="148"/>
    </row>
    <row r="15" spans="1:13" ht="29.25" customHeight="1" thickBot="1">
      <c r="A15" s="414"/>
      <c r="B15" s="237"/>
      <c r="C15" s="237"/>
      <c r="D15" s="432"/>
      <c r="E15" s="235"/>
      <c r="F15" s="236"/>
      <c r="G15" s="234"/>
      <c r="H15" s="234"/>
      <c r="I15" s="234"/>
      <c r="J15" s="234"/>
      <c r="K15" s="234"/>
      <c r="L15" s="41" t="str">
        <f t="shared" ref="L15" si="1">IF((I15+J15-K15)=0, "", (I15+J15-K15))</f>
        <v/>
      </c>
      <c r="M15" s="148"/>
    </row>
    <row r="16" spans="1:13" ht="29.25" customHeight="1" thickBot="1">
      <c r="A16" s="414"/>
      <c r="B16" s="237"/>
      <c r="C16" s="237"/>
      <c r="D16" s="432"/>
      <c r="E16" s="235"/>
      <c r="F16" s="236"/>
      <c r="G16" s="235"/>
      <c r="H16" s="234"/>
      <c r="I16" s="234"/>
      <c r="J16" s="234"/>
      <c r="K16" s="234"/>
      <c r="L16" s="41" t="str">
        <f t="shared" si="0"/>
        <v/>
      </c>
      <c r="M16" s="148"/>
    </row>
    <row r="17" spans="1:13" ht="29.25" customHeight="1" thickBot="1">
      <c r="A17" s="414"/>
      <c r="B17" s="237"/>
      <c r="C17" s="237"/>
      <c r="D17" s="432"/>
      <c r="E17" s="235"/>
      <c r="F17" s="236"/>
      <c r="G17" s="235"/>
      <c r="H17" s="234"/>
      <c r="I17" s="234"/>
      <c r="J17" s="234"/>
      <c r="K17" s="234"/>
      <c r="L17" s="41" t="str">
        <f t="shared" si="0"/>
        <v/>
      </c>
      <c r="M17" s="148"/>
    </row>
    <row r="18" spans="1:13" ht="29.25" customHeight="1" thickBot="1">
      <c r="A18" s="414"/>
      <c r="B18" s="237"/>
      <c r="C18" s="237"/>
      <c r="D18" s="432"/>
      <c r="E18" s="235"/>
      <c r="F18" s="236"/>
      <c r="G18" s="235"/>
      <c r="H18" s="234"/>
      <c r="I18" s="234"/>
      <c r="J18" s="234"/>
      <c r="K18" s="234"/>
      <c r="L18" s="41" t="str">
        <f t="shared" si="0"/>
        <v/>
      </c>
      <c r="M18" s="148"/>
    </row>
    <row r="19" spans="1:13" ht="29.25" customHeight="1" thickBot="1">
      <c r="A19" s="414"/>
      <c r="B19" s="237"/>
      <c r="C19" s="237"/>
      <c r="D19" s="432"/>
      <c r="E19" s="235"/>
      <c r="F19" s="236"/>
      <c r="G19" s="235"/>
      <c r="H19" s="234"/>
      <c r="I19" s="234"/>
      <c r="J19" s="234"/>
      <c r="K19" s="234"/>
      <c r="L19" s="41" t="str">
        <f t="shared" si="0"/>
        <v/>
      </c>
      <c r="M19" s="148"/>
    </row>
    <row r="20" spans="1:13" ht="29.25" customHeight="1" thickBot="1">
      <c r="A20" s="414"/>
      <c r="B20" s="237"/>
      <c r="C20" s="237"/>
      <c r="D20" s="432"/>
      <c r="E20" s="235"/>
      <c r="F20" s="236"/>
      <c r="G20" s="235"/>
      <c r="H20" s="234"/>
      <c r="I20" s="234"/>
      <c r="J20" s="234"/>
      <c r="K20" s="234"/>
      <c r="L20" s="41" t="str">
        <f t="shared" si="0"/>
        <v/>
      </c>
      <c r="M20" s="148"/>
    </row>
    <row r="21" spans="1:13" ht="29.25" customHeight="1" thickBot="1">
      <c r="A21" s="414"/>
      <c r="B21" s="237"/>
      <c r="C21" s="237"/>
      <c r="D21" s="432"/>
      <c r="E21" s="235"/>
      <c r="F21" s="236"/>
      <c r="G21" s="235"/>
      <c r="H21" s="234"/>
      <c r="I21" s="234"/>
      <c r="J21" s="234"/>
      <c r="K21" s="234"/>
      <c r="L21" s="41" t="str">
        <f t="shared" si="0"/>
        <v/>
      </c>
      <c r="M21" s="147"/>
    </row>
    <row r="22" spans="1:13" ht="29.25" customHeight="1" thickBot="1">
      <c r="A22" s="414"/>
      <c r="B22" s="237"/>
      <c r="C22" s="237"/>
      <c r="D22" s="432"/>
      <c r="E22" s="235"/>
      <c r="F22" s="236"/>
      <c r="G22" s="235"/>
      <c r="H22" s="234"/>
      <c r="I22" s="234"/>
      <c r="J22" s="234"/>
      <c r="K22" s="234"/>
      <c r="L22" s="41" t="str">
        <f t="shared" si="0"/>
        <v/>
      </c>
      <c r="M22" s="147"/>
    </row>
    <row r="23" spans="1:13" ht="29.25" customHeight="1" thickBot="1">
      <c r="A23" s="414"/>
      <c r="B23" s="237"/>
      <c r="C23" s="237"/>
      <c r="D23" s="432"/>
      <c r="E23" s="235"/>
      <c r="F23" s="236"/>
      <c r="G23" s="235"/>
      <c r="H23" s="234"/>
      <c r="I23" s="234"/>
      <c r="J23" s="234"/>
      <c r="K23" s="234"/>
      <c r="L23" s="41" t="str">
        <f t="shared" si="0"/>
        <v/>
      </c>
      <c r="M23" s="147"/>
    </row>
    <row r="24" spans="1:13" ht="29.25" customHeight="1" thickBot="1">
      <c r="A24" s="414"/>
      <c r="B24" s="237"/>
      <c r="C24" s="237"/>
      <c r="D24" s="432"/>
      <c r="E24" s="235"/>
      <c r="F24" s="236"/>
      <c r="G24" s="235"/>
      <c r="H24" s="234"/>
      <c r="I24" s="234"/>
      <c r="J24" s="234"/>
      <c r="K24" s="234"/>
      <c r="L24" s="41" t="str">
        <f t="shared" si="0"/>
        <v/>
      </c>
      <c r="M24" s="147"/>
    </row>
    <row r="25" spans="1:13" ht="29.25" customHeight="1" thickBot="1">
      <c r="A25" s="414"/>
      <c r="B25" s="237"/>
      <c r="C25" s="237"/>
      <c r="D25" s="432"/>
      <c r="E25" s="235"/>
      <c r="F25" s="236"/>
      <c r="G25" s="235"/>
      <c r="H25" s="234"/>
      <c r="I25" s="234"/>
      <c r="J25" s="234"/>
      <c r="K25" s="234"/>
      <c r="L25" s="41" t="str">
        <f t="shared" si="0"/>
        <v/>
      </c>
      <c r="M25" s="147"/>
    </row>
    <row r="26" spans="1:13" ht="29.25" customHeight="1" thickBot="1">
      <c r="A26" s="414"/>
      <c r="B26" s="237"/>
      <c r="C26" s="237"/>
      <c r="D26" s="432"/>
      <c r="E26" s="235"/>
      <c r="F26" s="236"/>
      <c r="G26" s="235"/>
      <c r="H26" s="234"/>
      <c r="I26" s="234"/>
      <c r="J26" s="234"/>
      <c r="K26" s="234"/>
      <c r="L26" s="41" t="str">
        <f t="shared" si="0"/>
        <v/>
      </c>
      <c r="M26" s="147"/>
    </row>
    <row r="27" spans="1:13" ht="29.25" customHeight="1" thickBot="1">
      <c r="A27" s="414"/>
      <c r="B27" s="237"/>
      <c r="C27" s="237"/>
      <c r="D27" s="432"/>
      <c r="E27" s="235"/>
      <c r="F27" s="236"/>
      <c r="G27" s="235"/>
      <c r="H27" s="234"/>
      <c r="I27" s="234"/>
      <c r="J27" s="234"/>
      <c r="K27" s="234"/>
      <c r="L27" s="41" t="str">
        <f t="shared" si="0"/>
        <v/>
      </c>
      <c r="M27" s="147"/>
    </row>
    <row r="28" spans="1:13" ht="29.25" customHeight="1" thickBot="1">
      <c r="A28" s="414"/>
      <c r="B28" s="237"/>
      <c r="C28" s="237"/>
      <c r="D28" s="432"/>
      <c r="E28" s="235"/>
      <c r="F28" s="236"/>
      <c r="G28" s="235"/>
      <c r="H28" s="234"/>
      <c r="I28" s="234"/>
      <c r="J28" s="234"/>
      <c r="K28" s="234"/>
      <c r="L28" s="41" t="str">
        <f t="shared" si="0"/>
        <v/>
      </c>
      <c r="M28" s="147"/>
    </row>
    <row r="29" spans="1:13" ht="29.25" customHeight="1" thickBot="1">
      <c r="A29" s="414"/>
      <c r="B29" s="237"/>
      <c r="C29" s="237"/>
      <c r="D29" s="432"/>
      <c r="E29" s="235"/>
      <c r="F29" s="236"/>
      <c r="G29" s="235"/>
      <c r="H29" s="234"/>
      <c r="I29" s="234"/>
      <c r="J29" s="234"/>
      <c r="K29" s="234"/>
      <c r="L29" s="41" t="str">
        <f t="shared" si="0"/>
        <v/>
      </c>
      <c r="M29" s="147"/>
    </row>
    <row r="30" spans="1:13" ht="29.25" customHeight="1" thickBot="1">
      <c r="A30" s="414"/>
      <c r="B30" s="237"/>
      <c r="C30" s="237"/>
      <c r="D30" s="432"/>
      <c r="E30" s="235"/>
      <c r="F30" s="236"/>
      <c r="G30" s="235"/>
      <c r="H30" s="234"/>
      <c r="I30" s="234"/>
      <c r="J30" s="234"/>
      <c r="K30" s="234"/>
      <c r="L30" s="41" t="str">
        <f t="shared" si="0"/>
        <v/>
      </c>
      <c r="M30" s="147"/>
    </row>
    <row r="31" spans="1:13" ht="29.25" customHeight="1" thickBot="1">
      <c r="A31" s="414"/>
      <c r="B31" s="237"/>
      <c r="C31" s="237"/>
      <c r="D31" s="432"/>
      <c r="E31" s="235"/>
      <c r="F31" s="236"/>
      <c r="G31" s="235"/>
      <c r="H31" s="234"/>
      <c r="I31" s="234"/>
      <c r="J31" s="234"/>
      <c r="K31" s="234"/>
      <c r="L31" s="41" t="str">
        <f t="shared" si="0"/>
        <v/>
      </c>
      <c r="M31" s="147"/>
    </row>
    <row r="32" spans="1:13" ht="29.25" customHeight="1" thickBot="1">
      <c r="A32" s="414"/>
      <c r="B32" s="237"/>
      <c r="C32" s="237"/>
      <c r="D32" s="432"/>
      <c r="E32" s="235"/>
      <c r="F32" s="236"/>
      <c r="G32" s="235"/>
      <c r="H32" s="234"/>
      <c r="I32" s="234"/>
      <c r="J32" s="234"/>
      <c r="K32" s="234"/>
      <c r="L32" s="41" t="str">
        <f t="shared" si="0"/>
        <v/>
      </c>
      <c r="M32" s="147"/>
    </row>
    <row r="33" spans="1:13" ht="29.25" customHeight="1" thickBot="1">
      <c r="A33" s="414"/>
      <c r="B33" s="237"/>
      <c r="C33" s="237"/>
      <c r="D33" s="432"/>
      <c r="E33" s="235"/>
      <c r="F33" s="236"/>
      <c r="G33" s="235"/>
      <c r="H33" s="234"/>
      <c r="I33" s="234"/>
      <c r="J33" s="234"/>
      <c r="K33" s="234"/>
      <c r="L33" s="41" t="str">
        <f t="shared" si="0"/>
        <v/>
      </c>
      <c r="M33" s="147"/>
    </row>
    <row r="34" spans="1:13" ht="29.25" customHeight="1" thickBot="1">
      <c r="A34" s="414"/>
      <c r="B34" s="237"/>
      <c r="C34" s="237"/>
      <c r="D34" s="432"/>
      <c r="E34" s="235"/>
      <c r="F34" s="236"/>
      <c r="G34" s="235"/>
      <c r="H34" s="234"/>
      <c r="I34" s="234"/>
      <c r="J34" s="234"/>
      <c r="K34" s="234"/>
      <c r="L34" s="41" t="str">
        <f t="shared" si="0"/>
        <v/>
      </c>
      <c r="M34" s="147"/>
    </row>
    <row r="35" spans="1:13" ht="29.25" customHeight="1" thickBot="1">
      <c r="A35" s="414"/>
      <c r="B35" s="237"/>
      <c r="C35" s="237"/>
      <c r="D35" s="432"/>
      <c r="E35" s="235"/>
      <c r="F35" s="236"/>
      <c r="G35" s="235"/>
      <c r="H35" s="234"/>
      <c r="I35" s="234"/>
      <c r="J35" s="234"/>
      <c r="K35" s="234"/>
      <c r="L35" s="41" t="str">
        <f t="shared" si="0"/>
        <v/>
      </c>
      <c r="M35" s="147"/>
    </row>
    <row r="36" spans="1:13" ht="29.25" customHeight="1" thickBot="1">
      <c r="A36" s="414"/>
      <c r="B36" s="237"/>
      <c r="C36" s="237"/>
      <c r="D36" s="432"/>
      <c r="E36" s="235"/>
      <c r="F36" s="236"/>
      <c r="G36" s="235"/>
      <c r="H36" s="234"/>
      <c r="I36" s="234"/>
      <c r="J36" s="234"/>
      <c r="K36" s="234"/>
      <c r="L36" s="41" t="str">
        <f t="shared" si="0"/>
        <v/>
      </c>
      <c r="M36" s="147"/>
    </row>
    <row r="37" spans="1:13" ht="29.25" customHeight="1" thickBot="1">
      <c r="A37" s="414"/>
      <c r="B37" s="237"/>
      <c r="C37" s="237"/>
      <c r="D37" s="432"/>
      <c r="E37" s="235"/>
      <c r="F37" s="236"/>
      <c r="G37" s="235"/>
      <c r="H37" s="234"/>
      <c r="I37" s="234"/>
      <c r="J37" s="234"/>
      <c r="K37" s="234"/>
      <c r="L37" s="41" t="str">
        <f t="shared" si="0"/>
        <v/>
      </c>
      <c r="M37" s="147"/>
    </row>
    <row r="38" spans="1:13" ht="29.25" customHeight="1" thickBot="1">
      <c r="A38" s="414"/>
      <c r="B38" s="237"/>
      <c r="C38" s="237"/>
      <c r="D38" s="432"/>
      <c r="E38" s="235"/>
      <c r="F38" s="236"/>
      <c r="G38" s="235"/>
      <c r="H38" s="234"/>
      <c r="I38" s="234"/>
      <c r="J38" s="234"/>
      <c r="K38" s="234"/>
      <c r="L38" s="41" t="str">
        <f t="shared" si="0"/>
        <v/>
      </c>
      <c r="M38" s="147"/>
    </row>
    <row r="39" spans="1:13" ht="29.25" customHeight="1" thickBot="1">
      <c r="A39" s="414"/>
      <c r="B39" s="237"/>
      <c r="C39" s="237"/>
      <c r="D39" s="432"/>
      <c r="E39" s="235"/>
      <c r="F39" s="236"/>
      <c r="G39" s="235"/>
      <c r="H39" s="234"/>
      <c r="I39" s="234"/>
      <c r="J39" s="234"/>
      <c r="K39" s="234"/>
      <c r="L39" s="41" t="str">
        <f t="shared" si="0"/>
        <v/>
      </c>
      <c r="M39" s="147"/>
    </row>
    <row r="40" spans="1:13" ht="29.25" customHeight="1" thickBot="1">
      <c r="A40" s="414"/>
      <c r="B40" s="237"/>
      <c r="C40" s="237"/>
      <c r="D40" s="432"/>
      <c r="E40" s="235"/>
      <c r="F40" s="236"/>
      <c r="G40" s="235"/>
      <c r="H40" s="234"/>
      <c r="I40" s="234"/>
      <c r="J40" s="234"/>
      <c r="K40" s="234"/>
      <c r="L40" s="41" t="str">
        <f t="shared" si="0"/>
        <v/>
      </c>
      <c r="M40" s="147"/>
    </row>
    <row r="41" spans="1:13" ht="29.25" customHeight="1" thickBot="1">
      <c r="A41" s="414"/>
      <c r="B41" s="237"/>
      <c r="C41" s="237"/>
      <c r="D41" s="432"/>
      <c r="E41" s="235"/>
      <c r="F41" s="236"/>
      <c r="G41" s="235"/>
      <c r="H41" s="234"/>
      <c r="I41" s="234"/>
      <c r="J41" s="234"/>
      <c r="K41" s="234"/>
      <c r="L41" s="41" t="str">
        <f t="shared" si="0"/>
        <v/>
      </c>
      <c r="M41" s="147"/>
    </row>
    <row r="42" spans="1:13" ht="29.25" customHeight="1" thickBot="1">
      <c r="A42" s="414"/>
      <c r="B42" s="237"/>
      <c r="C42" s="237"/>
      <c r="D42" s="432"/>
      <c r="E42" s="235"/>
      <c r="F42" s="236"/>
      <c r="G42" s="235"/>
      <c r="H42" s="234"/>
      <c r="I42" s="234"/>
      <c r="J42" s="234"/>
      <c r="K42" s="234"/>
      <c r="L42" s="41" t="str">
        <f t="shared" si="0"/>
        <v/>
      </c>
      <c r="M42" s="147"/>
    </row>
    <row r="43" spans="1:13" ht="29.25" customHeight="1" thickBot="1">
      <c r="A43" s="414"/>
      <c r="B43" s="237"/>
      <c r="C43" s="237"/>
      <c r="D43" s="432"/>
      <c r="E43" s="235"/>
      <c r="F43" s="236"/>
      <c r="G43" s="235"/>
      <c r="H43" s="234"/>
      <c r="I43" s="234"/>
      <c r="J43" s="234"/>
      <c r="K43" s="234"/>
      <c r="L43" s="41" t="str">
        <f t="shared" si="0"/>
        <v/>
      </c>
      <c r="M43" s="147"/>
    </row>
    <row r="44" spans="1:13" ht="29.25" customHeight="1" thickBot="1">
      <c r="A44" s="414"/>
      <c r="B44" s="237"/>
      <c r="C44" s="237"/>
      <c r="D44" s="432"/>
      <c r="E44" s="235"/>
      <c r="F44" s="236"/>
      <c r="G44" s="235"/>
      <c r="H44" s="234"/>
      <c r="I44" s="234"/>
      <c r="J44" s="234"/>
      <c r="K44" s="234"/>
      <c r="L44" s="41" t="str">
        <f t="shared" si="0"/>
        <v/>
      </c>
      <c r="M44" s="147"/>
    </row>
    <row r="45" spans="1:13" ht="29.25" customHeight="1" thickBot="1">
      <c r="A45" s="414"/>
      <c r="B45" s="237"/>
      <c r="C45" s="237"/>
      <c r="D45" s="432"/>
      <c r="E45" s="235"/>
      <c r="F45" s="236"/>
      <c r="G45" s="235"/>
      <c r="H45" s="234"/>
      <c r="I45" s="234"/>
      <c r="J45" s="234"/>
      <c r="K45" s="234"/>
      <c r="L45" s="41" t="str">
        <f t="shared" si="0"/>
        <v/>
      </c>
      <c r="M45" s="147"/>
    </row>
    <row r="46" spans="1:13" ht="29.25" customHeight="1" thickBot="1">
      <c r="A46" s="414"/>
      <c r="B46" s="237"/>
      <c r="C46" s="237"/>
      <c r="D46" s="432"/>
      <c r="E46" s="235"/>
      <c r="F46" s="236"/>
      <c r="G46" s="235"/>
      <c r="H46" s="234"/>
      <c r="I46" s="234"/>
      <c r="J46" s="234"/>
      <c r="K46" s="234"/>
      <c r="L46" s="41" t="str">
        <f t="shared" si="0"/>
        <v/>
      </c>
      <c r="M46" s="147"/>
    </row>
    <row r="47" spans="1:13" ht="29.25" customHeight="1" thickBot="1">
      <c r="A47" s="414"/>
      <c r="B47" s="237"/>
      <c r="C47" s="237"/>
      <c r="D47" s="432"/>
      <c r="E47" s="235"/>
      <c r="F47" s="236"/>
      <c r="G47" s="235"/>
      <c r="H47" s="234"/>
      <c r="I47" s="234"/>
      <c r="J47" s="234"/>
      <c r="K47" s="234"/>
      <c r="L47" s="41" t="str">
        <f t="shared" si="0"/>
        <v/>
      </c>
      <c r="M47" s="147"/>
    </row>
    <row r="48" spans="1:13" ht="29.25" customHeight="1" thickBot="1">
      <c r="A48" s="414"/>
      <c r="B48" s="237"/>
      <c r="C48" s="237"/>
      <c r="D48" s="432"/>
      <c r="E48" s="235"/>
      <c r="F48" s="236"/>
      <c r="G48" s="235"/>
      <c r="H48" s="234"/>
      <c r="I48" s="234"/>
      <c r="J48" s="234"/>
      <c r="K48" s="234"/>
      <c r="L48" s="41" t="str">
        <f t="shared" si="0"/>
        <v/>
      </c>
      <c r="M48" s="147"/>
    </row>
    <row r="49" spans="1:13" ht="29.25" customHeight="1" thickBot="1">
      <c r="A49" s="414"/>
      <c r="B49" s="237"/>
      <c r="C49" s="237"/>
      <c r="D49" s="432"/>
      <c r="E49" s="235"/>
      <c r="F49" s="236"/>
      <c r="G49" s="235"/>
      <c r="H49" s="234"/>
      <c r="I49" s="234"/>
      <c r="J49" s="234"/>
      <c r="K49" s="234"/>
      <c r="L49" s="41" t="str">
        <f t="shared" si="0"/>
        <v/>
      </c>
      <c r="M49" s="147"/>
    </row>
    <row r="50" spans="1:13" ht="29.25" customHeight="1" thickBot="1">
      <c r="A50" s="414"/>
      <c r="B50" s="237"/>
      <c r="C50" s="237"/>
      <c r="D50" s="432"/>
      <c r="E50" s="235"/>
      <c r="F50" s="236"/>
      <c r="G50" s="235"/>
      <c r="H50" s="234"/>
      <c r="I50" s="234"/>
      <c r="J50" s="234"/>
      <c r="K50" s="234"/>
      <c r="L50" s="41" t="str">
        <f t="shared" si="0"/>
        <v/>
      </c>
      <c r="M50" s="147"/>
    </row>
    <row r="51" spans="1:13" ht="29.25" customHeight="1" thickBot="1">
      <c r="A51" s="414"/>
      <c r="B51" s="237"/>
      <c r="C51" s="237"/>
      <c r="D51" s="432"/>
      <c r="E51" s="235"/>
      <c r="F51" s="236"/>
      <c r="G51" s="235"/>
      <c r="H51" s="234"/>
      <c r="I51" s="234"/>
      <c r="J51" s="234"/>
      <c r="K51" s="234"/>
      <c r="L51" s="41" t="str">
        <f t="shared" si="0"/>
        <v/>
      </c>
      <c r="M51" s="147"/>
    </row>
    <row r="52" spans="1:13" ht="29.25" customHeight="1" thickBot="1">
      <c r="A52" s="414"/>
      <c r="B52" s="237"/>
      <c r="C52" s="237"/>
      <c r="D52" s="432"/>
      <c r="E52" s="235"/>
      <c r="F52" s="236"/>
      <c r="G52" s="235"/>
      <c r="H52" s="234"/>
      <c r="I52" s="234"/>
      <c r="J52" s="234"/>
      <c r="K52" s="234"/>
      <c r="L52" s="41" t="str">
        <f t="shared" si="0"/>
        <v/>
      </c>
      <c r="M52" s="147"/>
    </row>
    <row r="53" spans="1:13" ht="29.25" customHeight="1" thickBot="1">
      <c r="A53" s="414"/>
      <c r="B53" s="237"/>
      <c r="C53" s="237"/>
      <c r="D53" s="432"/>
      <c r="E53" s="235"/>
      <c r="F53" s="236"/>
      <c r="G53" s="235"/>
      <c r="H53" s="234"/>
      <c r="I53" s="234"/>
      <c r="J53" s="234"/>
      <c r="K53" s="234"/>
      <c r="L53" s="41" t="str">
        <f t="shared" si="0"/>
        <v/>
      </c>
      <c r="M53" s="147"/>
    </row>
    <row r="54" spans="1:13" ht="29.25" customHeight="1" thickBot="1">
      <c r="A54" s="414"/>
      <c r="B54" s="237"/>
      <c r="C54" s="237"/>
      <c r="D54" s="432"/>
      <c r="E54" s="235"/>
      <c r="F54" s="236"/>
      <c r="G54" s="235"/>
      <c r="H54" s="234"/>
      <c r="I54" s="234"/>
      <c r="J54" s="234"/>
      <c r="K54" s="234"/>
      <c r="L54" s="41" t="str">
        <f t="shared" si="0"/>
        <v/>
      </c>
      <c r="M54" s="147"/>
    </row>
    <row r="55" spans="1:13" ht="29.25" customHeight="1" thickBot="1">
      <c r="A55" s="414"/>
      <c r="B55" s="237"/>
      <c r="C55" s="237"/>
      <c r="D55" s="432"/>
      <c r="E55" s="235"/>
      <c r="F55" s="236"/>
      <c r="G55" s="235"/>
      <c r="H55" s="234"/>
      <c r="I55" s="234"/>
      <c r="J55" s="234"/>
      <c r="K55" s="234"/>
      <c r="L55" s="41" t="str">
        <f t="shared" si="0"/>
        <v/>
      </c>
      <c r="M55" s="147"/>
    </row>
    <row r="56" spans="1:13" ht="29.25" customHeight="1" thickBot="1">
      <c r="A56" s="414"/>
      <c r="B56" s="237"/>
      <c r="C56" s="237"/>
      <c r="D56" s="432"/>
      <c r="E56" s="235"/>
      <c r="F56" s="236"/>
      <c r="G56" s="235"/>
      <c r="H56" s="234"/>
      <c r="I56" s="234"/>
      <c r="J56" s="234"/>
      <c r="K56" s="234"/>
      <c r="L56" s="41" t="str">
        <f t="shared" si="0"/>
        <v/>
      </c>
      <c r="M56" s="147"/>
    </row>
    <row r="57" spans="1:13" ht="29.25" customHeight="1" thickBot="1">
      <c r="A57" s="414"/>
      <c r="B57" s="237"/>
      <c r="C57" s="237"/>
      <c r="D57" s="432"/>
      <c r="E57" s="235"/>
      <c r="F57" s="236"/>
      <c r="G57" s="235"/>
      <c r="H57" s="234"/>
      <c r="I57" s="234"/>
      <c r="J57" s="234"/>
      <c r="K57" s="234"/>
      <c r="L57" s="41" t="str">
        <f t="shared" si="0"/>
        <v/>
      </c>
      <c r="M57" s="147"/>
    </row>
    <row r="58" spans="1:13" ht="29.25" customHeight="1" thickBot="1">
      <c r="A58" s="414"/>
      <c r="B58" s="237"/>
      <c r="C58" s="237"/>
      <c r="D58" s="432"/>
      <c r="E58" s="235"/>
      <c r="F58" s="236"/>
      <c r="G58" s="235"/>
      <c r="H58" s="234"/>
      <c r="I58" s="234"/>
      <c r="J58" s="234"/>
      <c r="K58" s="234"/>
      <c r="L58" s="41" t="str">
        <f t="shared" si="0"/>
        <v/>
      </c>
      <c r="M58" s="147"/>
    </row>
    <row r="59" spans="1:13" ht="29.25" customHeight="1" thickBot="1">
      <c r="A59" s="414"/>
      <c r="B59" s="237"/>
      <c r="C59" s="237"/>
      <c r="D59" s="432"/>
      <c r="E59" s="235"/>
      <c r="F59" s="236"/>
      <c r="G59" s="235"/>
      <c r="H59" s="234"/>
      <c r="I59" s="234"/>
      <c r="J59" s="234"/>
      <c r="K59" s="234"/>
      <c r="L59" s="41" t="str">
        <f t="shared" si="0"/>
        <v/>
      </c>
      <c r="M59" s="147"/>
    </row>
    <row r="60" spans="1:13" ht="29.25" customHeight="1" thickBot="1">
      <c r="A60" s="414"/>
      <c r="B60" s="237"/>
      <c r="C60" s="237"/>
      <c r="D60" s="432"/>
      <c r="E60" s="235"/>
      <c r="F60" s="236"/>
      <c r="G60" s="235"/>
      <c r="H60" s="234"/>
      <c r="I60" s="234"/>
      <c r="J60" s="234"/>
      <c r="K60" s="234"/>
      <c r="L60" s="41" t="str">
        <f t="shared" si="0"/>
        <v/>
      </c>
      <c r="M60" s="147"/>
    </row>
    <row r="61" spans="1:13" ht="29.25" customHeight="1" thickBot="1">
      <c r="A61" s="414"/>
      <c r="B61" s="237"/>
      <c r="C61" s="237"/>
      <c r="D61" s="432"/>
      <c r="E61" s="235"/>
      <c r="F61" s="236"/>
      <c r="G61" s="235"/>
      <c r="H61" s="234"/>
      <c r="I61" s="234"/>
      <c r="J61" s="234"/>
      <c r="K61" s="234"/>
      <c r="L61" s="41" t="str">
        <f t="shared" si="0"/>
        <v/>
      </c>
      <c r="M61" s="147"/>
    </row>
    <row r="62" spans="1:13" ht="29.25" customHeight="1" thickBot="1">
      <c r="A62" s="414"/>
      <c r="B62" s="237"/>
      <c r="C62" s="237"/>
      <c r="D62" s="432"/>
      <c r="E62" s="235"/>
      <c r="F62" s="236"/>
      <c r="G62" s="235"/>
      <c r="H62" s="234"/>
      <c r="I62" s="234"/>
      <c r="J62" s="234"/>
      <c r="K62" s="234"/>
      <c r="L62" s="41" t="str">
        <f t="shared" si="0"/>
        <v/>
      </c>
      <c r="M62" s="147"/>
    </row>
    <row r="63" spans="1:13" ht="29.25" customHeight="1" thickBot="1">
      <c r="A63" s="414"/>
      <c r="B63" s="237"/>
      <c r="C63" s="237"/>
      <c r="D63" s="432"/>
      <c r="E63" s="235"/>
      <c r="F63" s="236"/>
      <c r="G63" s="235"/>
      <c r="H63" s="234"/>
      <c r="I63" s="234"/>
      <c r="J63" s="234"/>
      <c r="K63" s="234"/>
      <c r="L63" s="41" t="str">
        <f t="shared" si="0"/>
        <v/>
      </c>
      <c r="M63" s="147"/>
    </row>
    <row r="64" spans="1:13" ht="29.25" customHeight="1" thickBot="1">
      <c r="A64" s="414"/>
      <c r="B64" s="237"/>
      <c r="C64" s="237"/>
      <c r="D64" s="432"/>
      <c r="E64" s="235"/>
      <c r="F64" s="236"/>
      <c r="G64" s="235"/>
      <c r="H64" s="234"/>
      <c r="I64" s="234"/>
      <c r="J64" s="234"/>
      <c r="K64" s="234"/>
      <c r="L64" s="41" t="str">
        <f t="shared" si="0"/>
        <v/>
      </c>
      <c r="M64" s="147"/>
    </row>
    <row r="65" spans="1:13" ht="29.25" customHeight="1" thickBot="1">
      <c r="A65" s="414"/>
      <c r="B65" s="237"/>
      <c r="C65" s="237"/>
      <c r="D65" s="432"/>
      <c r="E65" s="235"/>
      <c r="F65" s="236"/>
      <c r="G65" s="235"/>
      <c r="H65" s="234"/>
      <c r="I65" s="234"/>
      <c r="J65" s="234"/>
      <c r="K65" s="234"/>
      <c r="L65" s="41" t="str">
        <f t="shared" si="0"/>
        <v/>
      </c>
      <c r="M65" s="147"/>
    </row>
    <row r="66" spans="1:13" ht="29.25" customHeight="1" thickBot="1">
      <c r="A66" s="414"/>
      <c r="B66" s="237"/>
      <c r="C66" s="237"/>
      <c r="D66" s="432"/>
      <c r="E66" s="235"/>
      <c r="F66" s="236"/>
      <c r="G66" s="235"/>
      <c r="H66" s="234"/>
      <c r="I66" s="234"/>
      <c r="J66" s="234"/>
      <c r="K66" s="234"/>
      <c r="L66" s="41" t="str">
        <f t="shared" si="0"/>
        <v/>
      </c>
      <c r="M66" s="147"/>
    </row>
    <row r="67" spans="1:13" ht="29.25" customHeight="1" thickBot="1">
      <c r="A67" s="414"/>
      <c r="B67" s="237"/>
      <c r="C67" s="237"/>
      <c r="D67" s="432"/>
      <c r="E67" s="235"/>
      <c r="F67" s="236"/>
      <c r="G67" s="235"/>
      <c r="H67" s="234"/>
      <c r="I67" s="234"/>
      <c r="J67" s="234"/>
      <c r="K67" s="234"/>
      <c r="L67" s="41" t="str">
        <f t="shared" si="0"/>
        <v/>
      </c>
      <c r="M67" s="147"/>
    </row>
    <row r="68" spans="1:13" ht="29.25" customHeight="1" thickBot="1">
      <c r="A68" s="414"/>
      <c r="B68" s="237"/>
      <c r="C68" s="237"/>
      <c r="D68" s="432"/>
      <c r="E68" s="235"/>
      <c r="F68" s="236"/>
      <c r="G68" s="235"/>
      <c r="H68" s="234"/>
      <c r="I68" s="234"/>
      <c r="J68" s="234"/>
      <c r="K68" s="234"/>
      <c r="L68" s="41" t="str">
        <f t="shared" si="0"/>
        <v/>
      </c>
      <c r="M68" s="147"/>
    </row>
    <row r="69" spans="1:13" ht="29.25" customHeight="1" thickBot="1">
      <c r="A69" s="414"/>
      <c r="B69" s="237"/>
      <c r="C69" s="237"/>
      <c r="D69" s="432"/>
      <c r="E69" s="235"/>
      <c r="F69" s="236"/>
      <c r="G69" s="235"/>
      <c r="H69" s="234"/>
      <c r="I69" s="234"/>
      <c r="J69" s="234"/>
      <c r="K69" s="234"/>
      <c r="L69" s="41" t="str">
        <f t="shared" si="0"/>
        <v/>
      </c>
      <c r="M69" s="147"/>
    </row>
    <row r="70" spans="1:13" ht="29.25" customHeight="1" thickBot="1">
      <c r="A70" s="414"/>
      <c r="B70" s="237"/>
      <c r="C70" s="237"/>
      <c r="D70" s="432"/>
      <c r="E70" s="235"/>
      <c r="F70" s="236"/>
      <c r="G70" s="235"/>
      <c r="H70" s="234"/>
      <c r="I70" s="234"/>
      <c r="J70" s="234"/>
      <c r="K70" s="234"/>
      <c r="L70" s="41" t="str">
        <f t="shared" si="0"/>
        <v/>
      </c>
      <c r="M70" s="147"/>
    </row>
    <row r="71" spans="1:13" ht="29.25" customHeight="1" thickBot="1">
      <c r="A71" s="414"/>
      <c r="B71" s="237"/>
      <c r="C71" s="237"/>
      <c r="D71" s="432"/>
      <c r="E71" s="235"/>
      <c r="F71" s="236"/>
      <c r="G71" s="235"/>
      <c r="H71" s="234"/>
      <c r="I71" s="234"/>
      <c r="J71" s="234"/>
      <c r="K71" s="234"/>
      <c r="L71" s="41" t="str">
        <f t="shared" si="0"/>
        <v/>
      </c>
      <c r="M71" s="147"/>
    </row>
    <row r="72" spans="1:13" ht="29.25" customHeight="1" thickBot="1">
      <c r="A72" s="414"/>
      <c r="B72" s="237"/>
      <c r="C72" s="237"/>
      <c r="D72" s="432"/>
      <c r="E72" s="235"/>
      <c r="F72" s="236"/>
      <c r="G72" s="235"/>
      <c r="H72" s="234"/>
      <c r="I72" s="234"/>
      <c r="J72" s="234"/>
      <c r="K72" s="234"/>
      <c r="L72" s="41" t="str">
        <f t="shared" si="0"/>
        <v/>
      </c>
      <c r="M72" s="147"/>
    </row>
    <row r="73" spans="1:13" ht="29.25" customHeight="1" thickBot="1">
      <c r="A73" s="414"/>
      <c r="B73" s="237"/>
      <c r="C73" s="237"/>
      <c r="D73" s="432"/>
      <c r="E73" s="235"/>
      <c r="F73" s="236"/>
      <c r="G73" s="235"/>
      <c r="H73" s="234"/>
      <c r="I73" s="234"/>
      <c r="J73" s="234"/>
      <c r="K73" s="234"/>
      <c r="L73" s="41" t="str">
        <f t="shared" si="0"/>
        <v/>
      </c>
      <c r="M73" s="147"/>
    </row>
    <row r="74" spans="1:13" ht="29.25" customHeight="1" thickBot="1">
      <c r="A74" s="414"/>
      <c r="B74" s="237"/>
      <c r="C74" s="237"/>
      <c r="D74" s="432"/>
      <c r="E74" s="235"/>
      <c r="F74" s="236"/>
      <c r="G74" s="235"/>
      <c r="H74" s="234"/>
      <c r="I74" s="234"/>
      <c r="J74" s="234"/>
      <c r="K74" s="234"/>
      <c r="L74" s="41" t="str">
        <f t="shared" ref="L74:L137" si="2">IF((I74+J74-K74)=0, "", (I74+J74-K74))</f>
        <v/>
      </c>
      <c r="M74" s="147"/>
    </row>
    <row r="75" spans="1:13" ht="29.25" customHeight="1" thickBot="1">
      <c r="A75" s="414"/>
      <c r="B75" s="237"/>
      <c r="C75" s="237"/>
      <c r="D75" s="432"/>
      <c r="E75" s="235"/>
      <c r="F75" s="236"/>
      <c r="G75" s="235"/>
      <c r="H75" s="234"/>
      <c r="I75" s="234"/>
      <c r="J75" s="234"/>
      <c r="K75" s="234"/>
      <c r="L75" s="41" t="str">
        <f t="shared" si="2"/>
        <v/>
      </c>
      <c r="M75" s="147"/>
    </row>
    <row r="76" spans="1:13" ht="29.25" customHeight="1" thickBot="1">
      <c r="A76" s="414"/>
      <c r="B76" s="237"/>
      <c r="C76" s="237"/>
      <c r="D76" s="432"/>
      <c r="E76" s="235"/>
      <c r="F76" s="236"/>
      <c r="G76" s="235"/>
      <c r="H76" s="234"/>
      <c r="I76" s="234"/>
      <c r="J76" s="234"/>
      <c r="K76" s="234"/>
      <c r="L76" s="41" t="str">
        <f t="shared" si="2"/>
        <v/>
      </c>
      <c r="M76" s="147"/>
    </row>
    <row r="77" spans="1:13" ht="29.25" customHeight="1" thickBot="1">
      <c r="A77" s="414"/>
      <c r="B77" s="237"/>
      <c r="C77" s="237"/>
      <c r="D77" s="432"/>
      <c r="E77" s="235"/>
      <c r="F77" s="236"/>
      <c r="G77" s="235"/>
      <c r="H77" s="234"/>
      <c r="I77" s="234"/>
      <c r="J77" s="234"/>
      <c r="K77" s="234"/>
      <c r="L77" s="41" t="str">
        <f t="shared" si="2"/>
        <v/>
      </c>
      <c r="M77" s="147"/>
    </row>
    <row r="78" spans="1:13" ht="29.25" customHeight="1" thickBot="1">
      <c r="A78" s="414"/>
      <c r="B78" s="237"/>
      <c r="C78" s="237"/>
      <c r="D78" s="432"/>
      <c r="E78" s="235"/>
      <c r="F78" s="236"/>
      <c r="G78" s="235"/>
      <c r="H78" s="234"/>
      <c r="I78" s="234"/>
      <c r="J78" s="234"/>
      <c r="K78" s="234"/>
      <c r="L78" s="41" t="str">
        <f t="shared" si="2"/>
        <v/>
      </c>
      <c r="M78" s="147"/>
    </row>
    <row r="79" spans="1:13" ht="29.25" customHeight="1" thickBot="1">
      <c r="A79" s="414"/>
      <c r="B79" s="237"/>
      <c r="C79" s="237"/>
      <c r="D79" s="432"/>
      <c r="E79" s="235"/>
      <c r="F79" s="236"/>
      <c r="G79" s="235"/>
      <c r="H79" s="234"/>
      <c r="I79" s="234"/>
      <c r="J79" s="234"/>
      <c r="K79" s="234"/>
      <c r="L79" s="41" t="str">
        <f t="shared" si="2"/>
        <v/>
      </c>
      <c r="M79" s="147"/>
    </row>
    <row r="80" spans="1:13" ht="29.25" customHeight="1" thickBot="1">
      <c r="A80" s="414"/>
      <c r="B80" s="237"/>
      <c r="C80" s="237"/>
      <c r="D80" s="432"/>
      <c r="E80" s="235"/>
      <c r="F80" s="236"/>
      <c r="G80" s="235"/>
      <c r="H80" s="234"/>
      <c r="I80" s="234"/>
      <c r="J80" s="234"/>
      <c r="K80" s="234"/>
      <c r="L80" s="41" t="str">
        <f t="shared" si="2"/>
        <v/>
      </c>
      <c r="M80" s="147"/>
    </row>
    <row r="81" spans="1:13" ht="29.25" customHeight="1" thickBot="1">
      <c r="A81" s="414"/>
      <c r="B81" s="237"/>
      <c r="C81" s="237"/>
      <c r="D81" s="432"/>
      <c r="E81" s="235"/>
      <c r="F81" s="236"/>
      <c r="G81" s="235"/>
      <c r="H81" s="234"/>
      <c r="I81" s="234"/>
      <c r="J81" s="234"/>
      <c r="K81" s="234"/>
      <c r="L81" s="41" t="str">
        <f t="shared" si="2"/>
        <v/>
      </c>
      <c r="M81" s="147"/>
    </row>
    <row r="82" spans="1:13" ht="29.25" customHeight="1" thickBot="1">
      <c r="A82" s="414"/>
      <c r="B82" s="237"/>
      <c r="C82" s="237"/>
      <c r="D82" s="432"/>
      <c r="E82" s="235"/>
      <c r="F82" s="236"/>
      <c r="G82" s="235"/>
      <c r="H82" s="234"/>
      <c r="I82" s="234"/>
      <c r="J82" s="234"/>
      <c r="K82" s="234"/>
      <c r="L82" s="41" t="str">
        <f t="shared" si="2"/>
        <v/>
      </c>
      <c r="M82" s="147"/>
    </row>
    <row r="83" spans="1:13" ht="29.25" customHeight="1" thickBot="1">
      <c r="A83" s="414"/>
      <c r="B83" s="237"/>
      <c r="C83" s="237"/>
      <c r="D83" s="432"/>
      <c r="E83" s="235"/>
      <c r="F83" s="236"/>
      <c r="G83" s="235"/>
      <c r="H83" s="234"/>
      <c r="I83" s="234"/>
      <c r="J83" s="234"/>
      <c r="K83" s="234"/>
      <c r="L83" s="41" t="str">
        <f t="shared" si="2"/>
        <v/>
      </c>
      <c r="M83" s="147"/>
    </row>
    <row r="84" spans="1:13" ht="29.25" customHeight="1" thickBot="1">
      <c r="A84" s="414"/>
      <c r="B84" s="237"/>
      <c r="C84" s="237"/>
      <c r="D84" s="432"/>
      <c r="E84" s="235"/>
      <c r="F84" s="236"/>
      <c r="G84" s="235"/>
      <c r="H84" s="234"/>
      <c r="I84" s="234"/>
      <c r="J84" s="234"/>
      <c r="K84" s="234"/>
      <c r="L84" s="41" t="str">
        <f t="shared" si="2"/>
        <v/>
      </c>
      <c r="M84" s="147"/>
    </row>
    <row r="85" spans="1:13" ht="29.25" customHeight="1" thickBot="1">
      <c r="A85" s="414"/>
      <c r="B85" s="237"/>
      <c r="C85" s="237"/>
      <c r="D85" s="432"/>
      <c r="E85" s="235"/>
      <c r="F85" s="236"/>
      <c r="G85" s="235"/>
      <c r="H85" s="234"/>
      <c r="I85" s="234"/>
      <c r="J85" s="234"/>
      <c r="K85" s="234"/>
      <c r="L85" s="41" t="str">
        <f t="shared" si="2"/>
        <v/>
      </c>
      <c r="M85" s="147"/>
    </row>
    <row r="86" spans="1:13" ht="29.25" customHeight="1" thickBot="1">
      <c r="A86" s="414"/>
      <c r="B86" s="237"/>
      <c r="C86" s="237"/>
      <c r="D86" s="432"/>
      <c r="E86" s="235"/>
      <c r="F86" s="236"/>
      <c r="G86" s="235"/>
      <c r="H86" s="234"/>
      <c r="I86" s="234"/>
      <c r="J86" s="234"/>
      <c r="K86" s="234"/>
      <c r="L86" s="41" t="str">
        <f t="shared" si="2"/>
        <v/>
      </c>
      <c r="M86" s="147"/>
    </row>
    <row r="87" spans="1:13" ht="29.25" customHeight="1" thickBot="1">
      <c r="A87" s="414"/>
      <c r="B87" s="237"/>
      <c r="C87" s="237"/>
      <c r="D87" s="432"/>
      <c r="E87" s="235"/>
      <c r="F87" s="236"/>
      <c r="G87" s="235"/>
      <c r="H87" s="234"/>
      <c r="I87" s="234"/>
      <c r="J87" s="234"/>
      <c r="K87" s="234"/>
      <c r="L87" s="41" t="str">
        <f t="shared" si="2"/>
        <v/>
      </c>
      <c r="M87" s="147"/>
    </row>
    <row r="88" spans="1:13" ht="29.25" customHeight="1" thickBot="1">
      <c r="A88" s="414"/>
      <c r="B88" s="237"/>
      <c r="C88" s="237"/>
      <c r="D88" s="432"/>
      <c r="E88" s="235"/>
      <c r="F88" s="236"/>
      <c r="G88" s="235"/>
      <c r="H88" s="234"/>
      <c r="I88" s="234"/>
      <c r="J88" s="234"/>
      <c r="K88" s="234"/>
      <c r="L88" s="41" t="str">
        <f t="shared" si="2"/>
        <v/>
      </c>
      <c r="M88" s="147"/>
    </row>
    <row r="89" spans="1:13" ht="29.25" customHeight="1" thickBot="1">
      <c r="A89" s="414"/>
      <c r="B89" s="237"/>
      <c r="C89" s="237"/>
      <c r="D89" s="432"/>
      <c r="E89" s="235"/>
      <c r="F89" s="236"/>
      <c r="G89" s="235"/>
      <c r="H89" s="234"/>
      <c r="I89" s="234"/>
      <c r="J89" s="234"/>
      <c r="K89" s="234"/>
      <c r="L89" s="41" t="str">
        <f t="shared" si="2"/>
        <v/>
      </c>
      <c r="M89" s="147"/>
    </row>
    <row r="90" spans="1:13" ht="29.25" customHeight="1" thickBot="1">
      <c r="A90" s="414"/>
      <c r="B90" s="237"/>
      <c r="C90" s="237"/>
      <c r="D90" s="432"/>
      <c r="E90" s="235"/>
      <c r="F90" s="236"/>
      <c r="G90" s="235"/>
      <c r="H90" s="234"/>
      <c r="I90" s="234"/>
      <c r="J90" s="234"/>
      <c r="K90" s="234"/>
      <c r="L90" s="41" t="str">
        <f t="shared" si="2"/>
        <v/>
      </c>
      <c r="M90" s="147"/>
    </row>
    <row r="91" spans="1:13" ht="29.25" customHeight="1" thickBot="1">
      <c r="A91" s="414"/>
      <c r="B91" s="237"/>
      <c r="C91" s="237"/>
      <c r="D91" s="432"/>
      <c r="E91" s="235"/>
      <c r="F91" s="236"/>
      <c r="G91" s="235"/>
      <c r="H91" s="234"/>
      <c r="I91" s="234"/>
      <c r="J91" s="234"/>
      <c r="K91" s="234"/>
      <c r="L91" s="41" t="str">
        <f t="shared" si="2"/>
        <v/>
      </c>
      <c r="M91" s="147"/>
    </row>
    <row r="92" spans="1:13" ht="29.25" customHeight="1" thickBot="1">
      <c r="A92" s="414"/>
      <c r="B92" s="237"/>
      <c r="C92" s="237"/>
      <c r="D92" s="432"/>
      <c r="E92" s="235"/>
      <c r="F92" s="236"/>
      <c r="G92" s="235"/>
      <c r="H92" s="234"/>
      <c r="I92" s="234"/>
      <c r="J92" s="234"/>
      <c r="K92" s="234"/>
      <c r="L92" s="41" t="str">
        <f t="shared" si="2"/>
        <v/>
      </c>
      <c r="M92" s="147"/>
    </row>
    <row r="93" spans="1:13" ht="29.25" customHeight="1" thickBot="1">
      <c r="A93" s="414"/>
      <c r="B93" s="237"/>
      <c r="C93" s="237"/>
      <c r="D93" s="432"/>
      <c r="E93" s="235"/>
      <c r="F93" s="236"/>
      <c r="G93" s="235"/>
      <c r="H93" s="234"/>
      <c r="I93" s="234"/>
      <c r="J93" s="234"/>
      <c r="K93" s="234"/>
      <c r="L93" s="41" t="str">
        <f t="shared" si="2"/>
        <v/>
      </c>
      <c r="M93" s="147"/>
    </row>
    <row r="94" spans="1:13" ht="29.25" customHeight="1" thickBot="1">
      <c r="A94" s="414"/>
      <c r="B94" s="237"/>
      <c r="C94" s="237"/>
      <c r="D94" s="432"/>
      <c r="E94" s="235"/>
      <c r="F94" s="236"/>
      <c r="G94" s="235"/>
      <c r="H94" s="234"/>
      <c r="I94" s="234"/>
      <c r="J94" s="234"/>
      <c r="K94" s="234"/>
      <c r="L94" s="41" t="str">
        <f t="shared" si="2"/>
        <v/>
      </c>
      <c r="M94" s="147"/>
    </row>
    <row r="95" spans="1:13" ht="29.25" customHeight="1" thickBot="1">
      <c r="A95" s="414"/>
      <c r="B95" s="237"/>
      <c r="C95" s="237"/>
      <c r="D95" s="432"/>
      <c r="E95" s="235"/>
      <c r="F95" s="236"/>
      <c r="G95" s="235"/>
      <c r="H95" s="234"/>
      <c r="I95" s="234"/>
      <c r="J95" s="234"/>
      <c r="K95" s="234"/>
      <c r="L95" s="41" t="str">
        <f t="shared" si="2"/>
        <v/>
      </c>
      <c r="M95" s="147"/>
    </row>
    <row r="96" spans="1:13" ht="29.25" customHeight="1" thickBot="1">
      <c r="A96" s="414"/>
      <c r="B96" s="237"/>
      <c r="C96" s="237"/>
      <c r="D96" s="432"/>
      <c r="E96" s="235"/>
      <c r="F96" s="236"/>
      <c r="G96" s="235"/>
      <c r="H96" s="234"/>
      <c r="I96" s="234"/>
      <c r="J96" s="234"/>
      <c r="K96" s="234"/>
      <c r="L96" s="41" t="str">
        <f t="shared" si="2"/>
        <v/>
      </c>
      <c r="M96" s="147"/>
    </row>
    <row r="97" spans="1:13" ht="29.25" customHeight="1" thickBot="1">
      <c r="A97" s="414"/>
      <c r="B97" s="237"/>
      <c r="C97" s="237"/>
      <c r="D97" s="432"/>
      <c r="E97" s="235"/>
      <c r="F97" s="236"/>
      <c r="G97" s="235"/>
      <c r="H97" s="234"/>
      <c r="I97" s="234"/>
      <c r="J97" s="234"/>
      <c r="K97" s="234"/>
      <c r="L97" s="41" t="str">
        <f t="shared" si="2"/>
        <v/>
      </c>
      <c r="M97" s="147"/>
    </row>
    <row r="98" spans="1:13" ht="29.25" customHeight="1" thickBot="1">
      <c r="A98" s="414"/>
      <c r="B98" s="237"/>
      <c r="C98" s="237"/>
      <c r="D98" s="432"/>
      <c r="E98" s="235"/>
      <c r="F98" s="236"/>
      <c r="G98" s="235"/>
      <c r="H98" s="234"/>
      <c r="I98" s="234"/>
      <c r="J98" s="234"/>
      <c r="K98" s="234"/>
      <c r="L98" s="41" t="str">
        <f t="shared" si="2"/>
        <v/>
      </c>
      <c r="M98" s="147"/>
    </row>
    <row r="99" spans="1:13" ht="29.25" customHeight="1" thickBot="1">
      <c r="A99" s="414"/>
      <c r="B99" s="237"/>
      <c r="C99" s="237"/>
      <c r="D99" s="432"/>
      <c r="E99" s="235"/>
      <c r="F99" s="236"/>
      <c r="G99" s="235"/>
      <c r="H99" s="234"/>
      <c r="I99" s="234"/>
      <c r="J99" s="234"/>
      <c r="K99" s="234"/>
      <c r="L99" s="41" t="str">
        <f t="shared" si="2"/>
        <v/>
      </c>
      <c r="M99" s="147"/>
    </row>
    <row r="100" spans="1:13" ht="29.25" customHeight="1" thickBot="1">
      <c r="A100" s="414"/>
      <c r="B100" s="237"/>
      <c r="C100" s="237"/>
      <c r="D100" s="432"/>
      <c r="E100" s="235"/>
      <c r="F100" s="236"/>
      <c r="G100" s="235"/>
      <c r="H100" s="234"/>
      <c r="I100" s="234"/>
      <c r="J100" s="234"/>
      <c r="K100" s="234"/>
      <c r="L100" s="41" t="str">
        <f t="shared" si="2"/>
        <v/>
      </c>
      <c r="M100" s="147"/>
    </row>
    <row r="101" spans="1:13" ht="29.25" customHeight="1" thickBot="1">
      <c r="A101" s="414"/>
      <c r="B101" s="237"/>
      <c r="C101" s="237"/>
      <c r="D101" s="432"/>
      <c r="E101" s="235"/>
      <c r="F101" s="236"/>
      <c r="G101" s="235"/>
      <c r="H101" s="234"/>
      <c r="I101" s="234"/>
      <c r="J101" s="234"/>
      <c r="K101" s="234"/>
      <c r="L101" s="41" t="str">
        <f t="shared" si="2"/>
        <v/>
      </c>
      <c r="M101" s="147"/>
    </row>
    <row r="102" spans="1:13" ht="29.25" customHeight="1" thickBot="1">
      <c r="A102" s="414"/>
      <c r="B102" s="237"/>
      <c r="C102" s="237"/>
      <c r="D102" s="432"/>
      <c r="E102" s="235"/>
      <c r="F102" s="236"/>
      <c r="G102" s="235"/>
      <c r="H102" s="234"/>
      <c r="I102" s="234"/>
      <c r="J102" s="234"/>
      <c r="K102" s="234"/>
      <c r="L102" s="41" t="str">
        <f t="shared" si="2"/>
        <v/>
      </c>
      <c r="M102" s="147"/>
    </row>
    <row r="103" spans="1:13" ht="29.25" customHeight="1" thickBot="1">
      <c r="A103" s="414"/>
      <c r="B103" s="237"/>
      <c r="C103" s="237"/>
      <c r="D103" s="432"/>
      <c r="E103" s="235"/>
      <c r="F103" s="236"/>
      <c r="G103" s="235"/>
      <c r="H103" s="234"/>
      <c r="I103" s="234"/>
      <c r="J103" s="234"/>
      <c r="K103" s="234"/>
      <c r="L103" s="41" t="str">
        <f t="shared" si="2"/>
        <v/>
      </c>
      <c r="M103" s="147"/>
    </row>
    <row r="104" spans="1:13" ht="29.25" customHeight="1" thickBot="1">
      <c r="A104" s="414"/>
      <c r="B104" s="237"/>
      <c r="C104" s="237"/>
      <c r="D104" s="432"/>
      <c r="E104" s="235"/>
      <c r="F104" s="236"/>
      <c r="G104" s="235"/>
      <c r="H104" s="234"/>
      <c r="I104" s="234"/>
      <c r="J104" s="234"/>
      <c r="K104" s="234"/>
      <c r="L104" s="41" t="str">
        <f t="shared" si="2"/>
        <v/>
      </c>
      <c r="M104" s="147"/>
    </row>
    <row r="105" spans="1:13" ht="29.25" customHeight="1" thickBot="1">
      <c r="A105" s="414"/>
      <c r="B105" s="237"/>
      <c r="C105" s="237"/>
      <c r="D105" s="432"/>
      <c r="E105" s="235"/>
      <c r="F105" s="236"/>
      <c r="G105" s="235"/>
      <c r="H105" s="234"/>
      <c r="I105" s="234"/>
      <c r="J105" s="234"/>
      <c r="K105" s="234"/>
      <c r="L105" s="41" t="str">
        <f t="shared" si="2"/>
        <v/>
      </c>
      <c r="M105" s="147"/>
    </row>
    <row r="106" spans="1:13" ht="29.25" customHeight="1" thickBot="1">
      <c r="A106" s="414"/>
      <c r="B106" s="237"/>
      <c r="C106" s="237"/>
      <c r="D106" s="432"/>
      <c r="E106" s="235"/>
      <c r="F106" s="236"/>
      <c r="G106" s="235"/>
      <c r="H106" s="234"/>
      <c r="I106" s="234"/>
      <c r="J106" s="234"/>
      <c r="K106" s="234"/>
      <c r="L106" s="41" t="str">
        <f t="shared" si="2"/>
        <v/>
      </c>
      <c r="M106" s="147"/>
    </row>
    <row r="107" spans="1:13" ht="29.25" customHeight="1" thickBot="1">
      <c r="A107" s="414"/>
      <c r="B107" s="237"/>
      <c r="C107" s="237"/>
      <c r="D107" s="432"/>
      <c r="E107" s="235"/>
      <c r="F107" s="236"/>
      <c r="G107" s="235"/>
      <c r="H107" s="234"/>
      <c r="I107" s="234"/>
      <c r="J107" s="234"/>
      <c r="K107" s="234"/>
      <c r="L107" s="41" t="str">
        <f t="shared" si="2"/>
        <v/>
      </c>
      <c r="M107" s="147"/>
    </row>
    <row r="108" spans="1:13" ht="29.25" customHeight="1" thickBot="1">
      <c r="A108" s="414"/>
      <c r="B108" s="237"/>
      <c r="C108" s="237"/>
      <c r="D108" s="432"/>
      <c r="E108" s="235"/>
      <c r="F108" s="236"/>
      <c r="G108" s="235"/>
      <c r="H108" s="234"/>
      <c r="I108" s="234"/>
      <c r="J108" s="234"/>
      <c r="K108" s="234"/>
      <c r="L108" s="41" t="str">
        <f t="shared" si="2"/>
        <v/>
      </c>
      <c r="M108" s="147"/>
    </row>
    <row r="109" spans="1:13" ht="29.25" customHeight="1" thickBot="1">
      <c r="A109" s="414"/>
      <c r="B109" s="237"/>
      <c r="C109" s="237"/>
      <c r="D109" s="432"/>
      <c r="E109" s="235"/>
      <c r="F109" s="236"/>
      <c r="G109" s="235"/>
      <c r="H109" s="234"/>
      <c r="I109" s="234"/>
      <c r="J109" s="234"/>
      <c r="K109" s="234"/>
      <c r="L109" s="41" t="str">
        <f t="shared" si="2"/>
        <v/>
      </c>
      <c r="M109" s="147"/>
    </row>
    <row r="110" spans="1:13" ht="29.25" customHeight="1" thickBot="1">
      <c r="A110" s="414"/>
      <c r="B110" s="237"/>
      <c r="C110" s="237"/>
      <c r="D110" s="432"/>
      <c r="E110" s="235"/>
      <c r="F110" s="236"/>
      <c r="G110" s="235"/>
      <c r="H110" s="234"/>
      <c r="I110" s="234"/>
      <c r="J110" s="234"/>
      <c r="K110" s="234"/>
      <c r="L110" s="41" t="str">
        <f t="shared" si="2"/>
        <v/>
      </c>
      <c r="M110" s="147"/>
    </row>
    <row r="111" spans="1:13" ht="29.25" customHeight="1" thickBot="1">
      <c r="A111" s="414"/>
      <c r="B111" s="237"/>
      <c r="C111" s="237"/>
      <c r="D111" s="432"/>
      <c r="E111" s="235"/>
      <c r="F111" s="236"/>
      <c r="G111" s="235"/>
      <c r="H111" s="234"/>
      <c r="I111" s="234"/>
      <c r="J111" s="234"/>
      <c r="K111" s="234"/>
      <c r="L111" s="41" t="str">
        <f t="shared" si="2"/>
        <v/>
      </c>
      <c r="M111" s="147"/>
    </row>
    <row r="112" spans="1:13" ht="29.25" customHeight="1" thickBot="1">
      <c r="A112" s="414"/>
      <c r="B112" s="237"/>
      <c r="C112" s="237"/>
      <c r="D112" s="432"/>
      <c r="E112" s="235"/>
      <c r="F112" s="236"/>
      <c r="G112" s="235"/>
      <c r="H112" s="234"/>
      <c r="I112" s="234"/>
      <c r="J112" s="234"/>
      <c r="K112" s="234"/>
      <c r="L112" s="41" t="str">
        <f t="shared" si="2"/>
        <v/>
      </c>
      <c r="M112" s="147"/>
    </row>
    <row r="113" spans="1:13" ht="29.25" customHeight="1" thickBot="1">
      <c r="A113" s="414"/>
      <c r="B113" s="237"/>
      <c r="C113" s="237"/>
      <c r="D113" s="432"/>
      <c r="E113" s="235"/>
      <c r="F113" s="236"/>
      <c r="G113" s="235"/>
      <c r="H113" s="234"/>
      <c r="I113" s="234"/>
      <c r="J113" s="234"/>
      <c r="K113" s="234"/>
      <c r="L113" s="41" t="str">
        <f t="shared" si="2"/>
        <v/>
      </c>
      <c r="M113" s="147"/>
    </row>
    <row r="114" spans="1:13" ht="29.25" customHeight="1" thickBot="1">
      <c r="A114" s="414"/>
      <c r="B114" s="237"/>
      <c r="C114" s="237"/>
      <c r="D114" s="432"/>
      <c r="E114" s="235"/>
      <c r="F114" s="236"/>
      <c r="G114" s="235"/>
      <c r="H114" s="234"/>
      <c r="I114" s="234"/>
      <c r="J114" s="234"/>
      <c r="K114" s="234"/>
      <c r="L114" s="41" t="str">
        <f t="shared" si="2"/>
        <v/>
      </c>
      <c r="M114" s="147"/>
    </row>
    <row r="115" spans="1:13" ht="29.25" customHeight="1" thickBot="1">
      <c r="A115" s="414"/>
      <c r="B115" s="237"/>
      <c r="C115" s="237"/>
      <c r="D115" s="432"/>
      <c r="E115" s="235"/>
      <c r="F115" s="236"/>
      <c r="G115" s="235"/>
      <c r="H115" s="234"/>
      <c r="I115" s="234"/>
      <c r="J115" s="234"/>
      <c r="K115" s="234"/>
      <c r="L115" s="41" t="str">
        <f t="shared" si="2"/>
        <v/>
      </c>
      <c r="M115" s="147"/>
    </row>
    <row r="116" spans="1:13" ht="29.25" customHeight="1" thickBot="1">
      <c r="A116" s="414"/>
      <c r="B116" s="237"/>
      <c r="C116" s="237"/>
      <c r="D116" s="432"/>
      <c r="E116" s="235"/>
      <c r="F116" s="236"/>
      <c r="G116" s="235"/>
      <c r="H116" s="234"/>
      <c r="I116" s="234"/>
      <c r="J116" s="234"/>
      <c r="K116" s="234"/>
      <c r="L116" s="41" t="str">
        <f t="shared" si="2"/>
        <v/>
      </c>
      <c r="M116" s="147"/>
    </row>
    <row r="117" spans="1:13" ht="29.25" customHeight="1" thickBot="1">
      <c r="A117" s="414"/>
      <c r="B117" s="237"/>
      <c r="C117" s="237"/>
      <c r="D117" s="432"/>
      <c r="E117" s="235"/>
      <c r="F117" s="236"/>
      <c r="G117" s="235"/>
      <c r="H117" s="234"/>
      <c r="I117" s="234"/>
      <c r="J117" s="234"/>
      <c r="K117" s="234"/>
      <c r="L117" s="41" t="str">
        <f t="shared" si="2"/>
        <v/>
      </c>
      <c r="M117" s="147"/>
    </row>
    <row r="118" spans="1:13" ht="29.25" customHeight="1" thickBot="1">
      <c r="A118" s="414"/>
      <c r="B118" s="237"/>
      <c r="C118" s="237"/>
      <c r="D118" s="432"/>
      <c r="E118" s="235"/>
      <c r="F118" s="236"/>
      <c r="G118" s="235"/>
      <c r="H118" s="234"/>
      <c r="I118" s="234"/>
      <c r="J118" s="234"/>
      <c r="K118" s="234"/>
      <c r="L118" s="41" t="str">
        <f t="shared" si="2"/>
        <v/>
      </c>
      <c r="M118" s="147"/>
    </row>
    <row r="119" spans="1:13" ht="29.25" customHeight="1" thickBot="1">
      <c r="A119" s="414"/>
      <c r="B119" s="237"/>
      <c r="C119" s="237"/>
      <c r="D119" s="432"/>
      <c r="E119" s="235"/>
      <c r="F119" s="236"/>
      <c r="G119" s="235"/>
      <c r="H119" s="234"/>
      <c r="I119" s="234"/>
      <c r="J119" s="234"/>
      <c r="K119" s="234"/>
      <c r="L119" s="41" t="str">
        <f t="shared" si="2"/>
        <v/>
      </c>
      <c r="M119" s="147"/>
    </row>
    <row r="120" spans="1:13" ht="29.25" customHeight="1" thickBot="1">
      <c r="A120" s="414"/>
      <c r="B120" s="237"/>
      <c r="C120" s="237"/>
      <c r="D120" s="432"/>
      <c r="E120" s="235"/>
      <c r="F120" s="236"/>
      <c r="G120" s="235"/>
      <c r="H120" s="234"/>
      <c r="I120" s="234"/>
      <c r="J120" s="234"/>
      <c r="K120" s="234"/>
      <c r="L120" s="41" t="str">
        <f t="shared" si="2"/>
        <v/>
      </c>
      <c r="M120" s="147"/>
    </row>
    <row r="121" spans="1:13" ht="29.25" customHeight="1" thickBot="1">
      <c r="A121" s="414"/>
      <c r="B121" s="237"/>
      <c r="C121" s="237"/>
      <c r="D121" s="432"/>
      <c r="E121" s="235"/>
      <c r="F121" s="236"/>
      <c r="G121" s="235"/>
      <c r="H121" s="234"/>
      <c r="I121" s="234"/>
      <c r="J121" s="234"/>
      <c r="K121" s="234"/>
      <c r="L121" s="41" t="str">
        <f t="shared" si="2"/>
        <v/>
      </c>
      <c r="M121" s="147"/>
    </row>
    <row r="122" spans="1:13" ht="29.25" customHeight="1" thickBot="1">
      <c r="A122" s="414"/>
      <c r="B122" s="237"/>
      <c r="C122" s="237"/>
      <c r="D122" s="432"/>
      <c r="E122" s="235"/>
      <c r="F122" s="236"/>
      <c r="G122" s="235"/>
      <c r="H122" s="234"/>
      <c r="I122" s="234"/>
      <c r="J122" s="234"/>
      <c r="K122" s="234"/>
      <c r="L122" s="41" t="str">
        <f t="shared" si="2"/>
        <v/>
      </c>
      <c r="M122" s="147"/>
    </row>
    <row r="123" spans="1:13" ht="29.25" customHeight="1" thickBot="1">
      <c r="A123" s="414"/>
      <c r="B123" s="237"/>
      <c r="C123" s="237"/>
      <c r="D123" s="432"/>
      <c r="E123" s="235"/>
      <c r="F123" s="236"/>
      <c r="G123" s="235"/>
      <c r="H123" s="234"/>
      <c r="I123" s="234"/>
      <c r="J123" s="234"/>
      <c r="K123" s="234"/>
      <c r="L123" s="41" t="str">
        <f t="shared" si="2"/>
        <v/>
      </c>
      <c r="M123" s="147"/>
    </row>
    <row r="124" spans="1:13" ht="29.25" customHeight="1" thickBot="1">
      <c r="A124" s="414"/>
      <c r="B124" s="237"/>
      <c r="C124" s="237"/>
      <c r="D124" s="432"/>
      <c r="E124" s="235"/>
      <c r="F124" s="236"/>
      <c r="G124" s="235"/>
      <c r="H124" s="234"/>
      <c r="I124" s="234"/>
      <c r="J124" s="234"/>
      <c r="K124" s="234"/>
      <c r="L124" s="41" t="str">
        <f t="shared" si="2"/>
        <v/>
      </c>
      <c r="M124" s="147"/>
    </row>
    <row r="125" spans="1:13" ht="29.25" customHeight="1" thickBot="1">
      <c r="A125" s="414"/>
      <c r="B125" s="237"/>
      <c r="C125" s="237"/>
      <c r="D125" s="432"/>
      <c r="E125" s="235"/>
      <c r="F125" s="236"/>
      <c r="G125" s="235"/>
      <c r="H125" s="234"/>
      <c r="I125" s="234"/>
      <c r="J125" s="234"/>
      <c r="K125" s="234"/>
      <c r="L125" s="41" t="str">
        <f t="shared" si="2"/>
        <v/>
      </c>
      <c r="M125" s="147"/>
    </row>
    <row r="126" spans="1:13" ht="29.25" customHeight="1" thickBot="1">
      <c r="A126" s="414"/>
      <c r="B126" s="237"/>
      <c r="C126" s="237"/>
      <c r="D126" s="432"/>
      <c r="E126" s="235"/>
      <c r="F126" s="236"/>
      <c r="G126" s="235"/>
      <c r="H126" s="234"/>
      <c r="I126" s="234"/>
      <c r="J126" s="234"/>
      <c r="K126" s="234"/>
      <c r="L126" s="41" t="str">
        <f t="shared" si="2"/>
        <v/>
      </c>
      <c r="M126" s="147"/>
    </row>
    <row r="127" spans="1:13" ht="29.25" customHeight="1" thickBot="1">
      <c r="A127" s="414"/>
      <c r="B127" s="237"/>
      <c r="C127" s="237"/>
      <c r="D127" s="432"/>
      <c r="E127" s="235"/>
      <c r="F127" s="236"/>
      <c r="G127" s="235"/>
      <c r="H127" s="234"/>
      <c r="I127" s="234"/>
      <c r="J127" s="234"/>
      <c r="K127" s="234"/>
      <c r="L127" s="41" t="str">
        <f t="shared" si="2"/>
        <v/>
      </c>
      <c r="M127" s="147"/>
    </row>
    <row r="128" spans="1:13" ht="29.25" customHeight="1" thickBot="1">
      <c r="A128" s="414"/>
      <c r="B128" s="237"/>
      <c r="C128" s="237"/>
      <c r="D128" s="432"/>
      <c r="E128" s="235"/>
      <c r="F128" s="236"/>
      <c r="G128" s="235"/>
      <c r="H128" s="234"/>
      <c r="I128" s="234"/>
      <c r="J128" s="234"/>
      <c r="K128" s="234"/>
      <c r="L128" s="41" t="str">
        <f t="shared" si="2"/>
        <v/>
      </c>
      <c r="M128" s="147"/>
    </row>
    <row r="129" spans="1:13" ht="29.25" customHeight="1" thickBot="1">
      <c r="A129" s="414"/>
      <c r="B129" s="237"/>
      <c r="C129" s="237"/>
      <c r="D129" s="432"/>
      <c r="E129" s="235"/>
      <c r="F129" s="236"/>
      <c r="G129" s="235"/>
      <c r="H129" s="234"/>
      <c r="I129" s="234"/>
      <c r="J129" s="234"/>
      <c r="K129" s="234"/>
      <c r="L129" s="41" t="str">
        <f t="shared" si="2"/>
        <v/>
      </c>
      <c r="M129" s="147"/>
    </row>
    <row r="130" spans="1:13" ht="29.25" customHeight="1" thickBot="1">
      <c r="A130" s="414"/>
      <c r="B130" s="237"/>
      <c r="C130" s="237"/>
      <c r="D130" s="432"/>
      <c r="E130" s="235"/>
      <c r="F130" s="236"/>
      <c r="G130" s="235"/>
      <c r="H130" s="234"/>
      <c r="I130" s="234"/>
      <c r="J130" s="234"/>
      <c r="K130" s="234"/>
      <c r="L130" s="41" t="str">
        <f t="shared" si="2"/>
        <v/>
      </c>
      <c r="M130" s="147"/>
    </row>
    <row r="131" spans="1:13" ht="29.25" customHeight="1" thickBot="1">
      <c r="A131" s="414"/>
      <c r="B131" s="237"/>
      <c r="C131" s="237"/>
      <c r="D131" s="432"/>
      <c r="E131" s="235"/>
      <c r="F131" s="236"/>
      <c r="G131" s="235"/>
      <c r="H131" s="234"/>
      <c r="I131" s="234"/>
      <c r="J131" s="234"/>
      <c r="K131" s="234"/>
      <c r="L131" s="41" t="str">
        <f t="shared" si="2"/>
        <v/>
      </c>
      <c r="M131" s="147"/>
    </row>
    <row r="132" spans="1:13" ht="29.25" customHeight="1" thickBot="1">
      <c r="A132" s="414"/>
      <c r="B132" s="237"/>
      <c r="C132" s="237"/>
      <c r="D132" s="432"/>
      <c r="E132" s="235"/>
      <c r="F132" s="236"/>
      <c r="G132" s="235"/>
      <c r="H132" s="234"/>
      <c r="I132" s="234"/>
      <c r="J132" s="234"/>
      <c r="K132" s="234"/>
      <c r="L132" s="41" t="str">
        <f t="shared" si="2"/>
        <v/>
      </c>
      <c r="M132" s="147"/>
    </row>
    <row r="133" spans="1:13" ht="29.25" customHeight="1" thickBot="1">
      <c r="A133" s="414"/>
      <c r="B133" s="237"/>
      <c r="C133" s="237"/>
      <c r="D133" s="432"/>
      <c r="E133" s="235"/>
      <c r="F133" s="236"/>
      <c r="G133" s="235"/>
      <c r="H133" s="234"/>
      <c r="I133" s="234"/>
      <c r="J133" s="234"/>
      <c r="K133" s="234"/>
      <c r="L133" s="41" t="str">
        <f t="shared" si="2"/>
        <v/>
      </c>
      <c r="M133" s="147"/>
    </row>
    <row r="134" spans="1:13" ht="29.25" customHeight="1" thickBot="1">
      <c r="A134" s="414"/>
      <c r="B134" s="237"/>
      <c r="C134" s="237"/>
      <c r="D134" s="432"/>
      <c r="E134" s="235"/>
      <c r="F134" s="236"/>
      <c r="G134" s="235"/>
      <c r="H134" s="234"/>
      <c r="I134" s="234"/>
      <c r="J134" s="234"/>
      <c r="K134" s="234"/>
      <c r="L134" s="41" t="str">
        <f t="shared" si="2"/>
        <v/>
      </c>
      <c r="M134" s="147"/>
    </row>
    <row r="135" spans="1:13" ht="29.25" customHeight="1" thickBot="1">
      <c r="A135" s="414"/>
      <c r="B135" s="237"/>
      <c r="C135" s="237"/>
      <c r="D135" s="432"/>
      <c r="E135" s="235"/>
      <c r="F135" s="236"/>
      <c r="G135" s="235"/>
      <c r="H135" s="234"/>
      <c r="I135" s="234"/>
      <c r="J135" s="234"/>
      <c r="K135" s="234"/>
      <c r="L135" s="41" t="str">
        <f t="shared" si="2"/>
        <v/>
      </c>
      <c r="M135" s="147"/>
    </row>
    <row r="136" spans="1:13" ht="29.25" customHeight="1" thickBot="1">
      <c r="A136" s="414"/>
      <c r="B136" s="237"/>
      <c r="C136" s="237"/>
      <c r="D136" s="432"/>
      <c r="E136" s="235"/>
      <c r="F136" s="236"/>
      <c r="G136" s="235"/>
      <c r="H136" s="234"/>
      <c r="I136" s="234"/>
      <c r="J136" s="234"/>
      <c r="K136" s="234"/>
      <c r="L136" s="41" t="str">
        <f t="shared" si="2"/>
        <v/>
      </c>
      <c r="M136" s="147"/>
    </row>
    <row r="137" spans="1:13" ht="29.25" customHeight="1" thickBot="1">
      <c r="A137" s="414"/>
      <c r="B137" s="237"/>
      <c r="C137" s="237"/>
      <c r="D137" s="432"/>
      <c r="E137" s="235"/>
      <c r="F137" s="236"/>
      <c r="G137" s="235"/>
      <c r="H137" s="234"/>
      <c r="I137" s="234"/>
      <c r="J137" s="234"/>
      <c r="K137" s="234"/>
      <c r="L137" s="41" t="str">
        <f t="shared" si="2"/>
        <v/>
      </c>
      <c r="M137" s="147"/>
    </row>
    <row r="138" spans="1:13" ht="29.25" customHeight="1" thickBot="1">
      <c r="A138" s="414"/>
      <c r="B138" s="237"/>
      <c r="C138" s="237"/>
      <c r="D138" s="432"/>
      <c r="E138" s="235"/>
      <c r="F138" s="236"/>
      <c r="G138" s="235"/>
      <c r="H138" s="234"/>
      <c r="I138" s="234"/>
      <c r="J138" s="234"/>
      <c r="K138" s="234"/>
      <c r="L138" s="41" t="str">
        <f t="shared" ref="L138:L201" si="3">IF((I138+J138-K138)=0, "", (I138+J138-K138))</f>
        <v/>
      </c>
      <c r="M138" s="147"/>
    </row>
    <row r="139" spans="1:13" ht="29.25" customHeight="1" thickBot="1">
      <c r="A139" s="414"/>
      <c r="B139" s="237"/>
      <c r="C139" s="237"/>
      <c r="D139" s="432"/>
      <c r="E139" s="235"/>
      <c r="F139" s="236"/>
      <c r="G139" s="235"/>
      <c r="H139" s="234"/>
      <c r="I139" s="234"/>
      <c r="J139" s="234"/>
      <c r="K139" s="234"/>
      <c r="L139" s="41" t="str">
        <f t="shared" si="3"/>
        <v/>
      </c>
      <c r="M139" s="147"/>
    </row>
    <row r="140" spans="1:13" ht="29.25" customHeight="1" thickBot="1">
      <c r="A140" s="414"/>
      <c r="B140" s="237"/>
      <c r="C140" s="237"/>
      <c r="D140" s="432"/>
      <c r="E140" s="235"/>
      <c r="F140" s="236"/>
      <c r="G140" s="235"/>
      <c r="H140" s="234"/>
      <c r="I140" s="234"/>
      <c r="J140" s="234"/>
      <c r="K140" s="234"/>
      <c r="L140" s="41" t="str">
        <f t="shared" si="3"/>
        <v/>
      </c>
      <c r="M140" s="147"/>
    </row>
    <row r="141" spans="1:13" ht="29.25" customHeight="1" thickBot="1">
      <c r="A141" s="414"/>
      <c r="B141" s="237"/>
      <c r="C141" s="237"/>
      <c r="D141" s="432"/>
      <c r="E141" s="235"/>
      <c r="F141" s="236"/>
      <c r="G141" s="235"/>
      <c r="H141" s="234"/>
      <c r="I141" s="234"/>
      <c r="J141" s="234"/>
      <c r="K141" s="234"/>
      <c r="L141" s="41" t="str">
        <f t="shared" si="3"/>
        <v/>
      </c>
      <c r="M141" s="147"/>
    </row>
    <row r="142" spans="1:13" ht="29.25" customHeight="1" thickBot="1">
      <c r="A142" s="414"/>
      <c r="B142" s="237"/>
      <c r="C142" s="237"/>
      <c r="D142" s="432"/>
      <c r="E142" s="235"/>
      <c r="F142" s="236"/>
      <c r="G142" s="235"/>
      <c r="H142" s="234"/>
      <c r="I142" s="234"/>
      <c r="J142" s="234"/>
      <c r="K142" s="234"/>
      <c r="L142" s="41" t="str">
        <f t="shared" si="3"/>
        <v/>
      </c>
      <c r="M142" s="147"/>
    </row>
    <row r="143" spans="1:13" ht="29.25" customHeight="1" thickBot="1">
      <c r="A143" s="414"/>
      <c r="B143" s="237"/>
      <c r="C143" s="237"/>
      <c r="D143" s="432"/>
      <c r="E143" s="235"/>
      <c r="F143" s="236"/>
      <c r="G143" s="235"/>
      <c r="H143" s="234"/>
      <c r="I143" s="234"/>
      <c r="J143" s="234"/>
      <c r="K143" s="234"/>
      <c r="L143" s="41" t="str">
        <f t="shared" si="3"/>
        <v/>
      </c>
      <c r="M143" s="147"/>
    </row>
    <row r="144" spans="1:13" ht="29.25" customHeight="1" thickBot="1">
      <c r="A144" s="414"/>
      <c r="B144" s="237"/>
      <c r="C144" s="237"/>
      <c r="D144" s="432"/>
      <c r="E144" s="235"/>
      <c r="F144" s="236"/>
      <c r="G144" s="235"/>
      <c r="H144" s="234"/>
      <c r="I144" s="234"/>
      <c r="J144" s="234"/>
      <c r="K144" s="234"/>
      <c r="L144" s="41" t="str">
        <f t="shared" si="3"/>
        <v/>
      </c>
      <c r="M144" s="147"/>
    </row>
    <row r="145" spans="1:13" ht="29.25" customHeight="1" thickBot="1">
      <c r="A145" s="414"/>
      <c r="B145" s="237"/>
      <c r="C145" s="237"/>
      <c r="D145" s="432"/>
      <c r="E145" s="235"/>
      <c r="F145" s="236"/>
      <c r="G145" s="235"/>
      <c r="H145" s="234"/>
      <c r="I145" s="234"/>
      <c r="J145" s="234"/>
      <c r="K145" s="234"/>
      <c r="L145" s="41" t="str">
        <f t="shared" si="3"/>
        <v/>
      </c>
      <c r="M145" s="147"/>
    </row>
    <row r="146" spans="1:13" ht="29.25" customHeight="1" thickBot="1">
      <c r="A146" s="414"/>
      <c r="B146" s="237"/>
      <c r="C146" s="237"/>
      <c r="D146" s="432"/>
      <c r="E146" s="235"/>
      <c r="F146" s="236"/>
      <c r="G146" s="235"/>
      <c r="H146" s="234"/>
      <c r="I146" s="234"/>
      <c r="J146" s="234"/>
      <c r="K146" s="234"/>
      <c r="L146" s="41" t="str">
        <f t="shared" si="3"/>
        <v/>
      </c>
      <c r="M146" s="147"/>
    </row>
    <row r="147" spans="1:13" ht="29.25" customHeight="1" thickBot="1">
      <c r="A147" s="414"/>
      <c r="B147" s="237"/>
      <c r="C147" s="237"/>
      <c r="D147" s="432"/>
      <c r="E147" s="235"/>
      <c r="F147" s="236"/>
      <c r="G147" s="235"/>
      <c r="H147" s="234"/>
      <c r="I147" s="234"/>
      <c r="J147" s="234"/>
      <c r="K147" s="234"/>
      <c r="L147" s="41" t="str">
        <f t="shared" si="3"/>
        <v/>
      </c>
      <c r="M147" s="147"/>
    </row>
    <row r="148" spans="1:13" ht="29.25" customHeight="1" thickBot="1">
      <c r="A148" s="414"/>
      <c r="B148" s="237"/>
      <c r="C148" s="237"/>
      <c r="D148" s="432"/>
      <c r="E148" s="235"/>
      <c r="F148" s="236"/>
      <c r="G148" s="235"/>
      <c r="H148" s="234"/>
      <c r="I148" s="234"/>
      <c r="J148" s="234"/>
      <c r="K148" s="234"/>
      <c r="L148" s="41" t="str">
        <f t="shared" si="3"/>
        <v/>
      </c>
      <c r="M148" s="147"/>
    </row>
    <row r="149" spans="1:13" ht="29.25" customHeight="1" thickBot="1">
      <c r="A149" s="414"/>
      <c r="B149" s="237"/>
      <c r="C149" s="237"/>
      <c r="D149" s="432"/>
      <c r="E149" s="235"/>
      <c r="F149" s="236"/>
      <c r="G149" s="235"/>
      <c r="H149" s="234"/>
      <c r="I149" s="234"/>
      <c r="J149" s="234"/>
      <c r="K149" s="234"/>
      <c r="L149" s="41" t="str">
        <f t="shared" si="3"/>
        <v/>
      </c>
      <c r="M149" s="147"/>
    </row>
    <row r="150" spans="1:13" ht="29.25" customHeight="1" thickBot="1">
      <c r="A150" s="414"/>
      <c r="B150" s="237"/>
      <c r="C150" s="237"/>
      <c r="D150" s="432"/>
      <c r="E150" s="235"/>
      <c r="F150" s="236"/>
      <c r="G150" s="235"/>
      <c r="H150" s="234"/>
      <c r="I150" s="234"/>
      <c r="J150" s="234"/>
      <c r="K150" s="234"/>
      <c r="L150" s="41" t="str">
        <f t="shared" si="3"/>
        <v/>
      </c>
      <c r="M150" s="147"/>
    </row>
    <row r="151" spans="1:13" ht="29.25" customHeight="1" thickBot="1">
      <c r="A151" s="414"/>
      <c r="B151" s="237"/>
      <c r="C151" s="237"/>
      <c r="D151" s="432"/>
      <c r="E151" s="235"/>
      <c r="F151" s="236"/>
      <c r="G151" s="235"/>
      <c r="H151" s="234"/>
      <c r="I151" s="234"/>
      <c r="J151" s="234"/>
      <c r="K151" s="234"/>
      <c r="L151" s="41" t="str">
        <f t="shared" si="3"/>
        <v/>
      </c>
      <c r="M151" s="147"/>
    </row>
    <row r="152" spans="1:13" ht="29.25" customHeight="1" thickBot="1">
      <c r="A152" s="414"/>
      <c r="B152" s="237"/>
      <c r="C152" s="237"/>
      <c r="D152" s="432"/>
      <c r="E152" s="235"/>
      <c r="F152" s="236"/>
      <c r="G152" s="235"/>
      <c r="H152" s="234"/>
      <c r="I152" s="234"/>
      <c r="J152" s="234"/>
      <c r="K152" s="234"/>
      <c r="L152" s="41" t="str">
        <f t="shared" si="3"/>
        <v/>
      </c>
      <c r="M152" s="147"/>
    </row>
    <row r="153" spans="1:13" ht="29.25" customHeight="1" thickBot="1">
      <c r="A153" s="414"/>
      <c r="B153" s="237"/>
      <c r="C153" s="237"/>
      <c r="D153" s="432"/>
      <c r="E153" s="235"/>
      <c r="F153" s="236"/>
      <c r="G153" s="235"/>
      <c r="H153" s="234"/>
      <c r="I153" s="234"/>
      <c r="J153" s="234"/>
      <c r="K153" s="234"/>
      <c r="L153" s="41" t="str">
        <f t="shared" si="3"/>
        <v/>
      </c>
      <c r="M153" s="147"/>
    </row>
    <row r="154" spans="1:13" ht="29.25" customHeight="1" thickBot="1">
      <c r="A154" s="414"/>
      <c r="B154" s="237"/>
      <c r="C154" s="237"/>
      <c r="D154" s="432"/>
      <c r="E154" s="235"/>
      <c r="F154" s="236"/>
      <c r="G154" s="235"/>
      <c r="H154" s="234"/>
      <c r="I154" s="234"/>
      <c r="J154" s="234"/>
      <c r="K154" s="234"/>
      <c r="L154" s="41" t="str">
        <f t="shared" si="3"/>
        <v/>
      </c>
      <c r="M154" s="147"/>
    </row>
    <row r="155" spans="1:13" ht="29.25" customHeight="1" thickBot="1">
      <c r="A155" s="414"/>
      <c r="B155" s="237"/>
      <c r="C155" s="237"/>
      <c r="D155" s="432"/>
      <c r="E155" s="235"/>
      <c r="F155" s="236"/>
      <c r="G155" s="235"/>
      <c r="H155" s="234"/>
      <c r="I155" s="234"/>
      <c r="J155" s="234"/>
      <c r="K155" s="234"/>
      <c r="L155" s="41" t="str">
        <f t="shared" si="3"/>
        <v/>
      </c>
      <c r="M155" s="147"/>
    </row>
    <row r="156" spans="1:13" ht="29.25" customHeight="1" thickBot="1">
      <c r="A156" s="414"/>
      <c r="B156" s="237"/>
      <c r="C156" s="237"/>
      <c r="D156" s="432"/>
      <c r="E156" s="235"/>
      <c r="F156" s="236"/>
      <c r="G156" s="235"/>
      <c r="H156" s="234"/>
      <c r="I156" s="234"/>
      <c r="J156" s="234"/>
      <c r="K156" s="234"/>
      <c r="L156" s="41" t="str">
        <f t="shared" si="3"/>
        <v/>
      </c>
      <c r="M156" s="147"/>
    </row>
    <row r="157" spans="1:13" ht="29.25" customHeight="1" thickBot="1">
      <c r="A157" s="414"/>
      <c r="B157" s="237"/>
      <c r="C157" s="237"/>
      <c r="D157" s="432"/>
      <c r="E157" s="235"/>
      <c r="F157" s="236"/>
      <c r="G157" s="235"/>
      <c r="H157" s="234"/>
      <c r="I157" s="234"/>
      <c r="J157" s="234"/>
      <c r="K157" s="234"/>
      <c r="L157" s="41" t="str">
        <f t="shared" si="3"/>
        <v/>
      </c>
      <c r="M157" s="147"/>
    </row>
    <row r="158" spans="1:13" ht="29.25" customHeight="1" thickBot="1">
      <c r="A158" s="414"/>
      <c r="B158" s="237"/>
      <c r="C158" s="237"/>
      <c r="D158" s="432"/>
      <c r="E158" s="235"/>
      <c r="F158" s="236"/>
      <c r="G158" s="235"/>
      <c r="H158" s="234"/>
      <c r="I158" s="234"/>
      <c r="J158" s="234"/>
      <c r="K158" s="234"/>
      <c r="L158" s="41" t="str">
        <f t="shared" si="3"/>
        <v/>
      </c>
      <c r="M158" s="147"/>
    </row>
    <row r="159" spans="1:13" ht="29.25" customHeight="1" thickBot="1">
      <c r="A159" s="414"/>
      <c r="B159" s="237"/>
      <c r="C159" s="237"/>
      <c r="D159" s="432"/>
      <c r="E159" s="235"/>
      <c r="F159" s="236"/>
      <c r="G159" s="235"/>
      <c r="H159" s="234"/>
      <c r="I159" s="234"/>
      <c r="J159" s="234"/>
      <c r="K159" s="234"/>
      <c r="L159" s="41" t="str">
        <f t="shared" si="3"/>
        <v/>
      </c>
      <c r="M159" s="147"/>
    </row>
    <row r="160" spans="1:13" ht="29.25" customHeight="1" thickBot="1">
      <c r="A160" s="414"/>
      <c r="B160" s="237"/>
      <c r="C160" s="237"/>
      <c r="D160" s="432"/>
      <c r="E160" s="235"/>
      <c r="F160" s="236"/>
      <c r="G160" s="235"/>
      <c r="H160" s="234"/>
      <c r="I160" s="234"/>
      <c r="J160" s="234"/>
      <c r="K160" s="234"/>
      <c r="L160" s="41" t="str">
        <f t="shared" si="3"/>
        <v/>
      </c>
      <c r="M160" s="147"/>
    </row>
    <row r="161" spans="1:13" ht="29.25" customHeight="1" thickBot="1">
      <c r="A161" s="414"/>
      <c r="B161" s="237"/>
      <c r="C161" s="237"/>
      <c r="D161" s="432"/>
      <c r="E161" s="235"/>
      <c r="F161" s="236"/>
      <c r="G161" s="235"/>
      <c r="H161" s="234"/>
      <c r="I161" s="234"/>
      <c r="J161" s="234"/>
      <c r="K161" s="234"/>
      <c r="L161" s="41" t="str">
        <f t="shared" si="3"/>
        <v/>
      </c>
      <c r="M161" s="147"/>
    </row>
    <row r="162" spans="1:13" ht="29.25" customHeight="1" thickBot="1">
      <c r="A162" s="414"/>
      <c r="B162" s="237"/>
      <c r="C162" s="237"/>
      <c r="D162" s="432"/>
      <c r="E162" s="235"/>
      <c r="F162" s="236"/>
      <c r="G162" s="235"/>
      <c r="H162" s="234"/>
      <c r="I162" s="234"/>
      <c r="J162" s="234"/>
      <c r="K162" s="234"/>
      <c r="L162" s="41" t="str">
        <f t="shared" si="3"/>
        <v/>
      </c>
      <c r="M162" s="147"/>
    </row>
    <row r="163" spans="1:13" ht="29.25" customHeight="1" thickBot="1">
      <c r="A163" s="414"/>
      <c r="B163" s="237"/>
      <c r="C163" s="237"/>
      <c r="D163" s="432"/>
      <c r="E163" s="235"/>
      <c r="F163" s="236"/>
      <c r="G163" s="235"/>
      <c r="H163" s="234"/>
      <c r="I163" s="234"/>
      <c r="J163" s="234"/>
      <c r="K163" s="234"/>
      <c r="L163" s="41" t="str">
        <f t="shared" si="3"/>
        <v/>
      </c>
      <c r="M163" s="147"/>
    </row>
    <row r="164" spans="1:13" ht="29.25" customHeight="1" thickBot="1">
      <c r="A164" s="414"/>
      <c r="B164" s="237"/>
      <c r="C164" s="237"/>
      <c r="D164" s="432"/>
      <c r="E164" s="235"/>
      <c r="F164" s="236"/>
      <c r="G164" s="235"/>
      <c r="H164" s="234"/>
      <c r="I164" s="234"/>
      <c r="J164" s="234"/>
      <c r="K164" s="234"/>
      <c r="L164" s="41" t="str">
        <f t="shared" si="3"/>
        <v/>
      </c>
      <c r="M164" s="147"/>
    </row>
    <row r="165" spans="1:13" ht="29.25" customHeight="1" thickBot="1">
      <c r="A165" s="414"/>
      <c r="B165" s="237"/>
      <c r="C165" s="237"/>
      <c r="D165" s="432"/>
      <c r="E165" s="235"/>
      <c r="F165" s="236"/>
      <c r="G165" s="235"/>
      <c r="H165" s="234"/>
      <c r="I165" s="234"/>
      <c r="J165" s="234"/>
      <c r="K165" s="234"/>
      <c r="L165" s="41" t="str">
        <f t="shared" si="3"/>
        <v/>
      </c>
      <c r="M165" s="147"/>
    </row>
    <row r="166" spans="1:13" ht="29.25" customHeight="1" thickBot="1">
      <c r="A166" s="414"/>
      <c r="B166" s="237"/>
      <c r="C166" s="237"/>
      <c r="D166" s="432"/>
      <c r="E166" s="235"/>
      <c r="F166" s="236"/>
      <c r="G166" s="235"/>
      <c r="H166" s="234"/>
      <c r="I166" s="234"/>
      <c r="J166" s="234"/>
      <c r="K166" s="234"/>
      <c r="L166" s="41" t="str">
        <f t="shared" si="3"/>
        <v/>
      </c>
      <c r="M166" s="147"/>
    </row>
    <row r="167" spans="1:13" ht="29.25" customHeight="1" thickBot="1">
      <c r="A167" s="414"/>
      <c r="B167" s="237"/>
      <c r="C167" s="237"/>
      <c r="D167" s="432"/>
      <c r="E167" s="235"/>
      <c r="F167" s="236"/>
      <c r="G167" s="235"/>
      <c r="H167" s="234"/>
      <c r="I167" s="234"/>
      <c r="J167" s="234"/>
      <c r="K167" s="234"/>
      <c r="L167" s="41" t="str">
        <f t="shared" si="3"/>
        <v/>
      </c>
      <c r="M167" s="147"/>
    </row>
    <row r="168" spans="1:13" ht="29.25" customHeight="1" thickBot="1">
      <c r="A168" s="414"/>
      <c r="B168" s="237"/>
      <c r="C168" s="237"/>
      <c r="D168" s="432"/>
      <c r="E168" s="235"/>
      <c r="F168" s="236"/>
      <c r="G168" s="235"/>
      <c r="H168" s="234"/>
      <c r="I168" s="234"/>
      <c r="J168" s="234"/>
      <c r="K168" s="234"/>
      <c r="L168" s="41" t="str">
        <f t="shared" si="3"/>
        <v/>
      </c>
      <c r="M168" s="147"/>
    </row>
    <row r="169" spans="1:13" ht="29.25" customHeight="1" thickBot="1">
      <c r="A169" s="414"/>
      <c r="B169" s="237"/>
      <c r="C169" s="237"/>
      <c r="D169" s="432"/>
      <c r="E169" s="235"/>
      <c r="F169" s="236"/>
      <c r="G169" s="235"/>
      <c r="H169" s="234"/>
      <c r="I169" s="234"/>
      <c r="J169" s="234"/>
      <c r="K169" s="234"/>
      <c r="L169" s="41" t="str">
        <f t="shared" si="3"/>
        <v/>
      </c>
      <c r="M169" s="147"/>
    </row>
    <row r="170" spans="1:13" ht="29.25" customHeight="1" thickBot="1">
      <c r="A170" s="414"/>
      <c r="B170" s="237"/>
      <c r="C170" s="237"/>
      <c r="D170" s="432"/>
      <c r="E170" s="235"/>
      <c r="F170" s="236"/>
      <c r="G170" s="235"/>
      <c r="H170" s="234"/>
      <c r="I170" s="234"/>
      <c r="J170" s="234"/>
      <c r="K170" s="234"/>
      <c r="L170" s="41" t="str">
        <f t="shared" si="3"/>
        <v/>
      </c>
      <c r="M170" s="147"/>
    </row>
    <row r="171" spans="1:13" ht="29.25" customHeight="1" thickBot="1">
      <c r="A171" s="414"/>
      <c r="B171" s="237"/>
      <c r="C171" s="237"/>
      <c r="D171" s="432"/>
      <c r="E171" s="235"/>
      <c r="F171" s="236"/>
      <c r="G171" s="235"/>
      <c r="H171" s="234"/>
      <c r="I171" s="234"/>
      <c r="J171" s="234"/>
      <c r="K171" s="234"/>
      <c r="L171" s="41" t="str">
        <f t="shared" si="3"/>
        <v/>
      </c>
      <c r="M171" s="147"/>
    </row>
    <row r="172" spans="1:13" ht="29.25" customHeight="1" thickBot="1">
      <c r="A172" s="414"/>
      <c r="B172" s="237"/>
      <c r="C172" s="237"/>
      <c r="D172" s="432"/>
      <c r="E172" s="235"/>
      <c r="F172" s="236"/>
      <c r="G172" s="235"/>
      <c r="H172" s="234"/>
      <c r="I172" s="234"/>
      <c r="J172" s="234"/>
      <c r="K172" s="234"/>
      <c r="L172" s="41" t="str">
        <f t="shared" si="3"/>
        <v/>
      </c>
      <c r="M172" s="147"/>
    </row>
    <row r="173" spans="1:13" ht="29.25" customHeight="1" thickBot="1">
      <c r="A173" s="414"/>
      <c r="B173" s="237"/>
      <c r="C173" s="237"/>
      <c r="D173" s="432"/>
      <c r="E173" s="235"/>
      <c r="F173" s="236"/>
      <c r="G173" s="235"/>
      <c r="H173" s="234"/>
      <c r="I173" s="234"/>
      <c r="J173" s="234"/>
      <c r="K173" s="234"/>
      <c r="L173" s="41" t="str">
        <f t="shared" si="3"/>
        <v/>
      </c>
      <c r="M173" s="147"/>
    </row>
    <row r="174" spans="1:13" ht="29.25" customHeight="1" thickBot="1">
      <c r="A174" s="414"/>
      <c r="B174" s="237"/>
      <c r="C174" s="237"/>
      <c r="D174" s="432"/>
      <c r="E174" s="235"/>
      <c r="F174" s="236"/>
      <c r="G174" s="235"/>
      <c r="H174" s="234"/>
      <c r="I174" s="234"/>
      <c r="J174" s="234"/>
      <c r="K174" s="234"/>
      <c r="L174" s="41" t="str">
        <f t="shared" si="3"/>
        <v/>
      </c>
      <c r="M174" s="147"/>
    </row>
    <row r="175" spans="1:13" ht="29.25" customHeight="1" thickBot="1">
      <c r="A175" s="414"/>
      <c r="B175" s="237"/>
      <c r="C175" s="237"/>
      <c r="D175" s="432"/>
      <c r="E175" s="235"/>
      <c r="F175" s="236"/>
      <c r="G175" s="235"/>
      <c r="H175" s="234"/>
      <c r="I175" s="234"/>
      <c r="J175" s="234"/>
      <c r="K175" s="234"/>
      <c r="L175" s="41" t="str">
        <f t="shared" si="3"/>
        <v/>
      </c>
      <c r="M175" s="147"/>
    </row>
    <row r="176" spans="1:13" ht="29.25" customHeight="1" thickBot="1">
      <c r="A176" s="414"/>
      <c r="B176" s="237"/>
      <c r="C176" s="237"/>
      <c r="D176" s="432"/>
      <c r="E176" s="235"/>
      <c r="F176" s="236"/>
      <c r="G176" s="235"/>
      <c r="H176" s="234"/>
      <c r="I176" s="234"/>
      <c r="J176" s="234"/>
      <c r="K176" s="234"/>
      <c r="L176" s="41" t="str">
        <f t="shared" si="3"/>
        <v/>
      </c>
      <c r="M176" s="147"/>
    </row>
    <row r="177" spans="1:13" ht="29.25" customHeight="1" thickBot="1">
      <c r="A177" s="414"/>
      <c r="B177" s="237"/>
      <c r="C177" s="237"/>
      <c r="D177" s="432"/>
      <c r="E177" s="235"/>
      <c r="F177" s="236"/>
      <c r="G177" s="235"/>
      <c r="H177" s="234"/>
      <c r="I177" s="234"/>
      <c r="J177" s="234"/>
      <c r="K177" s="234"/>
      <c r="L177" s="41" t="str">
        <f t="shared" si="3"/>
        <v/>
      </c>
      <c r="M177" s="147"/>
    </row>
    <row r="178" spans="1:13" ht="29.25" customHeight="1" thickBot="1">
      <c r="A178" s="414"/>
      <c r="B178" s="237"/>
      <c r="C178" s="237"/>
      <c r="D178" s="432"/>
      <c r="E178" s="235"/>
      <c r="F178" s="236"/>
      <c r="G178" s="235"/>
      <c r="H178" s="234"/>
      <c r="I178" s="234"/>
      <c r="J178" s="234"/>
      <c r="K178" s="234"/>
      <c r="L178" s="41" t="str">
        <f t="shared" si="3"/>
        <v/>
      </c>
      <c r="M178" s="147"/>
    </row>
    <row r="179" spans="1:13" ht="29.25" customHeight="1" thickBot="1">
      <c r="A179" s="414"/>
      <c r="B179" s="237"/>
      <c r="C179" s="237"/>
      <c r="D179" s="432"/>
      <c r="E179" s="235"/>
      <c r="F179" s="236"/>
      <c r="G179" s="235"/>
      <c r="H179" s="234"/>
      <c r="I179" s="234"/>
      <c r="J179" s="234"/>
      <c r="K179" s="234"/>
      <c r="L179" s="41" t="str">
        <f t="shared" si="3"/>
        <v/>
      </c>
      <c r="M179" s="147"/>
    </row>
    <row r="180" spans="1:13" ht="29.25" customHeight="1" thickBot="1">
      <c r="A180" s="414"/>
      <c r="B180" s="237"/>
      <c r="C180" s="237"/>
      <c r="D180" s="432"/>
      <c r="E180" s="235"/>
      <c r="F180" s="236"/>
      <c r="G180" s="235"/>
      <c r="H180" s="234"/>
      <c r="I180" s="234"/>
      <c r="J180" s="234"/>
      <c r="K180" s="234"/>
      <c r="L180" s="41" t="str">
        <f t="shared" si="3"/>
        <v/>
      </c>
      <c r="M180" s="147"/>
    </row>
    <row r="181" spans="1:13" ht="29.25" customHeight="1" thickBot="1">
      <c r="A181" s="414"/>
      <c r="B181" s="237"/>
      <c r="C181" s="237"/>
      <c r="D181" s="432"/>
      <c r="E181" s="235"/>
      <c r="F181" s="236"/>
      <c r="G181" s="235"/>
      <c r="H181" s="234"/>
      <c r="I181" s="234"/>
      <c r="J181" s="234"/>
      <c r="K181" s="234"/>
      <c r="L181" s="41" t="str">
        <f t="shared" si="3"/>
        <v/>
      </c>
      <c r="M181" s="147"/>
    </row>
    <row r="182" spans="1:13" ht="29.25" customHeight="1" thickBot="1">
      <c r="A182" s="414"/>
      <c r="B182" s="237"/>
      <c r="C182" s="237"/>
      <c r="D182" s="432"/>
      <c r="E182" s="235"/>
      <c r="F182" s="236"/>
      <c r="G182" s="235"/>
      <c r="H182" s="234"/>
      <c r="I182" s="234"/>
      <c r="J182" s="234"/>
      <c r="K182" s="234"/>
      <c r="L182" s="41" t="str">
        <f t="shared" si="3"/>
        <v/>
      </c>
      <c r="M182" s="147"/>
    </row>
    <row r="183" spans="1:13" ht="29.25" customHeight="1" thickBot="1">
      <c r="A183" s="414"/>
      <c r="B183" s="237"/>
      <c r="C183" s="237"/>
      <c r="D183" s="432"/>
      <c r="E183" s="235"/>
      <c r="F183" s="236"/>
      <c r="G183" s="235"/>
      <c r="H183" s="234"/>
      <c r="I183" s="234"/>
      <c r="J183" s="234"/>
      <c r="K183" s="234"/>
      <c r="L183" s="41" t="str">
        <f t="shared" si="3"/>
        <v/>
      </c>
      <c r="M183" s="147"/>
    </row>
    <row r="184" spans="1:13" ht="29.25" customHeight="1" thickBot="1">
      <c r="A184" s="414"/>
      <c r="B184" s="237"/>
      <c r="C184" s="237"/>
      <c r="D184" s="432"/>
      <c r="E184" s="235"/>
      <c r="F184" s="236"/>
      <c r="G184" s="235"/>
      <c r="H184" s="234"/>
      <c r="I184" s="234"/>
      <c r="J184" s="234"/>
      <c r="K184" s="234"/>
      <c r="L184" s="41" t="str">
        <f t="shared" si="3"/>
        <v/>
      </c>
      <c r="M184" s="147"/>
    </row>
    <row r="185" spans="1:13" ht="29.25" customHeight="1" thickBot="1">
      <c r="A185" s="414"/>
      <c r="B185" s="237"/>
      <c r="C185" s="237"/>
      <c r="D185" s="432"/>
      <c r="E185" s="235"/>
      <c r="F185" s="236"/>
      <c r="G185" s="235"/>
      <c r="H185" s="234"/>
      <c r="I185" s="234"/>
      <c r="J185" s="234"/>
      <c r="K185" s="234"/>
      <c r="L185" s="41" t="str">
        <f t="shared" si="3"/>
        <v/>
      </c>
      <c r="M185" s="147"/>
    </row>
    <row r="186" spans="1:13" ht="29.25" customHeight="1" thickBot="1">
      <c r="A186" s="414"/>
      <c r="B186" s="237"/>
      <c r="C186" s="237"/>
      <c r="D186" s="432"/>
      <c r="E186" s="235"/>
      <c r="F186" s="236"/>
      <c r="G186" s="235"/>
      <c r="H186" s="234"/>
      <c r="I186" s="234"/>
      <c r="J186" s="234"/>
      <c r="K186" s="234"/>
      <c r="L186" s="41" t="str">
        <f t="shared" si="3"/>
        <v/>
      </c>
      <c r="M186" s="147"/>
    </row>
    <row r="187" spans="1:13" ht="29.25" customHeight="1" thickBot="1">
      <c r="A187" s="414"/>
      <c r="B187" s="237"/>
      <c r="C187" s="237"/>
      <c r="D187" s="432"/>
      <c r="E187" s="235"/>
      <c r="F187" s="236"/>
      <c r="G187" s="235"/>
      <c r="H187" s="234"/>
      <c r="I187" s="234"/>
      <c r="J187" s="234"/>
      <c r="K187" s="234"/>
      <c r="L187" s="41" t="str">
        <f t="shared" si="3"/>
        <v/>
      </c>
      <c r="M187" s="147"/>
    </row>
    <row r="188" spans="1:13" ht="29.25" customHeight="1" thickBot="1">
      <c r="A188" s="414"/>
      <c r="B188" s="237"/>
      <c r="C188" s="237"/>
      <c r="D188" s="432"/>
      <c r="E188" s="235"/>
      <c r="F188" s="236"/>
      <c r="G188" s="235"/>
      <c r="H188" s="234"/>
      <c r="I188" s="234"/>
      <c r="J188" s="234"/>
      <c r="K188" s="234"/>
      <c r="L188" s="41" t="str">
        <f t="shared" si="3"/>
        <v/>
      </c>
      <c r="M188" s="147"/>
    </row>
    <row r="189" spans="1:13" ht="29.25" customHeight="1" thickBot="1">
      <c r="A189" s="414"/>
      <c r="B189" s="237"/>
      <c r="C189" s="237"/>
      <c r="D189" s="432"/>
      <c r="E189" s="235"/>
      <c r="F189" s="236"/>
      <c r="G189" s="235"/>
      <c r="H189" s="234"/>
      <c r="I189" s="234"/>
      <c r="J189" s="234"/>
      <c r="K189" s="234"/>
      <c r="L189" s="41" t="str">
        <f t="shared" si="3"/>
        <v/>
      </c>
      <c r="M189" s="147"/>
    </row>
    <row r="190" spans="1:13" ht="29.25" customHeight="1" thickBot="1">
      <c r="A190" s="414"/>
      <c r="B190" s="237"/>
      <c r="C190" s="237"/>
      <c r="D190" s="432"/>
      <c r="E190" s="235"/>
      <c r="F190" s="236"/>
      <c r="G190" s="235"/>
      <c r="H190" s="234"/>
      <c r="I190" s="234"/>
      <c r="J190" s="234"/>
      <c r="K190" s="234"/>
      <c r="L190" s="41" t="str">
        <f t="shared" si="3"/>
        <v/>
      </c>
      <c r="M190" s="147"/>
    </row>
    <row r="191" spans="1:13" ht="29.25" customHeight="1" thickBot="1">
      <c r="A191" s="414"/>
      <c r="B191" s="237"/>
      <c r="C191" s="237"/>
      <c r="D191" s="432"/>
      <c r="E191" s="235"/>
      <c r="F191" s="236"/>
      <c r="G191" s="235"/>
      <c r="H191" s="234"/>
      <c r="I191" s="234"/>
      <c r="J191" s="234"/>
      <c r="K191" s="234"/>
      <c r="L191" s="41" t="str">
        <f t="shared" si="3"/>
        <v/>
      </c>
      <c r="M191" s="147"/>
    </row>
    <row r="192" spans="1:13" ht="29.25" customHeight="1" thickBot="1">
      <c r="A192" s="414"/>
      <c r="B192" s="237"/>
      <c r="C192" s="237"/>
      <c r="D192" s="432"/>
      <c r="E192" s="235"/>
      <c r="F192" s="236"/>
      <c r="G192" s="235"/>
      <c r="H192" s="234"/>
      <c r="I192" s="234"/>
      <c r="J192" s="234"/>
      <c r="K192" s="234"/>
      <c r="L192" s="41" t="str">
        <f t="shared" si="3"/>
        <v/>
      </c>
      <c r="M192" s="147"/>
    </row>
    <row r="193" spans="1:13" ht="29.25" customHeight="1" thickBot="1">
      <c r="A193" s="414"/>
      <c r="B193" s="237"/>
      <c r="C193" s="237"/>
      <c r="D193" s="432"/>
      <c r="E193" s="235"/>
      <c r="F193" s="236"/>
      <c r="G193" s="235"/>
      <c r="H193" s="234"/>
      <c r="I193" s="234"/>
      <c r="J193" s="234"/>
      <c r="K193" s="234"/>
      <c r="L193" s="41" t="str">
        <f t="shared" si="3"/>
        <v/>
      </c>
      <c r="M193" s="147"/>
    </row>
    <row r="194" spans="1:13" ht="29.25" customHeight="1" thickBot="1">
      <c r="A194" s="414"/>
      <c r="B194" s="237"/>
      <c r="C194" s="237"/>
      <c r="D194" s="432"/>
      <c r="E194" s="235"/>
      <c r="F194" s="236"/>
      <c r="G194" s="235"/>
      <c r="H194" s="234"/>
      <c r="I194" s="234"/>
      <c r="J194" s="234"/>
      <c r="K194" s="234"/>
      <c r="L194" s="41" t="str">
        <f t="shared" si="3"/>
        <v/>
      </c>
      <c r="M194" s="147"/>
    </row>
    <row r="195" spans="1:13" ht="29.25" customHeight="1" thickBot="1">
      <c r="A195" s="414"/>
      <c r="B195" s="237"/>
      <c r="C195" s="237"/>
      <c r="D195" s="432"/>
      <c r="E195" s="235"/>
      <c r="F195" s="236"/>
      <c r="G195" s="235"/>
      <c r="H195" s="234"/>
      <c r="I195" s="234"/>
      <c r="J195" s="234"/>
      <c r="K195" s="234"/>
      <c r="L195" s="41" t="str">
        <f t="shared" si="3"/>
        <v/>
      </c>
      <c r="M195" s="147"/>
    </row>
    <row r="196" spans="1:13" ht="29.25" customHeight="1" thickBot="1">
      <c r="A196" s="414"/>
      <c r="B196" s="237"/>
      <c r="C196" s="237"/>
      <c r="D196" s="432"/>
      <c r="E196" s="235"/>
      <c r="F196" s="236"/>
      <c r="G196" s="235"/>
      <c r="H196" s="234"/>
      <c r="I196" s="234"/>
      <c r="J196" s="234"/>
      <c r="K196" s="234"/>
      <c r="L196" s="41" t="str">
        <f t="shared" si="3"/>
        <v/>
      </c>
      <c r="M196" s="147"/>
    </row>
    <row r="197" spans="1:13" ht="29.25" customHeight="1" thickBot="1">
      <c r="A197" s="414"/>
      <c r="B197" s="237"/>
      <c r="C197" s="237"/>
      <c r="D197" s="432"/>
      <c r="E197" s="235"/>
      <c r="F197" s="236"/>
      <c r="G197" s="235"/>
      <c r="H197" s="234"/>
      <c r="I197" s="234"/>
      <c r="J197" s="234"/>
      <c r="K197" s="234"/>
      <c r="L197" s="41" t="str">
        <f t="shared" si="3"/>
        <v/>
      </c>
      <c r="M197" s="147"/>
    </row>
    <row r="198" spans="1:13" ht="29.25" customHeight="1" thickBot="1">
      <c r="A198" s="414"/>
      <c r="B198" s="237"/>
      <c r="C198" s="237"/>
      <c r="D198" s="432"/>
      <c r="E198" s="235"/>
      <c r="F198" s="236"/>
      <c r="G198" s="235"/>
      <c r="H198" s="234"/>
      <c r="I198" s="234"/>
      <c r="J198" s="234"/>
      <c r="K198" s="234"/>
      <c r="L198" s="41" t="str">
        <f t="shared" si="3"/>
        <v/>
      </c>
      <c r="M198" s="147"/>
    </row>
    <row r="199" spans="1:13" ht="29.25" customHeight="1" thickBot="1">
      <c r="A199" s="414"/>
      <c r="B199" s="237"/>
      <c r="C199" s="237"/>
      <c r="D199" s="432"/>
      <c r="E199" s="235"/>
      <c r="F199" s="236"/>
      <c r="G199" s="235"/>
      <c r="H199" s="234"/>
      <c r="I199" s="234"/>
      <c r="J199" s="234"/>
      <c r="K199" s="234"/>
      <c r="L199" s="41" t="str">
        <f t="shared" si="3"/>
        <v/>
      </c>
      <c r="M199" s="147"/>
    </row>
    <row r="200" spans="1:13" ht="29.25" customHeight="1" thickBot="1">
      <c r="A200" s="414"/>
      <c r="B200" s="237"/>
      <c r="C200" s="237"/>
      <c r="D200" s="432"/>
      <c r="E200" s="235"/>
      <c r="F200" s="236"/>
      <c r="G200" s="235"/>
      <c r="H200" s="234"/>
      <c r="I200" s="234"/>
      <c r="J200" s="234"/>
      <c r="K200" s="234"/>
      <c r="L200" s="41" t="str">
        <f t="shared" si="3"/>
        <v/>
      </c>
      <c r="M200" s="147"/>
    </row>
    <row r="201" spans="1:13" ht="29.25" customHeight="1" thickBot="1">
      <c r="A201" s="414"/>
      <c r="B201" s="237"/>
      <c r="C201" s="237"/>
      <c r="D201" s="432"/>
      <c r="E201" s="235"/>
      <c r="F201" s="236"/>
      <c r="G201" s="235"/>
      <c r="H201" s="234"/>
      <c r="I201" s="234"/>
      <c r="J201" s="234"/>
      <c r="K201" s="234"/>
      <c r="L201" s="41" t="str">
        <f t="shared" si="3"/>
        <v/>
      </c>
      <c r="M201" s="147"/>
    </row>
    <row r="202" spans="1:13" ht="29.25" customHeight="1" thickBot="1">
      <c r="A202" s="414"/>
      <c r="B202" s="237"/>
      <c r="C202" s="237"/>
      <c r="D202" s="432"/>
      <c r="E202" s="235"/>
      <c r="F202" s="236"/>
      <c r="G202" s="235"/>
      <c r="H202" s="234"/>
      <c r="I202" s="234"/>
      <c r="J202" s="234"/>
      <c r="K202" s="234"/>
      <c r="L202" s="41" t="str">
        <f t="shared" ref="L202:L258" si="4">IF((I202+J202-K202)=0, "", (I202+J202-K202))</f>
        <v/>
      </c>
      <c r="M202" s="147"/>
    </row>
    <row r="203" spans="1:13" ht="29.25" customHeight="1" thickBot="1">
      <c r="A203" s="414"/>
      <c r="B203" s="237"/>
      <c r="C203" s="237"/>
      <c r="D203" s="432"/>
      <c r="E203" s="235"/>
      <c r="F203" s="236"/>
      <c r="G203" s="235"/>
      <c r="H203" s="234"/>
      <c r="I203" s="234"/>
      <c r="J203" s="234"/>
      <c r="K203" s="234"/>
      <c r="L203" s="41" t="str">
        <f t="shared" si="4"/>
        <v/>
      </c>
      <c r="M203" s="147"/>
    </row>
    <row r="204" spans="1:13" ht="29.25" customHeight="1" thickBot="1">
      <c r="A204" s="414"/>
      <c r="B204" s="237"/>
      <c r="C204" s="237"/>
      <c r="D204" s="432"/>
      <c r="E204" s="235"/>
      <c r="F204" s="236"/>
      <c r="G204" s="235"/>
      <c r="H204" s="234"/>
      <c r="I204" s="234"/>
      <c r="J204" s="234"/>
      <c r="K204" s="234"/>
      <c r="L204" s="41" t="str">
        <f t="shared" si="4"/>
        <v/>
      </c>
      <c r="M204" s="147"/>
    </row>
    <row r="205" spans="1:13" ht="29.25" customHeight="1" thickBot="1">
      <c r="A205" s="414"/>
      <c r="B205" s="237"/>
      <c r="C205" s="237"/>
      <c r="D205" s="432"/>
      <c r="E205" s="235"/>
      <c r="F205" s="236"/>
      <c r="G205" s="235"/>
      <c r="H205" s="234"/>
      <c r="I205" s="234"/>
      <c r="J205" s="234"/>
      <c r="K205" s="234"/>
      <c r="L205" s="41" t="str">
        <f t="shared" si="4"/>
        <v/>
      </c>
      <c r="M205" s="147"/>
    </row>
    <row r="206" spans="1:13" ht="29.25" customHeight="1" thickBot="1">
      <c r="A206" s="414"/>
      <c r="B206" s="237"/>
      <c r="C206" s="237"/>
      <c r="D206" s="432"/>
      <c r="E206" s="235"/>
      <c r="F206" s="236"/>
      <c r="G206" s="235"/>
      <c r="H206" s="234"/>
      <c r="I206" s="234"/>
      <c r="J206" s="234"/>
      <c r="K206" s="234"/>
      <c r="L206" s="41" t="str">
        <f t="shared" si="4"/>
        <v/>
      </c>
      <c r="M206" s="147"/>
    </row>
    <row r="207" spans="1:13" ht="29.25" customHeight="1" thickBot="1">
      <c r="A207" s="414"/>
      <c r="B207" s="237"/>
      <c r="C207" s="237"/>
      <c r="D207" s="432"/>
      <c r="E207" s="235"/>
      <c r="F207" s="236"/>
      <c r="G207" s="235"/>
      <c r="H207" s="234"/>
      <c r="I207" s="234"/>
      <c r="J207" s="234"/>
      <c r="K207" s="234"/>
      <c r="L207" s="41" t="str">
        <f t="shared" si="4"/>
        <v/>
      </c>
      <c r="M207" s="147"/>
    </row>
    <row r="208" spans="1:13" ht="29.25" customHeight="1" thickBot="1">
      <c r="A208" s="414"/>
      <c r="B208" s="237"/>
      <c r="C208" s="237"/>
      <c r="D208" s="432"/>
      <c r="E208" s="235"/>
      <c r="F208" s="236"/>
      <c r="G208" s="235"/>
      <c r="H208" s="234"/>
      <c r="I208" s="234"/>
      <c r="J208" s="234"/>
      <c r="K208" s="234"/>
      <c r="L208" s="41" t="str">
        <f t="shared" si="4"/>
        <v/>
      </c>
      <c r="M208" s="147"/>
    </row>
    <row r="209" spans="1:13" ht="29.25" customHeight="1" thickBot="1">
      <c r="A209" s="414"/>
      <c r="B209" s="237"/>
      <c r="C209" s="237"/>
      <c r="D209" s="432"/>
      <c r="E209" s="235"/>
      <c r="F209" s="236"/>
      <c r="G209" s="235"/>
      <c r="H209" s="234"/>
      <c r="I209" s="234"/>
      <c r="J209" s="234"/>
      <c r="K209" s="234"/>
      <c r="L209" s="41" t="str">
        <f t="shared" si="4"/>
        <v/>
      </c>
      <c r="M209" s="147"/>
    </row>
    <row r="210" spans="1:13" ht="29.25" customHeight="1" thickBot="1">
      <c r="A210" s="414"/>
      <c r="B210" s="237"/>
      <c r="C210" s="237"/>
      <c r="D210" s="432"/>
      <c r="E210" s="235"/>
      <c r="F210" s="236"/>
      <c r="G210" s="235"/>
      <c r="H210" s="234"/>
      <c r="I210" s="234"/>
      <c r="J210" s="234"/>
      <c r="K210" s="234"/>
      <c r="L210" s="41" t="str">
        <f t="shared" si="4"/>
        <v/>
      </c>
      <c r="M210" s="147"/>
    </row>
    <row r="211" spans="1:13" ht="29.25" customHeight="1" thickBot="1">
      <c r="A211" s="414"/>
      <c r="B211" s="237"/>
      <c r="C211" s="237"/>
      <c r="D211" s="432"/>
      <c r="E211" s="235"/>
      <c r="F211" s="236"/>
      <c r="G211" s="235"/>
      <c r="H211" s="234"/>
      <c r="I211" s="234"/>
      <c r="J211" s="234"/>
      <c r="K211" s="234"/>
      <c r="L211" s="41" t="str">
        <f t="shared" si="4"/>
        <v/>
      </c>
      <c r="M211" s="147"/>
    </row>
    <row r="212" spans="1:13" ht="29.25" customHeight="1" thickBot="1">
      <c r="A212" s="414"/>
      <c r="B212" s="237"/>
      <c r="C212" s="237"/>
      <c r="D212" s="432"/>
      <c r="E212" s="235"/>
      <c r="F212" s="236"/>
      <c r="G212" s="235"/>
      <c r="H212" s="234"/>
      <c r="I212" s="234"/>
      <c r="J212" s="234"/>
      <c r="K212" s="234"/>
      <c r="L212" s="41" t="str">
        <f t="shared" si="4"/>
        <v/>
      </c>
      <c r="M212" s="147"/>
    </row>
    <row r="213" spans="1:13" ht="29.25" customHeight="1" thickBot="1">
      <c r="A213" s="414"/>
      <c r="B213" s="237"/>
      <c r="C213" s="237"/>
      <c r="D213" s="432"/>
      <c r="E213" s="235"/>
      <c r="F213" s="236"/>
      <c r="G213" s="235"/>
      <c r="H213" s="234"/>
      <c r="I213" s="234"/>
      <c r="J213" s="234"/>
      <c r="K213" s="234"/>
      <c r="L213" s="41" t="str">
        <f t="shared" si="4"/>
        <v/>
      </c>
      <c r="M213" s="147"/>
    </row>
    <row r="214" spans="1:13" ht="29.25" customHeight="1" thickBot="1">
      <c r="A214" s="414"/>
      <c r="B214" s="237"/>
      <c r="C214" s="237"/>
      <c r="D214" s="432"/>
      <c r="E214" s="235"/>
      <c r="F214" s="236"/>
      <c r="G214" s="235"/>
      <c r="H214" s="234"/>
      <c r="I214" s="234"/>
      <c r="J214" s="234"/>
      <c r="K214" s="234"/>
      <c r="L214" s="41" t="str">
        <f t="shared" si="4"/>
        <v/>
      </c>
      <c r="M214" s="147"/>
    </row>
    <row r="215" spans="1:13" ht="29.25" customHeight="1" thickBot="1">
      <c r="A215" s="414"/>
      <c r="B215" s="237"/>
      <c r="C215" s="237"/>
      <c r="D215" s="432"/>
      <c r="E215" s="235"/>
      <c r="F215" s="236"/>
      <c r="G215" s="235"/>
      <c r="H215" s="234"/>
      <c r="I215" s="234"/>
      <c r="J215" s="234"/>
      <c r="K215" s="234"/>
      <c r="L215" s="41" t="str">
        <f t="shared" si="4"/>
        <v/>
      </c>
      <c r="M215" s="147"/>
    </row>
    <row r="216" spans="1:13" ht="29.25" customHeight="1" thickBot="1">
      <c r="A216" s="414"/>
      <c r="B216" s="237"/>
      <c r="C216" s="237"/>
      <c r="D216" s="432"/>
      <c r="E216" s="235"/>
      <c r="F216" s="236"/>
      <c r="G216" s="235"/>
      <c r="H216" s="234"/>
      <c r="I216" s="234"/>
      <c r="J216" s="234"/>
      <c r="K216" s="234"/>
      <c r="L216" s="41" t="str">
        <f t="shared" si="4"/>
        <v/>
      </c>
      <c r="M216" s="147"/>
    </row>
    <row r="217" spans="1:13" ht="29.25" customHeight="1" thickBot="1">
      <c r="A217" s="414"/>
      <c r="B217" s="237"/>
      <c r="C217" s="237"/>
      <c r="D217" s="432"/>
      <c r="E217" s="235"/>
      <c r="F217" s="236"/>
      <c r="G217" s="235"/>
      <c r="H217" s="234"/>
      <c r="I217" s="234"/>
      <c r="J217" s="234"/>
      <c r="K217" s="234"/>
      <c r="L217" s="41" t="str">
        <f t="shared" si="4"/>
        <v/>
      </c>
      <c r="M217" s="147"/>
    </row>
    <row r="218" spans="1:13" ht="29.25" customHeight="1" thickBot="1">
      <c r="A218" s="414"/>
      <c r="B218" s="237"/>
      <c r="C218" s="237"/>
      <c r="D218" s="432"/>
      <c r="E218" s="235"/>
      <c r="F218" s="236"/>
      <c r="G218" s="235"/>
      <c r="H218" s="234"/>
      <c r="I218" s="234"/>
      <c r="J218" s="234"/>
      <c r="K218" s="234"/>
      <c r="L218" s="41" t="str">
        <f t="shared" si="4"/>
        <v/>
      </c>
      <c r="M218" s="147"/>
    </row>
    <row r="219" spans="1:13" ht="29.25" customHeight="1" thickBot="1">
      <c r="A219" s="414"/>
      <c r="B219" s="237"/>
      <c r="C219" s="237"/>
      <c r="D219" s="432"/>
      <c r="E219" s="235"/>
      <c r="F219" s="236"/>
      <c r="G219" s="235"/>
      <c r="H219" s="234"/>
      <c r="I219" s="234"/>
      <c r="J219" s="234"/>
      <c r="K219" s="234"/>
      <c r="L219" s="41" t="str">
        <f t="shared" si="4"/>
        <v/>
      </c>
      <c r="M219" s="147"/>
    </row>
    <row r="220" spans="1:13" ht="29.25" customHeight="1" thickBot="1">
      <c r="A220" s="414"/>
      <c r="B220" s="237"/>
      <c r="C220" s="237"/>
      <c r="D220" s="432"/>
      <c r="E220" s="235"/>
      <c r="F220" s="236"/>
      <c r="G220" s="235"/>
      <c r="H220" s="234"/>
      <c r="I220" s="234"/>
      <c r="J220" s="234"/>
      <c r="K220" s="234"/>
      <c r="L220" s="41" t="str">
        <f t="shared" si="4"/>
        <v/>
      </c>
      <c r="M220" s="147"/>
    </row>
    <row r="221" spans="1:13" ht="29.25" customHeight="1" thickBot="1">
      <c r="A221" s="414"/>
      <c r="B221" s="237"/>
      <c r="C221" s="237"/>
      <c r="D221" s="432"/>
      <c r="E221" s="235"/>
      <c r="F221" s="236"/>
      <c r="G221" s="235"/>
      <c r="H221" s="234"/>
      <c r="I221" s="234"/>
      <c r="J221" s="234"/>
      <c r="K221" s="234"/>
      <c r="L221" s="41" t="str">
        <f t="shared" si="4"/>
        <v/>
      </c>
      <c r="M221" s="147"/>
    </row>
    <row r="222" spans="1:13" ht="29.25" customHeight="1" thickBot="1">
      <c r="A222" s="414"/>
      <c r="B222" s="237"/>
      <c r="C222" s="237"/>
      <c r="D222" s="432"/>
      <c r="E222" s="235"/>
      <c r="F222" s="236"/>
      <c r="G222" s="235"/>
      <c r="H222" s="234"/>
      <c r="I222" s="234"/>
      <c r="J222" s="234"/>
      <c r="K222" s="234"/>
      <c r="L222" s="41" t="str">
        <f t="shared" si="4"/>
        <v/>
      </c>
      <c r="M222" s="147"/>
    </row>
    <row r="223" spans="1:13" ht="29.25" customHeight="1" thickBot="1">
      <c r="A223" s="414"/>
      <c r="B223" s="237"/>
      <c r="C223" s="237"/>
      <c r="D223" s="432"/>
      <c r="E223" s="235"/>
      <c r="F223" s="236"/>
      <c r="G223" s="235"/>
      <c r="H223" s="234"/>
      <c r="I223" s="234"/>
      <c r="J223" s="234"/>
      <c r="K223" s="234"/>
      <c r="L223" s="41" t="str">
        <f t="shared" si="4"/>
        <v/>
      </c>
      <c r="M223" s="147"/>
    </row>
    <row r="224" spans="1:13" ht="29.25" customHeight="1" thickBot="1">
      <c r="A224" s="414"/>
      <c r="B224" s="237"/>
      <c r="C224" s="237"/>
      <c r="D224" s="432"/>
      <c r="E224" s="235"/>
      <c r="F224" s="236"/>
      <c r="G224" s="235"/>
      <c r="H224" s="234"/>
      <c r="I224" s="234"/>
      <c r="J224" s="234"/>
      <c r="K224" s="234"/>
      <c r="L224" s="41" t="str">
        <f t="shared" si="4"/>
        <v/>
      </c>
      <c r="M224" s="147"/>
    </row>
    <row r="225" spans="1:13" ht="29.25" customHeight="1" thickBot="1">
      <c r="A225" s="414"/>
      <c r="B225" s="237"/>
      <c r="C225" s="237"/>
      <c r="D225" s="432"/>
      <c r="E225" s="235"/>
      <c r="F225" s="236"/>
      <c r="G225" s="235"/>
      <c r="H225" s="234"/>
      <c r="I225" s="234"/>
      <c r="J225" s="234"/>
      <c r="K225" s="234"/>
      <c r="L225" s="41" t="str">
        <f t="shared" si="4"/>
        <v/>
      </c>
      <c r="M225" s="147"/>
    </row>
    <row r="226" spans="1:13" ht="29.25" customHeight="1" thickBot="1">
      <c r="A226" s="414"/>
      <c r="B226" s="237"/>
      <c r="C226" s="237"/>
      <c r="D226" s="432"/>
      <c r="E226" s="235"/>
      <c r="F226" s="236"/>
      <c r="G226" s="235"/>
      <c r="H226" s="234"/>
      <c r="I226" s="234"/>
      <c r="J226" s="234"/>
      <c r="K226" s="234"/>
      <c r="L226" s="41" t="str">
        <f t="shared" si="4"/>
        <v/>
      </c>
      <c r="M226" s="147"/>
    </row>
    <row r="227" spans="1:13" ht="29.25" customHeight="1" thickBot="1">
      <c r="A227" s="414"/>
      <c r="B227" s="237"/>
      <c r="C227" s="237"/>
      <c r="D227" s="432"/>
      <c r="E227" s="235"/>
      <c r="F227" s="236"/>
      <c r="G227" s="235"/>
      <c r="H227" s="234"/>
      <c r="I227" s="234"/>
      <c r="J227" s="234"/>
      <c r="K227" s="234"/>
      <c r="L227" s="41" t="str">
        <f t="shared" si="4"/>
        <v/>
      </c>
      <c r="M227" s="147"/>
    </row>
    <row r="228" spans="1:13" ht="29.25" customHeight="1" thickBot="1">
      <c r="A228" s="414"/>
      <c r="B228" s="237"/>
      <c r="C228" s="237"/>
      <c r="D228" s="432"/>
      <c r="E228" s="235"/>
      <c r="F228" s="236"/>
      <c r="G228" s="235"/>
      <c r="H228" s="234"/>
      <c r="I228" s="234"/>
      <c r="J228" s="234"/>
      <c r="K228" s="234"/>
      <c r="L228" s="41" t="str">
        <f t="shared" si="4"/>
        <v/>
      </c>
      <c r="M228" s="147"/>
    </row>
    <row r="229" spans="1:13" ht="29.25" customHeight="1" thickBot="1">
      <c r="A229" s="414"/>
      <c r="B229" s="237"/>
      <c r="C229" s="237"/>
      <c r="D229" s="432"/>
      <c r="E229" s="235"/>
      <c r="F229" s="236"/>
      <c r="G229" s="235"/>
      <c r="H229" s="234"/>
      <c r="I229" s="234"/>
      <c r="J229" s="234"/>
      <c r="K229" s="234"/>
      <c r="L229" s="41" t="str">
        <f t="shared" si="4"/>
        <v/>
      </c>
      <c r="M229" s="147"/>
    </row>
    <row r="230" spans="1:13" ht="29.25" customHeight="1" thickBot="1">
      <c r="A230" s="414"/>
      <c r="B230" s="237"/>
      <c r="C230" s="237"/>
      <c r="D230" s="432"/>
      <c r="E230" s="235"/>
      <c r="F230" s="236"/>
      <c r="G230" s="235"/>
      <c r="H230" s="234"/>
      <c r="I230" s="234"/>
      <c r="J230" s="234"/>
      <c r="K230" s="234"/>
      <c r="L230" s="41" t="str">
        <f t="shared" si="4"/>
        <v/>
      </c>
      <c r="M230" s="147"/>
    </row>
    <row r="231" spans="1:13" ht="29.25" customHeight="1" thickBot="1">
      <c r="A231" s="414"/>
      <c r="B231" s="237"/>
      <c r="C231" s="237"/>
      <c r="D231" s="432"/>
      <c r="E231" s="235"/>
      <c r="F231" s="236"/>
      <c r="G231" s="235"/>
      <c r="H231" s="234"/>
      <c r="I231" s="234"/>
      <c r="J231" s="234"/>
      <c r="K231" s="234"/>
      <c r="L231" s="41" t="str">
        <f t="shared" si="4"/>
        <v/>
      </c>
      <c r="M231" s="147"/>
    </row>
    <row r="232" spans="1:13" ht="29.25" customHeight="1" thickBot="1">
      <c r="A232" s="414"/>
      <c r="B232" s="237"/>
      <c r="C232" s="237"/>
      <c r="D232" s="432"/>
      <c r="E232" s="235"/>
      <c r="F232" s="236"/>
      <c r="G232" s="235"/>
      <c r="H232" s="234"/>
      <c r="I232" s="234"/>
      <c r="J232" s="234"/>
      <c r="K232" s="234"/>
      <c r="L232" s="41" t="str">
        <f t="shared" si="4"/>
        <v/>
      </c>
      <c r="M232" s="147"/>
    </row>
    <row r="233" spans="1:13" ht="29.25" customHeight="1" thickBot="1">
      <c r="A233" s="414"/>
      <c r="B233" s="237"/>
      <c r="C233" s="237"/>
      <c r="D233" s="432"/>
      <c r="E233" s="235"/>
      <c r="F233" s="236"/>
      <c r="G233" s="235"/>
      <c r="H233" s="234"/>
      <c r="I233" s="234"/>
      <c r="J233" s="234"/>
      <c r="K233" s="234"/>
      <c r="L233" s="41" t="str">
        <f t="shared" si="4"/>
        <v/>
      </c>
      <c r="M233" s="147"/>
    </row>
    <row r="234" spans="1:13" ht="29.25" customHeight="1" thickBot="1">
      <c r="A234" s="414"/>
      <c r="B234" s="237"/>
      <c r="C234" s="237"/>
      <c r="D234" s="432"/>
      <c r="E234" s="235"/>
      <c r="F234" s="236"/>
      <c r="G234" s="235"/>
      <c r="H234" s="234"/>
      <c r="I234" s="234"/>
      <c r="J234" s="234"/>
      <c r="K234" s="234"/>
      <c r="L234" s="41" t="str">
        <f t="shared" si="4"/>
        <v/>
      </c>
      <c r="M234" s="147"/>
    </row>
    <row r="235" spans="1:13" ht="29.25" customHeight="1" thickBot="1">
      <c r="A235" s="414"/>
      <c r="B235" s="237"/>
      <c r="C235" s="237"/>
      <c r="D235" s="432"/>
      <c r="E235" s="235"/>
      <c r="F235" s="236"/>
      <c r="G235" s="235"/>
      <c r="H235" s="234"/>
      <c r="I235" s="234"/>
      <c r="J235" s="234"/>
      <c r="K235" s="234"/>
      <c r="L235" s="41" t="str">
        <f t="shared" si="4"/>
        <v/>
      </c>
      <c r="M235" s="147"/>
    </row>
    <row r="236" spans="1:13" ht="29.25" customHeight="1" thickBot="1">
      <c r="A236" s="414"/>
      <c r="B236" s="237"/>
      <c r="C236" s="237"/>
      <c r="D236" s="432"/>
      <c r="E236" s="235"/>
      <c r="F236" s="236"/>
      <c r="G236" s="235"/>
      <c r="H236" s="234"/>
      <c r="I236" s="234"/>
      <c r="J236" s="234"/>
      <c r="K236" s="234"/>
      <c r="L236" s="41" t="str">
        <f t="shared" si="4"/>
        <v/>
      </c>
      <c r="M236" s="147"/>
    </row>
    <row r="237" spans="1:13" ht="29.25" customHeight="1" thickBot="1">
      <c r="A237" s="414"/>
      <c r="B237" s="237"/>
      <c r="C237" s="237"/>
      <c r="D237" s="432"/>
      <c r="E237" s="235"/>
      <c r="F237" s="236"/>
      <c r="G237" s="235"/>
      <c r="H237" s="234"/>
      <c r="I237" s="234"/>
      <c r="J237" s="234"/>
      <c r="K237" s="234"/>
      <c r="L237" s="41" t="str">
        <f t="shared" si="4"/>
        <v/>
      </c>
      <c r="M237" s="147"/>
    </row>
    <row r="238" spans="1:13" ht="29.25" customHeight="1" thickBot="1">
      <c r="A238" s="414"/>
      <c r="B238" s="237"/>
      <c r="C238" s="237"/>
      <c r="D238" s="432"/>
      <c r="E238" s="235"/>
      <c r="F238" s="236"/>
      <c r="G238" s="235"/>
      <c r="H238" s="234"/>
      <c r="I238" s="234"/>
      <c r="J238" s="234"/>
      <c r="K238" s="234"/>
      <c r="L238" s="41" t="str">
        <f t="shared" si="4"/>
        <v/>
      </c>
      <c r="M238" s="147"/>
    </row>
    <row r="239" spans="1:13" ht="29.25" customHeight="1" thickBot="1">
      <c r="A239" s="414"/>
      <c r="B239" s="237"/>
      <c r="C239" s="237"/>
      <c r="D239" s="432"/>
      <c r="E239" s="235"/>
      <c r="F239" s="236"/>
      <c r="G239" s="235"/>
      <c r="H239" s="234"/>
      <c r="I239" s="234"/>
      <c r="J239" s="234"/>
      <c r="K239" s="234"/>
      <c r="L239" s="41" t="str">
        <f t="shared" si="4"/>
        <v/>
      </c>
      <c r="M239" s="147"/>
    </row>
    <row r="240" spans="1:13" ht="29.25" customHeight="1" thickBot="1">
      <c r="A240" s="414"/>
      <c r="B240" s="237"/>
      <c r="C240" s="237"/>
      <c r="D240" s="432"/>
      <c r="E240" s="235"/>
      <c r="F240" s="236"/>
      <c r="G240" s="235"/>
      <c r="H240" s="234"/>
      <c r="I240" s="234"/>
      <c r="J240" s="234"/>
      <c r="K240" s="234"/>
      <c r="L240" s="41" t="str">
        <f t="shared" si="4"/>
        <v/>
      </c>
      <c r="M240" s="147"/>
    </row>
    <row r="241" spans="1:13" ht="29.25" customHeight="1" thickBot="1">
      <c r="A241" s="414"/>
      <c r="B241" s="237"/>
      <c r="C241" s="237"/>
      <c r="D241" s="432"/>
      <c r="E241" s="235"/>
      <c r="F241" s="236"/>
      <c r="G241" s="235"/>
      <c r="H241" s="234"/>
      <c r="I241" s="234"/>
      <c r="J241" s="234"/>
      <c r="K241" s="234"/>
      <c r="L241" s="41" t="str">
        <f t="shared" si="4"/>
        <v/>
      </c>
      <c r="M241" s="147"/>
    </row>
    <row r="242" spans="1:13" ht="29.25" customHeight="1" thickBot="1">
      <c r="A242" s="414"/>
      <c r="B242" s="237"/>
      <c r="C242" s="237"/>
      <c r="D242" s="432"/>
      <c r="E242" s="235"/>
      <c r="F242" s="236"/>
      <c r="G242" s="235"/>
      <c r="H242" s="234"/>
      <c r="I242" s="234"/>
      <c r="J242" s="234"/>
      <c r="K242" s="234"/>
      <c r="L242" s="41" t="str">
        <f t="shared" si="4"/>
        <v/>
      </c>
      <c r="M242" s="147"/>
    </row>
    <row r="243" spans="1:13" ht="29.25" customHeight="1" thickBot="1">
      <c r="A243" s="414"/>
      <c r="B243" s="237"/>
      <c r="C243" s="237"/>
      <c r="D243" s="432"/>
      <c r="E243" s="235"/>
      <c r="F243" s="236"/>
      <c r="G243" s="235"/>
      <c r="H243" s="234"/>
      <c r="I243" s="234"/>
      <c r="J243" s="234"/>
      <c r="K243" s="234"/>
      <c r="L243" s="41" t="str">
        <f t="shared" si="4"/>
        <v/>
      </c>
      <c r="M243" s="147"/>
    </row>
    <row r="244" spans="1:13" ht="29.25" customHeight="1" thickBot="1">
      <c r="A244" s="414"/>
      <c r="B244" s="237"/>
      <c r="C244" s="237"/>
      <c r="D244" s="432"/>
      <c r="E244" s="235"/>
      <c r="F244" s="236"/>
      <c r="G244" s="235"/>
      <c r="H244" s="234"/>
      <c r="I244" s="234"/>
      <c r="J244" s="234"/>
      <c r="K244" s="234"/>
      <c r="L244" s="41" t="str">
        <f t="shared" si="4"/>
        <v/>
      </c>
      <c r="M244" s="147"/>
    </row>
    <row r="245" spans="1:13" ht="29.25" customHeight="1" thickBot="1">
      <c r="A245" s="414"/>
      <c r="B245" s="237"/>
      <c r="C245" s="237"/>
      <c r="D245" s="432"/>
      <c r="E245" s="235"/>
      <c r="F245" s="236"/>
      <c r="G245" s="235"/>
      <c r="H245" s="234"/>
      <c r="I245" s="234"/>
      <c r="J245" s="234"/>
      <c r="K245" s="234"/>
      <c r="L245" s="41" t="str">
        <f t="shared" si="4"/>
        <v/>
      </c>
      <c r="M245" s="147"/>
    </row>
    <row r="246" spans="1:13" ht="29.25" customHeight="1" thickBot="1">
      <c r="A246" s="414"/>
      <c r="B246" s="237"/>
      <c r="C246" s="237"/>
      <c r="D246" s="432"/>
      <c r="E246" s="235"/>
      <c r="F246" s="236"/>
      <c r="G246" s="235"/>
      <c r="H246" s="234"/>
      <c r="I246" s="234"/>
      <c r="J246" s="234"/>
      <c r="K246" s="234"/>
      <c r="L246" s="41" t="str">
        <f t="shared" si="4"/>
        <v/>
      </c>
      <c r="M246" s="147"/>
    </row>
    <row r="247" spans="1:13" ht="29.25" customHeight="1" thickBot="1">
      <c r="A247" s="414"/>
      <c r="B247" s="237"/>
      <c r="C247" s="237"/>
      <c r="D247" s="432"/>
      <c r="E247" s="235"/>
      <c r="F247" s="236"/>
      <c r="G247" s="235"/>
      <c r="H247" s="234"/>
      <c r="I247" s="234"/>
      <c r="J247" s="234"/>
      <c r="K247" s="234"/>
      <c r="L247" s="41" t="str">
        <f t="shared" si="4"/>
        <v/>
      </c>
      <c r="M247" s="147"/>
    </row>
    <row r="248" spans="1:13" ht="29.25" customHeight="1" thickBot="1">
      <c r="A248" s="414"/>
      <c r="B248" s="237"/>
      <c r="C248" s="237"/>
      <c r="D248" s="432"/>
      <c r="E248" s="235"/>
      <c r="F248" s="236"/>
      <c r="G248" s="235"/>
      <c r="H248" s="234"/>
      <c r="I248" s="234"/>
      <c r="J248" s="234"/>
      <c r="K248" s="234"/>
      <c r="L248" s="41" t="str">
        <f t="shared" si="4"/>
        <v/>
      </c>
      <c r="M248" s="147"/>
    </row>
    <row r="249" spans="1:13" ht="29.25" customHeight="1" thickBot="1">
      <c r="A249" s="414"/>
      <c r="B249" s="237"/>
      <c r="C249" s="237"/>
      <c r="D249" s="432"/>
      <c r="E249" s="235"/>
      <c r="F249" s="236"/>
      <c r="G249" s="235"/>
      <c r="H249" s="234"/>
      <c r="I249" s="234"/>
      <c r="J249" s="234"/>
      <c r="K249" s="234"/>
      <c r="L249" s="41" t="str">
        <f t="shared" si="4"/>
        <v/>
      </c>
      <c r="M249" s="147"/>
    </row>
    <row r="250" spans="1:13" ht="29.25" customHeight="1" thickBot="1">
      <c r="A250" s="414"/>
      <c r="B250" s="237"/>
      <c r="C250" s="237"/>
      <c r="D250" s="432"/>
      <c r="E250" s="235"/>
      <c r="F250" s="236"/>
      <c r="G250" s="235"/>
      <c r="H250" s="234"/>
      <c r="I250" s="234"/>
      <c r="J250" s="234"/>
      <c r="K250" s="234"/>
      <c r="L250" s="41" t="str">
        <f t="shared" si="4"/>
        <v/>
      </c>
      <c r="M250" s="147"/>
    </row>
    <row r="251" spans="1:13" ht="29.25" customHeight="1" thickBot="1">
      <c r="A251" s="414"/>
      <c r="B251" s="237"/>
      <c r="C251" s="237"/>
      <c r="D251" s="432"/>
      <c r="E251" s="235"/>
      <c r="F251" s="236"/>
      <c r="G251" s="235"/>
      <c r="H251" s="234"/>
      <c r="I251" s="234"/>
      <c r="J251" s="234"/>
      <c r="K251" s="234"/>
      <c r="L251" s="41" t="str">
        <f t="shared" si="4"/>
        <v/>
      </c>
      <c r="M251" s="147"/>
    </row>
    <row r="252" spans="1:13" ht="29.25" customHeight="1" thickBot="1">
      <c r="A252" s="414"/>
      <c r="B252" s="237"/>
      <c r="C252" s="237"/>
      <c r="D252" s="432"/>
      <c r="E252" s="235"/>
      <c r="F252" s="236"/>
      <c r="G252" s="235"/>
      <c r="H252" s="234"/>
      <c r="I252" s="234"/>
      <c r="J252" s="234"/>
      <c r="K252" s="234"/>
      <c r="L252" s="41" t="str">
        <f t="shared" si="4"/>
        <v/>
      </c>
      <c r="M252" s="147"/>
    </row>
    <row r="253" spans="1:13" ht="29.25" customHeight="1" thickBot="1">
      <c r="A253" s="414"/>
      <c r="B253" s="237"/>
      <c r="C253" s="237"/>
      <c r="D253" s="432"/>
      <c r="E253" s="235"/>
      <c r="F253" s="236"/>
      <c r="G253" s="235"/>
      <c r="H253" s="234"/>
      <c r="I253" s="234"/>
      <c r="J253" s="234"/>
      <c r="K253" s="234"/>
      <c r="L253" s="41" t="str">
        <f t="shared" si="4"/>
        <v/>
      </c>
      <c r="M253" s="147"/>
    </row>
    <row r="254" spans="1:13" ht="29.25" customHeight="1" thickBot="1">
      <c r="A254" s="414"/>
      <c r="B254" s="237"/>
      <c r="C254" s="235"/>
      <c r="D254" s="433"/>
      <c r="E254" s="431"/>
      <c r="F254" s="236"/>
      <c r="G254" s="235"/>
      <c r="H254" s="234"/>
      <c r="I254" s="234"/>
      <c r="J254" s="234"/>
      <c r="K254" s="234"/>
      <c r="L254" s="41" t="str">
        <f t="shared" si="4"/>
        <v/>
      </c>
      <c r="M254" s="147"/>
    </row>
    <row r="255" spans="1:13" ht="29.25" customHeight="1" thickBot="1">
      <c r="A255" s="414"/>
      <c r="B255" s="237"/>
      <c r="C255" s="237"/>
      <c r="D255" s="432"/>
      <c r="E255" s="235"/>
      <c r="F255" s="236"/>
      <c r="G255" s="235"/>
      <c r="H255" s="234"/>
      <c r="I255" s="234"/>
      <c r="J255" s="234"/>
      <c r="K255" s="234"/>
      <c r="L255" s="41" t="str">
        <f t="shared" si="4"/>
        <v/>
      </c>
      <c r="M255" s="147"/>
    </row>
    <row r="256" spans="1:13" ht="29.25" customHeight="1" thickBot="1">
      <c r="A256" s="414"/>
      <c r="B256" s="237"/>
      <c r="C256" s="237"/>
      <c r="D256" s="432"/>
      <c r="E256" s="235"/>
      <c r="F256" s="236"/>
      <c r="G256" s="235"/>
      <c r="H256" s="234"/>
      <c r="I256" s="234"/>
      <c r="J256" s="234"/>
      <c r="K256" s="234"/>
      <c r="L256" s="41" t="str">
        <f t="shared" si="4"/>
        <v/>
      </c>
      <c r="M256" s="147"/>
    </row>
    <row r="257" spans="1:15" ht="29.25" customHeight="1" thickBot="1">
      <c r="A257" s="414"/>
      <c r="B257" s="237"/>
      <c r="C257" s="235"/>
      <c r="D257" s="433"/>
      <c r="E257" s="431"/>
      <c r="F257" s="236"/>
      <c r="G257" s="235"/>
      <c r="H257" s="234"/>
      <c r="I257" s="234"/>
      <c r="J257" s="234"/>
      <c r="K257" s="234"/>
      <c r="L257" s="41" t="str">
        <f t="shared" si="4"/>
        <v/>
      </c>
      <c r="M257" s="147"/>
    </row>
    <row r="258" spans="1:15" ht="29.25" customHeight="1" thickBot="1">
      <c r="A258" s="414"/>
      <c r="B258" s="237"/>
      <c r="C258" s="237"/>
      <c r="D258" s="432"/>
      <c r="E258" s="240"/>
      <c r="F258" s="236"/>
      <c r="G258" s="235"/>
      <c r="H258" s="234"/>
      <c r="I258" s="234"/>
      <c r="J258" s="234"/>
      <c r="K258" s="234"/>
      <c r="L258" s="41" t="str">
        <f t="shared" si="4"/>
        <v/>
      </c>
      <c r="M258" s="147"/>
    </row>
    <row r="259" spans="1:15" ht="18" thickBot="1">
      <c r="A259" s="620" t="s">
        <v>66</v>
      </c>
      <c r="B259" s="621"/>
      <c r="C259" s="621"/>
      <c r="D259" s="621"/>
      <c r="E259" s="621"/>
      <c r="F259" s="494"/>
      <c r="G259" s="8"/>
      <c r="H259" s="41">
        <f>IF('Summary Schedule'!$C$4="ESA",SUMIFS(H9:H258,$C$9:$C$258,"&lt;&gt;Yes",$A$9:$A$258,"&lt;&gt;"),SUMIFS(H9:H258, $A$9:$A$258,"&lt;&gt;"))</f>
        <v>0</v>
      </c>
      <c r="I259" s="41">
        <f>IF('Summary Schedule'!$C$4="ESA",SUMIFS(I9:I258,$C$9:$C$258,"&lt;&gt;Yes",$A$9:$A$258,"&lt;&gt;"),SUMIFS(I9:I258, $A$9:$A$258,"&lt;&gt;"))</f>
        <v>0</v>
      </c>
      <c r="J259" s="41">
        <f>IF('Summary Schedule'!$C$4="ESA",SUMIFS(J9:J258,$C$9:$C$258,"&lt;&gt;Yes",$A$9:$A$258,"&lt;&gt;"),SUMIFS(J9:J258, $A$9:$A$258,"&lt;&gt;"))</f>
        <v>0</v>
      </c>
      <c r="K259" s="41">
        <f>IF('Summary Schedule'!$C$4="ESA",SUMIFS(K9:K258,$C$9:$C$258,"&lt;&gt;Yes",$A$9:$A$258,"&lt;&gt;"),SUMIFS(K9:K258, $A$9:$A$258,"&lt;&gt;"))</f>
        <v>0</v>
      </c>
      <c r="L259" s="41">
        <f>IF('Summary Schedule'!$C$4="ESA",SUMIFS(L9:L258,$C$9:$C$258,"&lt;&gt;Yes",$A$9:$A$258,"&lt;&gt;"),SUMIFS(L9:L258, $A$9:$A$258,"&lt;&gt;"))+L8</f>
        <v>0</v>
      </c>
      <c r="M259" s="198"/>
      <c r="N259" s="90"/>
      <c r="O259" s="90"/>
    </row>
    <row r="260" spans="1:15" ht="35.25" customHeight="1" thickBot="1">
      <c r="A260" s="201"/>
      <c r="B260" s="202"/>
      <c r="C260" s="344"/>
      <c r="D260" s="345"/>
      <c r="E260" s="345"/>
      <c r="F260" s="345"/>
      <c r="G260" s="345"/>
      <c r="H260" s="346"/>
      <c r="I260" s="346"/>
      <c r="J260" s="346"/>
      <c r="K260" s="347"/>
      <c r="L260" s="203"/>
    </row>
    <row r="261" spans="1:15" ht="15.75" customHeight="1">
      <c r="A261" s="625" t="s">
        <v>123</v>
      </c>
      <c r="B261" s="537"/>
      <c r="C261" s="537"/>
      <c r="D261" s="537"/>
      <c r="E261" s="537"/>
      <c r="F261" s="537"/>
      <c r="G261" s="537"/>
      <c r="H261" s="537"/>
      <c r="I261" s="537"/>
      <c r="J261" s="537"/>
      <c r="K261" s="537"/>
      <c r="L261" s="538"/>
    </row>
    <row r="262" spans="1:15" s="42" customFormat="1" ht="17.25" customHeight="1">
      <c r="A262" s="554" t="s">
        <v>148</v>
      </c>
      <c r="B262" s="618"/>
      <c r="C262" s="618"/>
      <c r="D262" s="618"/>
      <c r="E262" s="618"/>
      <c r="F262" s="618"/>
      <c r="G262" s="618"/>
      <c r="H262" s="618"/>
      <c r="I262" s="618"/>
      <c r="J262" s="618"/>
      <c r="K262" s="618"/>
      <c r="L262" s="619"/>
    </row>
    <row r="263" spans="1:15" s="42" customFormat="1" ht="32.25" customHeight="1">
      <c r="A263" s="622" t="str">
        <f>IF('Summary Schedule'!C4="Direct-Funded",CONCATENATE("(2)  Implementation Cost shall include only direct costs for each ECM and no post-acceptance performance period expenses."," Mark-up are added to each of the ECMs and include direct and indirect costs as well as profit"),IF('Summary Schedule'!C4="UESC",CONCATENATE("(2)  Implementation Cost shall include only direct costs for each ECM and no post-acceptance performance period expenses."," Mark-up are added to each of the ECMs and include direct and indirect costs as well as profit",""),CONCATENATE("(2)  Cost of Goods and Services (Base Construction) shall include only direct costs for each ECM and no post-acceptance performance period expenses."," Project Implementation Delivery Charges are added to each of the ECMs and include direct and indirect costs as well as profit."," For IDIQ ESPC projects, Cost of Goods and Services and Project Implementation Delivery Charges are itemized in Schedule-2b.")))</f>
        <v>(2)  Cost of Goods and Services (Base Construction) shall include only direct costs for each ECM and no post-acceptance performance period expenses. Project Implementation Delivery Charges are added to each of the ECMs and include direct and indirect costs as well as profit. For IDIQ ESPC projects, Cost of Goods and Services and Project Implementation Delivery Charges are itemized in Schedule-2b.</v>
      </c>
      <c r="B263" s="623"/>
      <c r="C263" s="623"/>
      <c r="D263" s="623"/>
      <c r="E263" s="623"/>
      <c r="F263" s="623"/>
      <c r="G263" s="623"/>
      <c r="H263" s="623"/>
      <c r="I263" s="623"/>
      <c r="J263" s="623"/>
      <c r="K263" s="623"/>
      <c r="L263" s="624"/>
    </row>
    <row r="264" spans="1:15" s="42" customFormat="1" ht="18" customHeight="1">
      <c r="A264" s="554" t="s">
        <v>297</v>
      </c>
      <c r="B264" s="618"/>
      <c r="C264" s="618"/>
      <c r="D264" s="618"/>
      <c r="E264" s="618"/>
      <c r="F264" s="618"/>
      <c r="G264" s="618"/>
      <c r="H264" s="618"/>
      <c r="I264" s="618"/>
      <c r="J264" s="618"/>
      <c r="K264" s="618"/>
      <c r="L264" s="619"/>
    </row>
    <row r="265" spans="1:15" s="42" customFormat="1" ht="31.5" customHeight="1">
      <c r="A265" s="622" t="s">
        <v>319</v>
      </c>
      <c r="B265" s="623"/>
      <c r="C265" s="623"/>
      <c r="D265" s="623"/>
      <c r="E265" s="623"/>
      <c r="F265" s="623"/>
      <c r="G265" s="623"/>
      <c r="H265" s="623"/>
      <c r="I265" s="623"/>
      <c r="J265" s="623"/>
      <c r="K265" s="623"/>
      <c r="L265" s="624"/>
    </row>
    <row r="266" spans="1:15" s="42" customFormat="1" ht="18" customHeight="1">
      <c r="A266" s="618" t="s">
        <v>276</v>
      </c>
      <c r="B266" s="618"/>
      <c r="C266" s="618"/>
      <c r="D266" s="618"/>
      <c r="E266" s="618"/>
      <c r="F266" s="618"/>
      <c r="G266" s="618"/>
      <c r="H266" s="618"/>
      <c r="I266" s="618"/>
      <c r="J266" s="618"/>
      <c r="K266" s="618"/>
      <c r="L266" s="619"/>
    </row>
    <row r="267" spans="1:15" s="42" customFormat="1" ht="18" customHeight="1">
      <c r="A267" s="618" t="str">
        <f>IF(OR('Summary Schedule'!C3="Direct-Funded", 'Summary Schedule'!C3="UESC"),"", "(6) The sum of M&amp;V expenses for each ECM equals the sum of items b and j on Schedule-2b.  These expenses are already included in the Base Construction Cost and Project Implementation Delivery Charge.")</f>
        <v>(6) The sum of M&amp;V expenses for each ECM equals the sum of items b and j on Schedule-2b.  These expenses are already included in the Base Construction Cost and Project Implementation Delivery Charge.</v>
      </c>
      <c r="B267" s="618"/>
      <c r="C267" s="618"/>
      <c r="D267" s="618"/>
      <c r="E267" s="618"/>
      <c r="F267" s="618"/>
      <c r="G267" s="618"/>
      <c r="H267" s="618"/>
      <c r="I267" s="618"/>
      <c r="J267" s="618"/>
      <c r="K267" s="618"/>
      <c r="L267" s="619"/>
    </row>
    <row r="268" spans="1:15" s="42" customFormat="1" ht="48" customHeight="1" thickBot="1">
      <c r="A268" s="615" t="s">
        <v>420</v>
      </c>
      <c r="B268" s="616"/>
      <c r="C268" s="616"/>
      <c r="D268" s="616"/>
      <c r="E268" s="616"/>
      <c r="F268" s="616"/>
      <c r="G268" s="616"/>
      <c r="H268" s="616"/>
      <c r="I268" s="616"/>
      <c r="J268" s="616"/>
      <c r="K268" s="616"/>
      <c r="L268" s="617"/>
    </row>
    <row r="269" spans="1:15" s="42" customFormat="1" ht="16" customHeight="1">
      <c r="A269" s="524" t="s">
        <v>173</v>
      </c>
      <c r="B269" s="525"/>
      <c r="C269" s="525"/>
      <c r="D269" s="525"/>
      <c r="E269" s="525"/>
      <c r="F269" s="525"/>
      <c r="G269" s="525"/>
      <c r="H269" s="525"/>
      <c r="I269" s="512"/>
      <c r="J269" s="512"/>
      <c r="K269" s="512"/>
      <c r="L269" s="526"/>
    </row>
    <row r="270" spans="1:15" ht="94" customHeight="1" thickBot="1">
      <c r="A270" s="520"/>
      <c r="B270" s="521"/>
      <c r="C270" s="521"/>
      <c r="D270" s="521"/>
      <c r="E270" s="521"/>
      <c r="F270" s="521"/>
      <c r="G270" s="521"/>
      <c r="H270" s="521"/>
      <c r="I270" s="521"/>
      <c r="J270" s="521"/>
      <c r="K270" s="521"/>
      <c r="L270" s="558"/>
    </row>
    <row r="271" spans="1:15">
      <c r="A271" s="17" t="str">
        <f>'Summary Schedule'!A53</f>
        <v>4.2.9.c</v>
      </c>
    </row>
    <row r="272" spans="1:15">
      <c r="A272" s="17" t="str">
        <f>'Summary Schedule'!A54</f>
        <v>02112025</v>
      </c>
    </row>
  </sheetData>
  <sheetProtection algorithmName="SHA-512" hashValue="sLlYnxIQgyAJq/98mw6qy1wxqsc/1xHLdtl794HnBuZG1MPtt4n/HNFTlktPojlyXb6wEG0EW0aOnVuSX8iMbw==" saltValue="t/Id99aemuL1E6DyoldXMg==" spinCount="100000" sheet="1" objects="1" scenarios="1"/>
  <mergeCells count="31">
    <mergeCell ref="A1:L1"/>
    <mergeCell ref="A2:L2"/>
    <mergeCell ref="A3:L3"/>
    <mergeCell ref="I6:I7"/>
    <mergeCell ref="K6:K7"/>
    <mergeCell ref="K4:K5"/>
    <mergeCell ref="J6:J7"/>
    <mergeCell ref="J4:J5"/>
    <mergeCell ref="E4:E7"/>
    <mergeCell ref="A4:A7"/>
    <mergeCell ref="D4:D7"/>
    <mergeCell ref="I4:I5"/>
    <mergeCell ref="F4:F7"/>
    <mergeCell ref="H4:H7"/>
    <mergeCell ref="B4:B7"/>
    <mergeCell ref="L4:L5"/>
    <mergeCell ref="L6:L7"/>
    <mergeCell ref="A270:L270"/>
    <mergeCell ref="A269:L269"/>
    <mergeCell ref="A268:L268"/>
    <mergeCell ref="A262:L262"/>
    <mergeCell ref="A264:L264"/>
    <mergeCell ref="A266:L266"/>
    <mergeCell ref="A259:F259"/>
    <mergeCell ref="A265:L265"/>
    <mergeCell ref="A263:L263"/>
    <mergeCell ref="A261:L261"/>
    <mergeCell ref="A8:K8"/>
    <mergeCell ref="G4:G7"/>
    <mergeCell ref="C4:C7"/>
    <mergeCell ref="A267:L267"/>
  </mergeCells>
  <conditionalFormatting sqref="A9:K258">
    <cfRule type="expression" dxfId="6" priority="2">
      <formula>$C9:$C258="Yes"</formula>
    </cfRule>
  </conditionalFormatting>
  <conditionalFormatting sqref="H260:L260">
    <cfRule type="containsBlanks" dxfId="5" priority="6">
      <formula>LEN(TRIM(H260))=0</formula>
    </cfRule>
  </conditionalFormatting>
  <conditionalFormatting sqref="L8">
    <cfRule type="expression" dxfId="4" priority="1">
      <formula>$C8:$C257="Yes"</formula>
    </cfRule>
  </conditionalFormatting>
  <dataValidations count="5">
    <dataValidation type="textLength" showInputMessage="1" showErrorMessage="1" sqref="D16:D258" xr:uid="{00000000-0002-0000-0700-000000000000}">
      <formula1>1</formula1>
      <formula2>200</formula2>
    </dataValidation>
    <dataValidation type="list" allowBlank="1" showInputMessage="1" showErrorMessage="1" sqref="C9:C258" xr:uid="{00000000-0002-0000-0700-000001000000}">
      <formula1>"Yes, No"</formula1>
    </dataValidation>
    <dataValidation type="whole" allowBlank="1" showInputMessage="1" showErrorMessage="1" error="Enter a number" sqref="L8 H9:K258" xr:uid="{C8B80BE0-EFA3-C345-8832-BFF4D4AC67F4}">
      <formula1>0</formula1>
      <formula2>1000000000</formula2>
    </dataValidation>
    <dataValidation type="list" allowBlank="1" showInputMessage="1" showErrorMessage="1" error="Choose from dropdown menu in this cell" sqref="A9:A258" xr:uid="{60660E52-D5CB-41DA-8477-D0F9F21F2005}">
      <formula1>ECM</formula1>
    </dataValidation>
    <dataValidation type="decimal" operator="lessThanOrEqual" allowBlank="1" showInputMessage="1" showErrorMessage="1" error="Enter a percentage between 0 and 100" sqref="F9:F258" xr:uid="{8A59B3E7-C2F8-45BA-8613-E696A5E20C7C}">
      <formula1>1</formula1>
    </dataValidation>
  </dataValidations>
  <pageMargins left="0.75" right="0.75" top="1" bottom="1" header="0.5" footer="0.5"/>
  <pageSetup scale="40" fitToHeight="0" orientation="portrait" horizontalDpi="4294967292" verticalDpi="4294967292" r:id="rId1"/>
  <headerFooter>
    <oddFooter>&amp;C_x000D_&amp;1#&amp;"Calibri"&amp;6&amp;K626469 General</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K30"/>
  <sheetViews>
    <sheetView zoomScale="90" zoomScaleNormal="90" zoomScalePageLayoutView="75" workbookViewId="0">
      <selection sqref="A1:H1"/>
    </sheetView>
  </sheetViews>
  <sheetFormatPr defaultColWidth="11" defaultRowHeight="15.5"/>
  <cols>
    <col min="1" max="1" width="12.5" bestFit="1" customWidth="1"/>
    <col min="3" max="3" width="31.5" customWidth="1"/>
    <col min="4" max="4" width="55.5" customWidth="1"/>
    <col min="5" max="5" width="19" customWidth="1"/>
    <col min="6" max="6" width="19.33203125" customWidth="1"/>
    <col min="7" max="7" width="30.83203125" customWidth="1"/>
    <col min="8" max="8" width="19.5" customWidth="1"/>
    <col min="9" max="9" width="11" bestFit="1" customWidth="1"/>
  </cols>
  <sheetData>
    <row r="1" spans="1:11" s="17" customFormat="1" ht="20.25" customHeight="1">
      <c r="A1" s="474" t="s">
        <v>263</v>
      </c>
      <c r="B1" s="474"/>
      <c r="C1" s="474"/>
      <c r="D1" s="474"/>
      <c r="E1" s="474"/>
      <c r="F1" s="474"/>
      <c r="G1" s="542"/>
      <c r="H1" s="542"/>
    </row>
    <row r="2" spans="1:11" s="17" customFormat="1" ht="21" customHeight="1" thickBot="1">
      <c r="A2" s="488" t="s">
        <v>245</v>
      </c>
      <c r="B2" s="488"/>
      <c r="C2" s="488"/>
      <c r="D2" s="488"/>
      <c r="E2" s="488"/>
      <c r="F2" s="488"/>
      <c r="G2" s="503"/>
      <c r="H2" s="503"/>
    </row>
    <row r="3" spans="1:11" ht="56.25" customHeight="1" thickBot="1">
      <c r="A3" s="661"/>
      <c r="B3" s="98"/>
      <c r="C3" s="98" t="s">
        <v>274</v>
      </c>
      <c r="D3" s="187" t="s">
        <v>273</v>
      </c>
      <c r="E3" s="98" t="s">
        <v>299</v>
      </c>
      <c r="F3" s="185" t="s">
        <v>265</v>
      </c>
      <c r="G3" s="199" t="s">
        <v>266</v>
      </c>
      <c r="H3" s="185" t="s">
        <v>317</v>
      </c>
    </row>
    <row r="4" spans="1:11" ht="41" thickBot="1">
      <c r="A4" s="662"/>
      <c r="B4" s="186" t="s">
        <v>246</v>
      </c>
      <c r="C4" s="177" t="s">
        <v>298</v>
      </c>
      <c r="D4" s="194" t="s">
        <v>271</v>
      </c>
      <c r="E4" s="188"/>
      <c r="F4" s="450"/>
      <c r="G4" s="171"/>
      <c r="H4" s="207"/>
    </row>
    <row r="5" spans="1:11" ht="27.5" thickBot="1">
      <c r="A5" s="662"/>
      <c r="B5" s="178" t="s">
        <v>247</v>
      </c>
      <c r="C5" s="177" t="s">
        <v>269</v>
      </c>
      <c r="D5" s="204" t="s">
        <v>300</v>
      </c>
      <c r="E5" s="188"/>
      <c r="F5" s="238"/>
      <c r="G5" s="175" t="str">
        <f>IF(F5&gt;'Sch2a-Imp Price by ECM'!H259,"High M&amp;V Equipment Costs", "")</f>
        <v/>
      </c>
      <c r="H5" s="208"/>
    </row>
    <row r="6" spans="1:11" ht="16.5" thickBot="1">
      <c r="A6" s="662"/>
      <c r="B6" s="178" t="s">
        <v>248</v>
      </c>
      <c r="C6" s="179" t="s">
        <v>270</v>
      </c>
      <c r="D6" s="195" t="s">
        <v>272</v>
      </c>
      <c r="E6" s="188"/>
      <c r="F6" s="238"/>
      <c r="G6" s="171"/>
      <c r="H6" s="208"/>
    </row>
    <row r="7" spans="1:11" ht="54.5" thickBot="1">
      <c r="A7" s="663"/>
      <c r="B7" s="178" t="s">
        <v>249</v>
      </c>
      <c r="C7" s="179" t="s">
        <v>314</v>
      </c>
      <c r="D7" s="204" t="s">
        <v>301</v>
      </c>
      <c r="E7" s="188"/>
      <c r="F7" s="238"/>
      <c r="G7" s="171"/>
      <c r="H7" s="209"/>
    </row>
    <row r="8" spans="1:11" ht="44.25" customHeight="1" thickBot="1">
      <c r="A8" s="93" t="s">
        <v>261</v>
      </c>
      <c r="B8" s="178" t="s">
        <v>250</v>
      </c>
      <c r="C8" s="664" t="s">
        <v>302</v>
      </c>
      <c r="D8" s="665"/>
      <c r="E8" s="188"/>
      <c r="F8" s="192">
        <f>SUM(F4:F7)</f>
        <v>0</v>
      </c>
      <c r="G8" s="200" t="str">
        <f>IF(ROUND(F8,0)=ROUND('Sch2a-Imp Price by ECM'!I259,0),"","Cost of Goods and Services (Base Construction) Mismatch")</f>
        <v/>
      </c>
      <c r="H8" s="192">
        <f>'Sch2a-Imp Price by ECM'!I259</f>
        <v>0</v>
      </c>
      <c r="K8" s="17"/>
    </row>
    <row r="9" spans="1:11" ht="35" thickBot="1">
      <c r="A9" s="168"/>
      <c r="B9" s="178" t="s">
        <v>251</v>
      </c>
      <c r="C9" s="179" t="s">
        <v>252</v>
      </c>
      <c r="D9" s="205" t="s">
        <v>303</v>
      </c>
      <c r="E9" s="451"/>
      <c r="F9" s="189">
        <f>E9*$F$8</f>
        <v>0</v>
      </c>
      <c r="G9" s="171"/>
      <c r="H9" s="210"/>
    </row>
    <row r="10" spans="1:11" ht="23.5" thickBot="1">
      <c r="A10" s="169"/>
      <c r="B10" s="178" t="s">
        <v>253</v>
      </c>
      <c r="C10" s="179" t="s">
        <v>254</v>
      </c>
      <c r="D10" s="195" t="s">
        <v>304</v>
      </c>
      <c r="E10" s="451"/>
      <c r="F10" s="189">
        <f>E10*$F$8</f>
        <v>0</v>
      </c>
      <c r="G10" s="173"/>
      <c r="H10" s="211"/>
    </row>
    <row r="11" spans="1:11" ht="46.5" thickBot="1">
      <c r="A11" s="169"/>
      <c r="B11" s="178" t="s">
        <v>38</v>
      </c>
      <c r="C11" s="179" t="s">
        <v>305</v>
      </c>
      <c r="D11" s="195" t="s">
        <v>275</v>
      </c>
      <c r="E11" s="451"/>
      <c r="F11" s="189">
        <f>E11*$F$8</f>
        <v>0</v>
      </c>
      <c r="G11" s="174"/>
      <c r="H11" s="211"/>
    </row>
    <row r="12" spans="1:11" ht="202.5" customHeight="1" thickBot="1">
      <c r="A12" s="169"/>
      <c r="B12" s="178" t="s">
        <v>39</v>
      </c>
      <c r="C12" s="179" t="s">
        <v>277</v>
      </c>
      <c r="D12" s="195" t="s">
        <v>306</v>
      </c>
      <c r="E12" s="451"/>
      <c r="F12" s="189">
        <f>E12*$F$8</f>
        <v>0</v>
      </c>
      <c r="G12" s="171"/>
      <c r="H12" s="211"/>
    </row>
    <row r="13" spans="1:11" ht="81" thickBot="1">
      <c r="A13" s="169"/>
      <c r="B13" s="178" t="s">
        <v>40</v>
      </c>
      <c r="C13" s="179" t="s">
        <v>278</v>
      </c>
      <c r="D13" s="195" t="s">
        <v>307</v>
      </c>
      <c r="E13" s="451"/>
      <c r="F13" s="189">
        <f>E13*$F$8</f>
        <v>0</v>
      </c>
      <c r="G13" s="171"/>
      <c r="H13" s="211"/>
      <c r="J13" s="193"/>
    </row>
    <row r="14" spans="1:11" ht="23.5" thickBot="1">
      <c r="A14" s="180"/>
      <c r="B14" s="178" t="s">
        <v>80</v>
      </c>
      <c r="C14" s="179" t="s">
        <v>308</v>
      </c>
      <c r="D14" s="206" t="s">
        <v>310</v>
      </c>
      <c r="E14" s="451"/>
      <c r="F14" s="189">
        <f t="shared" ref="F14:F15" si="0">E14*$F$8</f>
        <v>0</v>
      </c>
      <c r="G14" s="171"/>
      <c r="H14" s="211"/>
    </row>
    <row r="15" spans="1:11" ht="23.5" thickBot="1">
      <c r="A15" s="180"/>
      <c r="B15" s="178" t="s">
        <v>255</v>
      </c>
      <c r="C15" s="179" t="s">
        <v>309</v>
      </c>
      <c r="D15" s="206" t="s">
        <v>311</v>
      </c>
      <c r="E15" s="451"/>
      <c r="F15" s="189">
        <f t="shared" si="0"/>
        <v>0</v>
      </c>
      <c r="G15" s="172"/>
      <c r="H15" s="212"/>
    </row>
    <row r="16" spans="1:11" ht="29.25" customHeight="1" thickBot="1">
      <c r="A16" s="181" t="s">
        <v>259</v>
      </c>
      <c r="B16" s="178" t="s">
        <v>82</v>
      </c>
      <c r="C16" s="664" t="s">
        <v>316</v>
      </c>
      <c r="D16" s="665"/>
      <c r="E16" s="196" t="str">
        <f>IF(F8=0,"",F16/F8)</f>
        <v/>
      </c>
      <c r="F16" s="190">
        <f>SUM(F9:F15)</f>
        <v>0</v>
      </c>
      <c r="G16" s="175" t="str">
        <f>IF((ROUND(F16,-2))=ROUND('Sch2a-Imp Price by ECM'!J259,-2),"","Project Implementation Delivery Charge Mismatch")</f>
        <v/>
      </c>
      <c r="H16" s="190">
        <f>'Sch2a-Imp Price by ECM'!J259</f>
        <v>0</v>
      </c>
    </row>
    <row r="17" spans="1:8" ht="16.5" thickBot="1">
      <c r="A17" s="168"/>
      <c r="B17" s="178" t="s">
        <v>256</v>
      </c>
      <c r="C17" s="664" t="s">
        <v>324</v>
      </c>
      <c r="D17" s="665"/>
      <c r="E17" s="188"/>
      <c r="F17" s="191">
        <f>'Sch2a-Imp Price by ECM'!L8</f>
        <v>0</v>
      </c>
      <c r="G17" s="171"/>
      <c r="H17" s="191">
        <f>'Sch2a-Imp Price by ECM'!L8</f>
        <v>0</v>
      </c>
    </row>
    <row r="18" spans="1:8" ht="16.5" thickBot="1">
      <c r="A18" s="170"/>
      <c r="B18" s="178" t="s">
        <v>257</v>
      </c>
      <c r="C18" s="664" t="s">
        <v>33</v>
      </c>
      <c r="D18" s="665"/>
      <c r="E18" s="188"/>
      <c r="F18" s="191">
        <f>'Sch2a-Imp Price by ECM'!K259</f>
        <v>0</v>
      </c>
      <c r="G18" s="171"/>
      <c r="H18" s="191">
        <f>'Sch2a-Imp Price by ECM'!K259</f>
        <v>0</v>
      </c>
    </row>
    <row r="19" spans="1:8" ht="49" customHeight="1" thickBot="1">
      <c r="A19" s="93" t="s">
        <v>260</v>
      </c>
      <c r="B19" s="178" t="s">
        <v>258</v>
      </c>
      <c r="C19" s="664" t="s">
        <v>262</v>
      </c>
      <c r="D19" s="665"/>
      <c r="E19" s="188"/>
      <c r="F19" s="197">
        <f>'Sch2a-Imp Price by ECM'!L259*0+F8+F16+F17-F18</f>
        <v>0</v>
      </c>
      <c r="G19" s="176" t="str">
        <f>IF(ROUND(F19,-2)=ROUND('Sch2a-Imp Price by ECM'!L259,-2),"","Implementation Price Mismatch")</f>
        <v/>
      </c>
      <c r="H19" s="197">
        <f>'Sch2a-Imp Price by ECM'!L259</f>
        <v>0</v>
      </c>
    </row>
    <row r="20" spans="1:8" ht="16" thickBot="1">
      <c r="A20" s="182"/>
      <c r="B20" s="183"/>
      <c r="C20" s="183"/>
      <c r="D20" s="183"/>
      <c r="E20" s="183"/>
      <c r="F20" s="183"/>
      <c r="G20" s="184"/>
      <c r="H20" s="183"/>
    </row>
    <row r="21" spans="1:8">
      <c r="A21" s="655" t="s">
        <v>15</v>
      </c>
      <c r="B21" s="656"/>
      <c r="C21" s="656"/>
      <c r="D21" s="656"/>
      <c r="E21" s="656"/>
      <c r="F21" s="656"/>
      <c r="G21" s="657"/>
      <c r="H21" s="526"/>
    </row>
    <row r="22" spans="1:8" ht="19" customHeight="1">
      <c r="A22" s="658" t="s">
        <v>312</v>
      </c>
      <c r="B22" s="659"/>
      <c r="C22" s="659"/>
      <c r="D22" s="659"/>
      <c r="E22" s="659"/>
      <c r="F22" s="659"/>
      <c r="G22" s="660"/>
      <c r="H22" s="555"/>
    </row>
    <row r="23" spans="1:8">
      <c r="A23" s="554"/>
      <c r="B23" s="618"/>
      <c r="C23" s="618"/>
      <c r="D23" s="618"/>
      <c r="E23" s="618"/>
      <c r="F23" s="618"/>
      <c r="G23" s="618"/>
      <c r="H23" s="555"/>
    </row>
    <row r="24" spans="1:8">
      <c r="A24" s="554"/>
      <c r="B24" s="618"/>
      <c r="C24" s="618"/>
      <c r="D24" s="618"/>
      <c r="E24" s="618"/>
      <c r="F24" s="618"/>
      <c r="G24" s="618"/>
      <c r="H24" s="555"/>
    </row>
    <row r="25" spans="1:8">
      <c r="A25" s="644"/>
      <c r="B25" s="645"/>
      <c r="C25" s="645"/>
      <c r="D25" s="645"/>
      <c r="E25" s="645"/>
      <c r="F25" s="645"/>
      <c r="G25" s="646"/>
      <c r="H25" s="555"/>
    </row>
    <row r="26" spans="1:8" ht="16" thickBot="1">
      <c r="A26" s="647"/>
      <c r="B26" s="648"/>
      <c r="C26" s="648"/>
      <c r="D26" s="648"/>
      <c r="E26" s="648"/>
      <c r="F26" s="648"/>
      <c r="G26" s="648"/>
      <c r="H26" s="566"/>
    </row>
    <row r="27" spans="1:8">
      <c r="A27" s="649" t="s">
        <v>173</v>
      </c>
      <c r="B27" s="650"/>
      <c r="C27" s="650"/>
      <c r="D27" s="650"/>
      <c r="E27" s="650"/>
      <c r="F27" s="650"/>
      <c r="G27" s="512"/>
      <c r="H27" s="526"/>
    </row>
    <row r="28" spans="1:8" ht="69" customHeight="1" thickBot="1">
      <c r="A28" s="651"/>
      <c r="B28" s="652"/>
      <c r="C28" s="652"/>
      <c r="D28" s="652"/>
      <c r="E28" s="652"/>
      <c r="F28" s="652"/>
      <c r="G28" s="653"/>
      <c r="H28" s="654"/>
    </row>
    <row r="29" spans="1:8">
      <c r="A29" t="str">
        <f>'Sch2a-Imp Price by ECM'!A271</f>
        <v>4.2.9.c</v>
      </c>
    </row>
    <row r="30" spans="1:8">
      <c r="A30" t="str">
        <f>'Sch2a-Imp Price by ECM'!A272</f>
        <v>02112025</v>
      </c>
    </row>
  </sheetData>
  <sheetProtection algorithmName="SHA-512" hashValue="OYWIJC++qsOwzDdOufa2D2PgtV3Od5R2FfSsur72wnUeBp+kb3zXNQ00AOYNM5aYiOO4dzLbIMa+86mK1dxf0Q==" saltValue="j1fNwdlI398JLYo0L585xg==" spinCount="100000" sheet="1" objects="1" scenarios="1"/>
  <mergeCells count="16">
    <mergeCell ref="A1:H1"/>
    <mergeCell ref="A25:H25"/>
    <mergeCell ref="A26:H26"/>
    <mergeCell ref="A27:H27"/>
    <mergeCell ref="A28:H28"/>
    <mergeCell ref="A2:H2"/>
    <mergeCell ref="A21:H21"/>
    <mergeCell ref="A22:H22"/>
    <mergeCell ref="A23:H23"/>
    <mergeCell ref="A24:H24"/>
    <mergeCell ref="A3:A7"/>
    <mergeCell ref="C8:D8"/>
    <mergeCell ref="C16:D16"/>
    <mergeCell ref="C17:D17"/>
    <mergeCell ref="C18:D18"/>
    <mergeCell ref="C19:D19"/>
  </mergeCells>
  <dataValidations count="3">
    <dataValidation type="whole" allowBlank="1" showInputMessage="1" showErrorMessage="1" errorTitle="Data Input Error" error="Please enter a dollar value " sqref="F5:F7" xr:uid="{00000000-0002-0000-0800-000002000000}">
      <formula1>0</formula1>
      <formula2>1000000000000</formula2>
    </dataValidation>
    <dataValidation type="whole" allowBlank="1" showInputMessage="1" showErrorMessage="1" error="Please enter a dollar value" sqref="F4" xr:uid="{FE906EAC-80AF-409E-8B90-F71C2C9D4B40}">
      <formula1>0</formula1>
      <formula2>1000000000</formula2>
    </dataValidation>
    <dataValidation type="decimal" allowBlank="1" showInputMessage="1" showErrorMessage="1" error="Please enter a percentage between 0 and 100 (no % sign needed)" sqref="E9:E15" xr:uid="{A8CDF61F-87EC-49D5-AD30-31AD7D57BDCE}">
      <formula1>0</formula1>
      <formula2>1</formula2>
    </dataValidation>
  </dataValidations>
  <pageMargins left="0.75" right="0.75" top="1" bottom="1" header="0.5" footer="0.5"/>
  <pageSetup orientation="portrait"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3" id="{E3813D07-E15C-6542-8F9C-97BEFF1D2348}">
            <xm:f>AND('Summary Schedule'!$C$4&lt;&gt;"ESA", 'Summary Schedule'!$C$4&lt;&gt;"Guaranteed Savings")</xm:f>
            <x14:dxf>
              <font>
                <color theme="0" tint="-0.24994659260841701"/>
              </font>
              <fill>
                <patternFill patternType="solid">
                  <fgColor theme="0" tint="-0.24994659260841701"/>
                  <bgColor theme="0" tint="-0.24994659260841701"/>
                </patternFill>
              </fill>
              <border>
                <left/>
                <right/>
                <top/>
                <bottom/>
                <vertical/>
                <horizontal/>
              </border>
            </x14:dxf>
          </x14:cfRule>
          <xm:sqref>A1:H30</xm:sqref>
        </x14:conditionalFormatting>
      </x14:conditionalFormattings>
    </ex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pageSetUpPr fitToPage="1"/>
  </sheetPr>
  <dimension ref="A1:AR49"/>
  <sheetViews>
    <sheetView zoomScale="80" zoomScaleNormal="80" zoomScalePageLayoutView="200" workbookViewId="0">
      <selection sqref="A1:AR1"/>
    </sheetView>
  </sheetViews>
  <sheetFormatPr defaultColWidth="11" defaultRowHeight="16"/>
  <cols>
    <col min="1" max="1" width="21.5" style="38" customWidth="1"/>
    <col min="2" max="2" width="29.5" style="38" customWidth="1"/>
    <col min="3" max="3" width="19.33203125" style="38" customWidth="1"/>
    <col min="4" max="19" width="14.5" style="38" customWidth="1"/>
    <col min="20" max="28" width="14.5" style="17" customWidth="1"/>
    <col min="29" max="29" width="17.1640625" style="17" hidden="1" customWidth="1"/>
    <col min="30" max="43" width="14.5" style="17" hidden="1" customWidth="1"/>
    <col min="44" max="44" width="17" style="17" bestFit="1" customWidth="1"/>
    <col min="45" max="16384" width="11" style="17"/>
  </cols>
  <sheetData>
    <row r="1" spans="1:44" ht="20.25" customHeight="1">
      <c r="A1" s="672" t="s">
        <v>267</v>
      </c>
      <c r="B1" s="672"/>
      <c r="C1" s="672"/>
      <c r="D1" s="672"/>
      <c r="E1" s="672"/>
      <c r="F1" s="672"/>
      <c r="G1" s="672"/>
      <c r="H1" s="672"/>
      <c r="I1" s="672"/>
      <c r="J1" s="672"/>
      <c r="K1" s="672"/>
      <c r="L1" s="672"/>
      <c r="M1" s="672"/>
      <c r="N1" s="672"/>
      <c r="O1" s="672"/>
      <c r="P1" s="672"/>
      <c r="Q1" s="672"/>
      <c r="R1" s="672"/>
      <c r="S1" s="672"/>
      <c r="T1" s="672"/>
      <c r="U1" s="672"/>
      <c r="V1" s="672"/>
      <c r="W1" s="672"/>
      <c r="X1" s="672"/>
      <c r="Y1" s="672"/>
      <c r="Z1" s="672"/>
      <c r="AA1" s="672"/>
      <c r="AB1" s="672"/>
      <c r="AC1" s="672"/>
      <c r="AD1" s="672"/>
      <c r="AE1" s="672"/>
      <c r="AF1" s="672"/>
      <c r="AG1" s="672"/>
      <c r="AH1" s="672"/>
      <c r="AI1" s="672"/>
      <c r="AJ1" s="672"/>
      <c r="AK1" s="672"/>
      <c r="AL1" s="672"/>
      <c r="AM1" s="672"/>
      <c r="AN1" s="672"/>
      <c r="AO1" s="672"/>
      <c r="AP1" s="672"/>
      <c r="AQ1" s="672"/>
      <c r="AR1" s="672"/>
    </row>
    <row r="2" spans="1:44" ht="15.75" customHeight="1" thickBot="1">
      <c r="A2" s="673" t="s">
        <v>87</v>
      </c>
      <c r="B2" s="673"/>
      <c r="C2" s="673"/>
      <c r="D2" s="673"/>
      <c r="E2" s="673"/>
      <c r="F2" s="673"/>
      <c r="G2" s="673"/>
      <c r="H2" s="673"/>
      <c r="I2" s="673"/>
      <c r="J2" s="673"/>
      <c r="K2" s="673"/>
      <c r="L2" s="673"/>
      <c r="M2" s="673"/>
      <c r="N2" s="673"/>
      <c r="O2" s="673"/>
      <c r="P2" s="673"/>
      <c r="Q2" s="673"/>
      <c r="R2" s="673"/>
      <c r="S2" s="673"/>
      <c r="T2" s="673"/>
      <c r="U2" s="673"/>
      <c r="V2" s="673"/>
      <c r="W2" s="673"/>
      <c r="X2" s="673"/>
      <c r="Y2" s="673"/>
      <c r="Z2" s="673"/>
      <c r="AA2" s="673"/>
      <c r="AB2" s="673"/>
      <c r="AC2" s="673"/>
      <c r="AD2" s="673"/>
      <c r="AE2" s="673"/>
      <c r="AF2" s="673"/>
      <c r="AG2" s="673"/>
      <c r="AH2" s="673"/>
      <c r="AI2" s="673"/>
      <c r="AJ2" s="673"/>
      <c r="AK2" s="673"/>
      <c r="AL2" s="673"/>
      <c r="AM2" s="673"/>
      <c r="AN2" s="673"/>
      <c r="AO2" s="673"/>
      <c r="AP2" s="673"/>
      <c r="AQ2" s="673"/>
      <c r="AR2" s="673"/>
    </row>
    <row r="3" spans="1:44" ht="16.5" thickBot="1">
      <c r="A3" s="18"/>
      <c r="B3" s="19"/>
      <c r="C3" s="19"/>
      <c r="D3" s="19"/>
      <c r="E3" s="19"/>
      <c r="F3" s="19"/>
      <c r="G3" s="19"/>
      <c r="H3" s="19"/>
      <c r="I3" s="20"/>
      <c r="J3" s="21"/>
      <c r="K3" s="21"/>
      <c r="L3" s="21"/>
      <c r="M3" s="21"/>
      <c r="N3" s="21"/>
      <c r="O3" s="21"/>
      <c r="P3" s="21"/>
      <c r="Q3" s="21"/>
      <c r="R3" s="21"/>
      <c r="S3" s="21"/>
      <c r="T3" s="22"/>
      <c r="U3" s="22"/>
      <c r="V3" s="22"/>
      <c r="W3" s="22"/>
      <c r="X3" s="22"/>
      <c r="Y3" s="22"/>
      <c r="Z3" s="22"/>
      <c r="AA3" s="22"/>
      <c r="AB3" s="22"/>
      <c r="AC3" s="22"/>
      <c r="AD3" s="22"/>
      <c r="AE3" s="22"/>
      <c r="AF3" s="22"/>
      <c r="AG3" s="22"/>
      <c r="AH3" s="22"/>
      <c r="AI3" s="22"/>
      <c r="AJ3" s="22"/>
      <c r="AK3" s="22"/>
      <c r="AL3" s="22"/>
      <c r="AM3" s="22"/>
      <c r="AN3" s="22"/>
      <c r="AO3" s="22"/>
      <c r="AP3" s="22"/>
      <c r="AQ3" s="22"/>
      <c r="AR3" s="23"/>
    </row>
    <row r="4" spans="1:44" ht="28.5" thickBot="1">
      <c r="A4" s="24"/>
      <c r="B4" s="25" t="s">
        <v>244</v>
      </c>
      <c r="C4" s="26" t="s">
        <v>155</v>
      </c>
      <c r="D4" s="26">
        <v>1</v>
      </c>
      <c r="E4" s="26">
        <v>2</v>
      </c>
      <c r="F4" s="26">
        <v>3</v>
      </c>
      <c r="G4" s="25">
        <v>4</v>
      </c>
      <c r="H4" s="26">
        <v>5</v>
      </c>
      <c r="I4" s="26">
        <v>6</v>
      </c>
      <c r="J4" s="26">
        <v>7</v>
      </c>
      <c r="K4" s="26">
        <v>8</v>
      </c>
      <c r="L4" s="26">
        <v>9</v>
      </c>
      <c r="M4" s="26">
        <v>10</v>
      </c>
      <c r="N4" s="26">
        <v>11</v>
      </c>
      <c r="O4" s="26">
        <v>12</v>
      </c>
      <c r="P4" s="26">
        <v>13</v>
      </c>
      <c r="Q4" s="26">
        <v>14</v>
      </c>
      <c r="R4" s="26">
        <v>15</v>
      </c>
      <c r="S4" s="26">
        <v>16</v>
      </c>
      <c r="T4" s="26">
        <v>17</v>
      </c>
      <c r="U4" s="26">
        <v>18</v>
      </c>
      <c r="V4" s="26">
        <v>19</v>
      </c>
      <c r="W4" s="26">
        <v>20</v>
      </c>
      <c r="X4" s="26">
        <v>21</v>
      </c>
      <c r="Y4" s="26">
        <v>22</v>
      </c>
      <c r="Z4" s="26">
        <v>23</v>
      </c>
      <c r="AA4" s="26">
        <v>24</v>
      </c>
      <c r="AB4" s="26">
        <v>25</v>
      </c>
      <c r="AC4" s="26">
        <v>26</v>
      </c>
      <c r="AD4" s="26">
        <v>27</v>
      </c>
      <c r="AE4" s="26">
        <v>28</v>
      </c>
      <c r="AF4" s="26">
        <v>29</v>
      </c>
      <c r="AG4" s="26">
        <v>30</v>
      </c>
      <c r="AH4" s="26">
        <v>31</v>
      </c>
      <c r="AI4" s="26">
        <v>32</v>
      </c>
      <c r="AJ4" s="26">
        <v>33</v>
      </c>
      <c r="AK4" s="26">
        <v>34</v>
      </c>
      <c r="AL4" s="26">
        <v>35</v>
      </c>
      <c r="AM4" s="26">
        <v>36</v>
      </c>
      <c r="AN4" s="26">
        <v>37</v>
      </c>
      <c r="AO4" s="26">
        <v>38</v>
      </c>
      <c r="AP4" s="26">
        <v>39</v>
      </c>
      <c r="AQ4" s="26">
        <v>40</v>
      </c>
      <c r="AR4" s="27" t="s">
        <v>14</v>
      </c>
    </row>
    <row r="5" spans="1:44" ht="16.5" thickBot="1">
      <c r="A5" s="680" t="s">
        <v>156</v>
      </c>
      <c r="B5" s="28" t="s">
        <v>69</v>
      </c>
      <c r="C5" s="110"/>
      <c r="D5" s="132" cm="1">
        <f t="array" aca="1" ref="D5" ca="1">IF('Summary Schedule'!$D$36="Annual",INDIRECT("'Amortization-HIDDEN'!N"&amp;D4+16&amp;""),IF('Summary Schedule'!$D$36="Quarter",INDIRECT("'Amortization-HIDDEN-Q'!N"&amp;D4+16&amp;""),IF('Summary Schedule'!$D$36="Month",INDIRECT("'Amortization-HIDDEN-M'!N"&amp;D4+16&amp;""),IF('Summary Schedule'!$D$36="Biannual",INDIRECT("'Amortization-HIDDEN-B'!N"&amp;D4+16&amp;""),0))))</f>
        <v>0</v>
      </c>
      <c r="E5" s="132" cm="1">
        <f t="array" aca="1" ref="E5" ca="1">IF('Summary Schedule'!$D$36="Annual",INDIRECT("'Amortization-HIDDEN'!N"&amp;E4+16&amp;""),IF('Summary Schedule'!$D$36="Quarter",INDIRECT("'Amortization-HIDDEN-Q'!N"&amp;E4+16&amp;""),IF('Summary Schedule'!$D$36="Month",INDIRECT("'Amortization-HIDDEN-M'!N"&amp;E4+16&amp;""),IF('Summary Schedule'!$D$36="Biannual",INDIRECT("'Amortization-HIDDEN-B'!N"&amp;E4+16&amp;""),0))))</f>
        <v>0</v>
      </c>
      <c r="F5" s="132" cm="1">
        <f t="array" aca="1" ref="F5" ca="1">IF('Summary Schedule'!$D$36="Annual",INDIRECT("'Amortization-HIDDEN'!N"&amp;F4+16&amp;""),IF('Summary Schedule'!$D$36="Quarter",INDIRECT("'Amortization-HIDDEN-Q'!N"&amp;F4+16&amp;""),IF('Summary Schedule'!$D$36="Month",INDIRECT("'Amortization-HIDDEN-M'!N"&amp;F4+16&amp;""),IF('Summary Schedule'!$D$36="Biannual",INDIRECT("'Amortization-HIDDEN-B'!N"&amp;F4+16&amp;""),0))))</f>
        <v>0</v>
      </c>
      <c r="G5" s="132" cm="1">
        <f t="array" aca="1" ref="G5" ca="1">IF('Summary Schedule'!$D$36="Annual",INDIRECT("'Amortization-HIDDEN'!N"&amp;G4+16&amp;""),IF('Summary Schedule'!$D$36="Quarter",INDIRECT("'Amortization-HIDDEN-Q'!N"&amp;G4+16&amp;""),IF('Summary Schedule'!$D$36="Month",INDIRECT("'Amortization-HIDDEN-M'!N"&amp;G4+16&amp;""),IF('Summary Schedule'!$D$36="Biannual",INDIRECT("'Amortization-HIDDEN-B'!N"&amp;G4+16&amp;""),0))))</f>
        <v>0</v>
      </c>
      <c r="H5" s="132" cm="1">
        <f t="array" aca="1" ref="H5" ca="1">IF('Summary Schedule'!$D$36="Annual",INDIRECT("'Amortization-HIDDEN'!N"&amp;H4+16&amp;""),IF('Summary Schedule'!$D$36="Quarter",INDIRECT("'Amortization-HIDDEN-Q'!N"&amp;H4+16&amp;""),IF('Summary Schedule'!$D$36="Month",INDIRECT("'Amortization-HIDDEN-M'!N"&amp;H4+16&amp;""),IF('Summary Schedule'!$D$36="Biannual",INDIRECT("'Amortization-HIDDEN-B'!N"&amp;H4+16&amp;""),0))))</f>
        <v>0</v>
      </c>
      <c r="I5" s="132" cm="1">
        <f t="array" aca="1" ref="I5" ca="1">IF('Summary Schedule'!$D$36="Annual",INDIRECT("'Amortization-HIDDEN'!N"&amp;I4+16&amp;""),IF('Summary Schedule'!$D$36="Quarter",INDIRECT("'Amortization-HIDDEN-Q'!N"&amp;I4+16&amp;""),IF('Summary Schedule'!$D$36="Month",INDIRECT("'Amortization-HIDDEN-M'!N"&amp;I4+16&amp;""),IF('Summary Schedule'!$D$36="Biannual",INDIRECT("'Amortization-HIDDEN-B'!N"&amp;I4+16&amp;""),0))))</f>
        <v>0</v>
      </c>
      <c r="J5" s="132" cm="1">
        <f t="array" aca="1" ref="J5" ca="1">IF('Summary Schedule'!$D$36="Annual",INDIRECT("'Amortization-HIDDEN'!N"&amp;J4+16&amp;""),IF('Summary Schedule'!$D$36="Quarter",INDIRECT("'Amortization-HIDDEN-Q'!N"&amp;J4+16&amp;""),IF('Summary Schedule'!$D$36="Month",INDIRECT("'Amortization-HIDDEN-M'!N"&amp;J4+16&amp;""),IF('Summary Schedule'!$D$36="Biannual",INDIRECT("'Amortization-HIDDEN-B'!N"&amp;J4+16&amp;""),0))))</f>
        <v>0</v>
      </c>
      <c r="K5" s="132" cm="1">
        <f t="array" aca="1" ref="K5" ca="1">IF('Summary Schedule'!$D$36="Annual",INDIRECT("'Amortization-HIDDEN'!N"&amp;K4+16&amp;""),IF('Summary Schedule'!$D$36="Quarter",INDIRECT("'Amortization-HIDDEN-Q'!N"&amp;K4+16&amp;""),IF('Summary Schedule'!$D$36="Month",INDIRECT("'Amortization-HIDDEN-M'!N"&amp;K4+16&amp;""),IF('Summary Schedule'!$D$36="Biannual",INDIRECT("'Amortization-HIDDEN-B'!N"&amp;K4+16&amp;""),0))))</f>
        <v>0</v>
      </c>
      <c r="L5" s="132" cm="1">
        <f t="array" aca="1" ref="L5" ca="1">IF('Summary Schedule'!$D$36="Annual",INDIRECT("'Amortization-HIDDEN'!N"&amp;L4+16&amp;""),IF('Summary Schedule'!$D$36="Quarter",INDIRECT("'Amortization-HIDDEN-Q'!N"&amp;L4+16&amp;""),IF('Summary Schedule'!$D$36="Month",INDIRECT("'Amortization-HIDDEN-M'!N"&amp;L4+16&amp;""),IF('Summary Schedule'!$D$36="Biannual",INDIRECT("'Amortization-HIDDEN-B'!N"&amp;L4+16&amp;""),0))))</f>
        <v>0</v>
      </c>
      <c r="M5" s="132" cm="1">
        <f t="array" aca="1" ref="M5" ca="1">IF('Summary Schedule'!$D$36="Annual",INDIRECT("'Amortization-HIDDEN'!N"&amp;M4+16&amp;""),IF('Summary Schedule'!$D$36="Quarter",INDIRECT("'Amortization-HIDDEN-Q'!N"&amp;M4+16&amp;""),IF('Summary Schedule'!$D$36="Month",INDIRECT("'Amortization-HIDDEN-M'!N"&amp;M4+16&amp;""),IF('Summary Schedule'!$D$36="Biannual",INDIRECT("'Amortization-HIDDEN-B'!N"&amp;M4+16&amp;""),0))))</f>
        <v>0</v>
      </c>
      <c r="N5" s="132" cm="1">
        <f t="array" aca="1" ref="N5" ca="1">IF('Summary Schedule'!$D$36="Annual",INDIRECT("'Amortization-HIDDEN'!N"&amp;N4+16&amp;""),IF('Summary Schedule'!$D$36="Quarter",INDIRECT("'Amortization-HIDDEN-Q'!N"&amp;N4+16&amp;""),IF('Summary Schedule'!$D$36="Month",INDIRECT("'Amortization-HIDDEN-M'!N"&amp;N4+16&amp;""),IF('Summary Schedule'!$D$36="Biannual",INDIRECT("'Amortization-HIDDEN-B'!N"&amp;N4+16&amp;""),0))))</f>
        <v>0</v>
      </c>
      <c r="O5" s="132" cm="1">
        <f t="array" aca="1" ref="O5" ca="1">IF('Summary Schedule'!$D$36="Annual",INDIRECT("'Amortization-HIDDEN'!N"&amp;O4+16&amp;""),IF('Summary Schedule'!$D$36="Quarter",INDIRECT("'Amortization-HIDDEN-Q'!N"&amp;O4+16&amp;""),IF('Summary Schedule'!$D$36="Month",INDIRECT("'Amortization-HIDDEN-M'!N"&amp;O4+16&amp;""),IF('Summary Schedule'!$D$36="Biannual",INDIRECT("'Amortization-HIDDEN-B'!N"&amp;O4+16&amp;""),0))))</f>
        <v>0</v>
      </c>
      <c r="P5" s="132" cm="1">
        <f t="array" aca="1" ref="P5" ca="1">IF('Summary Schedule'!$D$36="Annual",INDIRECT("'Amortization-HIDDEN'!N"&amp;P4+16&amp;""),IF('Summary Schedule'!$D$36="Quarter",INDIRECT("'Amortization-HIDDEN-Q'!N"&amp;P4+16&amp;""),IF('Summary Schedule'!$D$36="Month",INDIRECT("'Amortization-HIDDEN-M'!N"&amp;P4+16&amp;""),IF('Summary Schedule'!$D$36="Biannual",INDIRECT("'Amortization-HIDDEN-B'!N"&amp;P4+16&amp;""),0))))</f>
        <v>0</v>
      </c>
      <c r="Q5" s="132" cm="1">
        <f t="array" aca="1" ref="Q5" ca="1">IF('Summary Schedule'!$D$36="Annual",INDIRECT("'Amortization-HIDDEN'!N"&amp;Q4+16&amp;""),IF('Summary Schedule'!$D$36="Quarter",INDIRECT("'Amortization-HIDDEN-Q'!N"&amp;Q4+16&amp;""),IF('Summary Schedule'!$D$36="Month",INDIRECT("'Amortization-HIDDEN-M'!N"&amp;Q4+16&amp;""),IF('Summary Schedule'!$D$36="Biannual",INDIRECT("'Amortization-HIDDEN-B'!N"&amp;Q4+16&amp;""),0))))</f>
        <v>0</v>
      </c>
      <c r="R5" s="132" cm="1">
        <f t="array" aca="1" ref="R5" ca="1">IF('Summary Schedule'!$D$36="Annual",INDIRECT("'Amortization-HIDDEN'!N"&amp;R4+16&amp;""),IF('Summary Schedule'!$D$36="Quarter",INDIRECT("'Amortization-HIDDEN-Q'!N"&amp;R4+16&amp;""),IF('Summary Schedule'!$D$36="Month",INDIRECT("'Amortization-HIDDEN-M'!N"&amp;R4+16&amp;""),IF('Summary Schedule'!$D$36="Biannual",INDIRECT("'Amortization-HIDDEN-B'!N"&amp;R4+16&amp;""),0))))</f>
        <v>0</v>
      </c>
      <c r="S5" s="132" cm="1">
        <f t="array" aca="1" ref="S5" ca="1">IF('Summary Schedule'!$D$36="Annual",INDIRECT("'Amortization-HIDDEN'!N"&amp;S4+16&amp;""),IF('Summary Schedule'!$D$36="Quarter",INDIRECT("'Amortization-HIDDEN-Q'!N"&amp;S4+16&amp;""),IF('Summary Schedule'!$D$36="Month",INDIRECT("'Amortization-HIDDEN-M'!N"&amp;S4+16&amp;""),IF('Summary Schedule'!$D$36="Biannual",INDIRECT("'Amortization-HIDDEN-B'!N"&amp;S4+16&amp;""),0))))</f>
        <v>0</v>
      </c>
      <c r="T5" s="132" cm="1">
        <f t="array" aca="1" ref="T5" ca="1">IF('Summary Schedule'!$D$36="Annual",INDIRECT("'Amortization-HIDDEN'!N"&amp;T4+16&amp;""),IF('Summary Schedule'!$D$36="Quarter",INDIRECT("'Amortization-HIDDEN-Q'!N"&amp;T4+16&amp;""),IF('Summary Schedule'!$D$36="Month",INDIRECT("'Amortization-HIDDEN-M'!N"&amp;T4+16&amp;""),IF('Summary Schedule'!$D$36="Biannual",INDIRECT("'Amortization-HIDDEN-B'!N"&amp;T4+16&amp;""),0))))</f>
        <v>0</v>
      </c>
      <c r="U5" s="132" cm="1">
        <f t="array" aca="1" ref="U5" ca="1">IF('Summary Schedule'!$D$36="Annual",INDIRECT("'Amortization-HIDDEN'!N"&amp;U4+16&amp;""),IF('Summary Schedule'!$D$36="Quarter",INDIRECT("'Amortization-HIDDEN-Q'!N"&amp;U4+16&amp;""),IF('Summary Schedule'!$D$36="Month",INDIRECT("'Amortization-HIDDEN-M'!N"&amp;U4+16&amp;""),IF('Summary Schedule'!$D$36="Biannual",INDIRECT("'Amortization-HIDDEN-B'!N"&amp;U4+16&amp;""),0))))</f>
        <v>0</v>
      </c>
      <c r="V5" s="132" cm="1">
        <f t="array" aca="1" ref="V5" ca="1">IF('Summary Schedule'!$D$36="Annual",INDIRECT("'Amortization-HIDDEN'!N"&amp;V4+16&amp;""),IF('Summary Schedule'!$D$36="Quarter",INDIRECT("'Amortization-HIDDEN-Q'!N"&amp;V4+16&amp;""),IF('Summary Schedule'!$D$36="Month",INDIRECT("'Amortization-HIDDEN-M'!N"&amp;V4+16&amp;""),IF('Summary Schedule'!$D$36="Biannual",INDIRECT("'Amortization-HIDDEN-B'!N"&amp;V4+16&amp;""),0))))</f>
        <v>0</v>
      </c>
      <c r="W5" s="132" cm="1">
        <f t="array" aca="1" ref="W5" ca="1">IF('Summary Schedule'!$D$36="Annual",INDIRECT("'Amortization-HIDDEN'!N"&amp;W4+16&amp;""),IF('Summary Schedule'!$D$36="Quarter",INDIRECT("'Amortization-HIDDEN-Q'!N"&amp;W4+16&amp;""),IF('Summary Schedule'!$D$36="Month",INDIRECT("'Amortization-HIDDEN-M'!N"&amp;W4+16&amp;""),IF('Summary Schedule'!$D$36="Biannual",INDIRECT("'Amortization-HIDDEN-B'!N"&amp;W4+16&amp;""),0))))</f>
        <v>0</v>
      </c>
      <c r="X5" s="132" cm="1">
        <f t="array" aca="1" ref="X5" ca="1">IF('Summary Schedule'!$D$36="Annual",INDIRECT("'Amortization-HIDDEN'!N"&amp;X4+16&amp;""),IF('Summary Schedule'!$D$36="Quarter",INDIRECT("'Amortization-HIDDEN-Q'!N"&amp;X4+16&amp;""),IF('Summary Schedule'!$D$36="Month",INDIRECT("'Amortization-HIDDEN-M'!N"&amp;X4+16&amp;""),IF('Summary Schedule'!$D$36="Biannual",INDIRECT("'Amortization-HIDDEN-B'!N"&amp;X4+16&amp;""),0))))</f>
        <v>0</v>
      </c>
      <c r="Y5" s="132" cm="1">
        <f t="array" aca="1" ref="Y5" ca="1">IF('Summary Schedule'!$D$36="Annual",INDIRECT("'Amortization-HIDDEN'!N"&amp;Y4+16&amp;""),IF('Summary Schedule'!$D$36="Quarter",INDIRECT("'Amortization-HIDDEN-Q'!N"&amp;Y4+16&amp;""),IF('Summary Schedule'!$D$36="Month",INDIRECT("'Amortization-HIDDEN-M'!N"&amp;Y4+16&amp;""),IF('Summary Schedule'!$D$36="Biannual",INDIRECT("'Amortization-HIDDEN-B'!N"&amp;Y4+16&amp;""),0))))</f>
        <v>0</v>
      </c>
      <c r="Z5" s="132" cm="1">
        <f t="array" aca="1" ref="Z5" ca="1">IF('Summary Schedule'!$D$36="Annual",INDIRECT("'Amortization-HIDDEN'!N"&amp;Z4+16&amp;""),IF('Summary Schedule'!$D$36="Quarter",INDIRECT("'Amortization-HIDDEN-Q'!N"&amp;Z4+16&amp;""),IF('Summary Schedule'!$D$36="Month",INDIRECT("'Amortization-HIDDEN-M'!N"&amp;Z4+16&amp;""),IF('Summary Schedule'!$D$36="Biannual",INDIRECT("'Amortization-HIDDEN-B'!N"&amp;Z4+16&amp;""),0))))</f>
        <v>0</v>
      </c>
      <c r="AA5" s="132" cm="1">
        <f t="array" aca="1" ref="AA5" ca="1">IF('Summary Schedule'!$D$36="Annual",INDIRECT("'Amortization-HIDDEN'!N"&amp;AA4+16&amp;""),IF('Summary Schedule'!$D$36="Quarter",INDIRECT("'Amortization-HIDDEN-Q'!N"&amp;AA4+16&amp;""),IF('Summary Schedule'!$D$36="Month",INDIRECT("'Amortization-HIDDEN-M'!N"&amp;AA4+16&amp;""),IF('Summary Schedule'!$D$36="Biannual",INDIRECT("'Amortization-HIDDEN-B'!N"&amp;AA4+16&amp;""),0))))</f>
        <v>0</v>
      </c>
      <c r="AB5" s="132" cm="1">
        <f t="array" aca="1" ref="AB5" ca="1">IF('Summary Schedule'!$D$36="Annual",INDIRECT("'Amortization-HIDDEN'!N"&amp;AB4+16&amp;""),IF('Summary Schedule'!$D$36="Quarter",INDIRECT("'Amortization-HIDDEN-Q'!N"&amp;AB4+16&amp;""),IF('Summary Schedule'!$D$36="Month",INDIRECT("'Amortization-HIDDEN-M'!N"&amp;AB4+16&amp;""),IF('Summary Schedule'!$D$36="Biannual",INDIRECT("'Amortization-HIDDEN-B'!N"&amp;AB4+16&amp;""),0))))</f>
        <v>0</v>
      </c>
      <c r="AC5" s="132">
        <f ca="1">IF('Summary Schedule'!$D$36="Annual",MAX(INDIRECT("'Amortization-HIDDEN'!N"&amp;AC4+16&amp;""),0),IF('Summary Schedule'!$D$36="Quarter",MAX(INDIRECT("'Amortization-HIDDEN-Q'!N"&amp;AC4+16&amp;""),0),IF('Summary Schedule'!$D$36="Month",MAX(INDIRECT("'Amortization-HIDDEN-M'!N"&amp;AC4+16&amp;""),0),IF('Summary Schedule'!$D$36="Biannual",MAX(INDIRECT("'Amortization-HIDDEN-B'!N"&amp;AC4+16&amp;""),0),0))))</f>
        <v>0</v>
      </c>
      <c r="AD5" s="132">
        <f ca="1">IF('Summary Schedule'!$D$36="Annual",MAX(INDIRECT("'Amortization-HIDDEN'!N"&amp;AD4+16&amp;""),0),IF('Summary Schedule'!$D$36="Quarter",MAX(INDIRECT("'Amortization-HIDDEN-Q'!N"&amp;AD4+16&amp;""),0),IF('Summary Schedule'!$D$36="Month",MAX(INDIRECT("'Amortization-HIDDEN-M'!N"&amp;AD4+16&amp;""),0),IF('Summary Schedule'!$D$36="Biannual",MAX(INDIRECT("'Amortization-HIDDEN-B'!N"&amp;AD4+16&amp;""),0),0))))</f>
        <v>0</v>
      </c>
      <c r="AE5" s="132">
        <f ca="1">IF('Summary Schedule'!$D$36="Annual",MAX(INDIRECT("'Amortization-HIDDEN'!N"&amp;AE4+16&amp;""),0),IF('Summary Schedule'!$D$36="Quarter",MAX(INDIRECT("'Amortization-HIDDEN-Q'!N"&amp;AE4+16&amp;""),0),IF('Summary Schedule'!$D$36="Month",MAX(INDIRECT("'Amortization-HIDDEN-M'!N"&amp;AE4+16&amp;""),0),IF('Summary Schedule'!$D$36="Biannual",MAX(INDIRECT("'Amortization-HIDDEN-B'!N"&amp;AE4+16&amp;""),0),0))))</f>
        <v>0</v>
      </c>
      <c r="AF5" s="132">
        <f ca="1">IF('Summary Schedule'!$D$36="Annual",MAX(INDIRECT("'Amortization-HIDDEN'!N"&amp;AF4+16&amp;""),0),IF('Summary Schedule'!$D$36="Quarter",MAX(INDIRECT("'Amortization-HIDDEN-Q'!N"&amp;AF4+16&amp;""),0),IF('Summary Schedule'!$D$36="Month",MAX(INDIRECT("'Amortization-HIDDEN-M'!N"&amp;AF4+16&amp;""),0),IF('Summary Schedule'!$D$36="Biannual",MAX(INDIRECT("'Amortization-HIDDEN-B'!N"&amp;AF4+16&amp;""),0),0))))</f>
        <v>0</v>
      </c>
      <c r="AG5" s="132">
        <f ca="1">IF('Summary Schedule'!$D$36="Annual",MAX(INDIRECT("'Amortization-HIDDEN'!N"&amp;AG4+16&amp;""),0),IF('Summary Schedule'!$D$36="Quarter",MAX(INDIRECT("'Amortization-HIDDEN-Q'!N"&amp;AG4+16&amp;""),0),IF('Summary Schedule'!$D$36="Month",MAX(INDIRECT("'Amortization-HIDDEN-M'!N"&amp;AG4+16&amp;""),0),IF('Summary Schedule'!$D$36="Biannual",MAX(INDIRECT("'Amortization-HIDDEN-B'!N"&amp;AG4+16&amp;""),0),0))))</f>
        <v>0</v>
      </c>
      <c r="AH5" s="132">
        <f ca="1">IF('Summary Schedule'!$D$36="Annual",MAX(INDIRECT("'Amortization-HIDDEN'!N"&amp;AH4+16&amp;""),0),IF('Summary Schedule'!$D$36="Quarter",MAX(INDIRECT("'Amortization-HIDDEN-Q'!N"&amp;AH4+16&amp;""),0),IF('Summary Schedule'!$D$36="Month",MAX(INDIRECT("'Amortization-HIDDEN-M'!N"&amp;AH4+16&amp;""),0),IF('Summary Schedule'!$D$36="Biannual",MAX(INDIRECT("'Amortization-HIDDEN-B'!N"&amp;AH4+16&amp;""),0),0))))</f>
        <v>0</v>
      </c>
      <c r="AI5" s="132">
        <f ca="1">IF('Summary Schedule'!$D$36="Annual",MAX(INDIRECT("'Amortization-HIDDEN'!N"&amp;AI4+16&amp;""),0),IF('Summary Schedule'!$D$36="Quarter",MAX(INDIRECT("'Amortization-HIDDEN-Q'!N"&amp;AI4+16&amp;""),0),IF('Summary Schedule'!$D$36="Month",MAX(INDIRECT("'Amortization-HIDDEN-M'!N"&amp;AI4+16&amp;""),0),IF('Summary Schedule'!$D$36="Biannual",MAX(INDIRECT("'Amortization-HIDDEN-B'!N"&amp;AI4+16&amp;""),0),0))))</f>
        <v>0</v>
      </c>
      <c r="AJ5" s="132">
        <f ca="1">IF('Summary Schedule'!$D$36="Annual",MAX(INDIRECT("'Amortization-HIDDEN'!N"&amp;AJ4+16&amp;""),0),IF('Summary Schedule'!$D$36="Quarter",MAX(INDIRECT("'Amortization-HIDDEN-Q'!N"&amp;AJ4+16&amp;""),0),IF('Summary Schedule'!$D$36="Month",MAX(INDIRECT("'Amortization-HIDDEN-M'!N"&amp;AJ4+16&amp;""),0),IF('Summary Schedule'!$D$36="Biannual",MAX(INDIRECT("'Amortization-HIDDEN-B'!N"&amp;AJ4+16&amp;""),0),0))))</f>
        <v>0</v>
      </c>
      <c r="AK5" s="132">
        <f ca="1">IF('Summary Schedule'!$D$36="Annual",MAX(INDIRECT("'Amortization-HIDDEN'!N"&amp;AK4+16&amp;""),0),IF('Summary Schedule'!$D$36="Quarter",MAX(INDIRECT("'Amortization-HIDDEN-Q'!N"&amp;AK4+16&amp;""),0),IF('Summary Schedule'!$D$36="Month",MAX(INDIRECT("'Amortization-HIDDEN-M'!N"&amp;AK4+16&amp;""),0),IF('Summary Schedule'!$D$36="Biannual",MAX(INDIRECT("'Amortization-HIDDEN-B'!N"&amp;AK4+16&amp;""),0),0))))</f>
        <v>0</v>
      </c>
      <c r="AL5" s="132">
        <f ca="1">IF('Summary Schedule'!$D$36="Annual",MAX(INDIRECT("'Amortization-HIDDEN'!N"&amp;AL4+16&amp;""),0),IF('Summary Schedule'!$D$36="Quarter",MAX(INDIRECT("'Amortization-HIDDEN-Q'!N"&amp;AL4+16&amp;""),0),IF('Summary Schedule'!$D$36="Month",MAX(INDIRECT("'Amortization-HIDDEN-M'!N"&amp;AL4+16&amp;""),0),IF('Summary Schedule'!$D$36="Biannual",MAX(INDIRECT("'Amortization-HIDDEN-B'!N"&amp;AL4+16&amp;""),0),0))))</f>
        <v>0</v>
      </c>
      <c r="AM5" s="132">
        <f ca="1">IF('Summary Schedule'!$D$36="Annual",MAX(INDIRECT("'Amortization-HIDDEN'!N"&amp;AM4+16&amp;""),0),IF('Summary Schedule'!$D$36="Quarter",MAX(INDIRECT("'Amortization-HIDDEN-Q'!N"&amp;AM4+16&amp;""),0),IF('Summary Schedule'!$D$36="Month",MAX(INDIRECT("'Amortization-HIDDEN-M'!N"&amp;AM4+16&amp;""),0),IF('Summary Schedule'!$D$36="Biannual",MAX(INDIRECT("'Amortization-HIDDEN-B'!N"&amp;AM4+16&amp;""),0),0))))</f>
        <v>0</v>
      </c>
      <c r="AN5" s="132">
        <f ca="1">IF('Summary Schedule'!$D$36="Annual",MAX(INDIRECT("'Amortization-HIDDEN'!N"&amp;AN4+16&amp;""),0),IF('Summary Schedule'!$D$36="Quarter",MAX(INDIRECT("'Amortization-HIDDEN-Q'!N"&amp;AN4+16&amp;""),0),IF('Summary Schedule'!$D$36="Month",MAX(INDIRECT("'Amortization-HIDDEN-M'!N"&amp;AN4+16&amp;""),0),IF('Summary Schedule'!$D$36="Biannual",MAX(INDIRECT("'Amortization-HIDDEN-B'!N"&amp;AN4+16&amp;""),0),0))))</f>
        <v>0</v>
      </c>
      <c r="AO5" s="132">
        <f ca="1">IF('Summary Schedule'!$D$36="Annual",MAX(INDIRECT("'Amortization-HIDDEN'!N"&amp;AO4+16&amp;""),0),IF('Summary Schedule'!$D$36="Quarter",MAX(INDIRECT("'Amortization-HIDDEN-Q'!N"&amp;AO4+16&amp;""),0),IF('Summary Schedule'!$D$36="Month",MAX(INDIRECT("'Amortization-HIDDEN-M'!N"&amp;AO4+16&amp;""),0),IF('Summary Schedule'!$D$36="Biannual",MAX(INDIRECT("'Amortization-HIDDEN-B'!N"&amp;AO4+16&amp;""),0),0))))</f>
        <v>0</v>
      </c>
      <c r="AP5" s="132">
        <f ca="1">IF('Summary Schedule'!$D$36="Annual",MAX(INDIRECT("'Amortization-HIDDEN'!N"&amp;AP4+16&amp;""),0),IF('Summary Schedule'!$D$36="Quarter",MAX(INDIRECT("'Amortization-HIDDEN-Q'!N"&amp;AP4+16&amp;""),0),IF('Summary Schedule'!$D$36="Month",MAX(INDIRECT("'Amortization-HIDDEN-M'!N"&amp;AP4+16&amp;""),0),IF('Summary Schedule'!$D$36="Biannual",MAX(INDIRECT("'Amortization-HIDDEN-B'!N"&amp;AP4+16&amp;""),0),0))))</f>
        <v>0</v>
      </c>
      <c r="AQ5" s="132">
        <f ca="1">IF('Summary Schedule'!$D$36="Annual",MAX(INDIRECT("'Amortization-HIDDEN'!N"&amp;AQ4+16&amp;""),0),IF('Summary Schedule'!$D$36="Quarter",MAX(INDIRECT("'Amortization-HIDDEN-Q'!N"&amp;AQ4+16&amp;""),0),IF('Summary Schedule'!$D$36="Month",MAX(INDIRECT("'Amortization-HIDDEN-M'!N"&amp;AQ4+16&amp;""),0),IF('Summary Schedule'!$D$36="Biannual",MAX(INDIRECT("'Amortization-HIDDEN-B'!N"&amp;AQ4+16&amp;""),0),0))))</f>
        <v>0</v>
      </c>
      <c r="AR5" s="133">
        <f ca="1">SUM(D5:AB5)</f>
        <v>0</v>
      </c>
    </row>
    <row r="6" spans="1:44" ht="54.75" customHeight="1" thickBot="1">
      <c r="A6" s="681"/>
      <c r="B6" s="28" t="s">
        <v>417</v>
      </c>
      <c r="C6" s="111"/>
      <c r="D6" s="452">
        <v>0</v>
      </c>
      <c r="E6" s="452">
        <v>0</v>
      </c>
      <c r="F6" s="452">
        <v>0</v>
      </c>
      <c r="G6" s="452">
        <v>0</v>
      </c>
      <c r="H6" s="452">
        <v>0</v>
      </c>
      <c r="I6" s="452">
        <v>0</v>
      </c>
      <c r="J6" s="452">
        <v>0</v>
      </c>
      <c r="K6" s="452">
        <v>0</v>
      </c>
      <c r="L6" s="452">
        <v>0</v>
      </c>
      <c r="M6" s="452">
        <v>0</v>
      </c>
      <c r="N6" s="452">
        <v>0</v>
      </c>
      <c r="O6" s="452">
        <v>0</v>
      </c>
      <c r="P6" s="452">
        <v>0</v>
      </c>
      <c r="Q6" s="452">
        <v>0</v>
      </c>
      <c r="R6" s="452">
        <v>0</v>
      </c>
      <c r="S6" s="452">
        <v>0</v>
      </c>
      <c r="T6" s="452">
        <v>0</v>
      </c>
      <c r="U6" s="452">
        <v>0</v>
      </c>
      <c r="V6" s="452">
        <v>0</v>
      </c>
      <c r="W6" s="452">
        <v>0</v>
      </c>
      <c r="X6" s="452">
        <v>0</v>
      </c>
      <c r="Y6" s="452">
        <v>0</v>
      </c>
      <c r="Z6" s="452">
        <v>0</v>
      </c>
      <c r="AA6" s="452">
        <v>0</v>
      </c>
      <c r="AB6" s="452">
        <v>0</v>
      </c>
      <c r="AC6" s="241">
        <v>0</v>
      </c>
      <c r="AD6" s="241">
        <v>0</v>
      </c>
      <c r="AE6" s="241">
        <v>0</v>
      </c>
      <c r="AF6" s="241">
        <v>0</v>
      </c>
      <c r="AG6" s="241">
        <v>0</v>
      </c>
      <c r="AH6" s="241">
        <v>0</v>
      </c>
      <c r="AI6" s="241">
        <v>0</v>
      </c>
      <c r="AJ6" s="241">
        <v>0</v>
      </c>
      <c r="AK6" s="241">
        <v>0</v>
      </c>
      <c r="AL6" s="241">
        <v>0</v>
      </c>
      <c r="AM6" s="241">
        <v>0</v>
      </c>
      <c r="AN6" s="241">
        <v>0</v>
      </c>
      <c r="AO6" s="241">
        <v>0</v>
      </c>
      <c r="AP6" s="241">
        <v>0</v>
      </c>
      <c r="AQ6" s="241">
        <v>0</v>
      </c>
      <c r="AR6" s="106">
        <f>SUM(D6:AB6)</f>
        <v>0</v>
      </c>
    </row>
    <row r="7" spans="1:44" ht="54.75" customHeight="1" thickBot="1">
      <c r="A7" s="681"/>
      <c r="B7" s="28" t="s">
        <v>158</v>
      </c>
      <c r="C7" s="111"/>
      <c r="D7" s="452">
        <v>1</v>
      </c>
      <c r="E7" s="452">
        <v>1</v>
      </c>
      <c r="F7" s="452">
        <v>1</v>
      </c>
      <c r="G7" s="452">
        <v>1</v>
      </c>
      <c r="H7" s="452">
        <v>1</v>
      </c>
      <c r="I7" s="452">
        <v>1</v>
      </c>
      <c r="J7" s="452">
        <v>1</v>
      </c>
      <c r="K7" s="452">
        <v>1</v>
      </c>
      <c r="L7" s="452">
        <v>1</v>
      </c>
      <c r="M7" s="452">
        <v>1</v>
      </c>
      <c r="N7" s="452">
        <v>1</v>
      </c>
      <c r="O7" s="452">
        <v>1</v>
      </c>
      <c r="P7" s="452">
        <v>1</v>
      </c>
      <c r="Q7" s="452">
        <v>1</v>
      </c>
      <c r="R7" s="452">
        <v>1</v>
      </c>
      <c r="S7" s="452">
        <v>1</v>
      </c>
      <c r="T7" s="452">
        <v>1</v>
      </c>
      <c r="U7" s="452">
        <v>1</v>
      </c>
      <c r="V7" s="452">
        <v>1</v>
      </c>
      <c r="W7" s="452">
        <v>1</v>
      </c>
      <c r="X7" s="452">
        <v>1</v>
      </c>
      <c r="Y7" s="452">
        <v>1</v>
      </c>
      <c r="Z7" s="452">
        <v>1</v>
      </c>
      <c r="AA7" s="452">
        <v>1</v>
      </c>
      <c r="AB7" s="452">
        <v>1</v>
      </c>
      <c r="AC7" s="452">
        <v>1</v>
      </c>
      <c r="AD7" s="452">
        <v>1</v>
      </c>
      <c r="AE7" s="452">
        <v>1</v>
      </c>
      <c r="AF7" s="452">
        <v>1</v>
      </c>
      <c r="AG7" s="452">
        <v>1</v>
      </c>
      <c r="AH7" s="452">
        <v>1</v>
      </c>
      <c r="AI7" s="452">
        <v>1</v>
      </c>
      <c r="AJ7" s="452">
        <v>1</v>
      </c>
      <c r="AK7" s="452">
        <v>1</v>
      </c>
      <c r="AL7" s="452">
        <v>1</v>
      </c>
      <c r="AM7" s="452">
        <v>1</v>
      </c>
      <c r="AN7" s="452">
        <v>1</v>
      </c>
      <c r="AO7" s="452">
        <v>1</v>
      </c>
      <c r="AP7" s="452">
        <v>1</v>
      </c>
      <c r="AQ7" s="452">
        <v>1</v>
      </c>
      <c r="AR7" s="106"/>
    </row>
    <row r="8" spans="1:44" ht="16.5" thickBot="1">
      <c r="A8" s="681"/>
      <c r="B8" s="28" t="s">
        <v>67</v>
      </c>
      <c r="C8" s="111"/>
      <c r="D8" s="132" t="str">
        <f ca="1">IF('Summary Schedule'!$D$36="Annual",INDIRECT("'Amortization-HIDDEN'!O"&amp;D4+16&amp;""),IF('Summary Schedule'!$D$36="Quarter",INDIRECT("'Amortization-HIDDEN-Q'!O"&amp;D4+16&amp;""),IF('Summary Schedule'!$D$36="Month",INDIRECT("'Amortization-HIDDEN-M'!O"&amp;D4+16&amp;""),IF('Summary Schedule'!$D$36="Biannual",INDIRECT("'Amortization-HIDDEN-B'!O"&amp;D4+16&amp;""),""))))</f>
        <v/>
      </c>
      <c r="E8" s="132" t="str">
        <f ca="1">IF('Summary Schedule'!$D$36="Annual",INDIRECT("'Amortization-HIDDEN'!O"&amp;E4+16&amp;""),IF('Summary Schedule'!$D$36="Quarter",INDIRECT("'Amortization-HIDDEN-Q'!O"&amp;E4+16&amp;""),IF('Summary Schedule'!$D$36="Month",INDIRECT("'Amortization-HIDDEN-M'!O"&amp;E4+16&amp;""),IF('Summary Schedule'!$D$36="Biannual",INDIRECT("'Amortization-HIDDEN-B'!O"&amp;E4+16&amp;""),""))))</f>
        <v/>
      </c>
      <c r="F8" s="132" t="str">
        <f ca="1">IF('Summary Schedule'!$D$36="Annual",INDIRECT("'Amortization-HIDDEN'!O"&amp;F4+16&amp;""),IF('Summary Schedule'!$D$36="Quarter",INDIRECT("'Amortization-HIDDEN-Q'!O"&amp;F4+16&amp;""),IF('Summary Schedule'!$D$36="Month",INDIRECT("'Amortization-HIDDEN-M'!O"&amp;F4+16&amp;""),IF('Summary Schedule'!$D$36="Biannual",INDIRECT("'Amortization-HIDDEN-B'!O"&amp;F4+16&amp;""),""))))</f>
        <v/>
      </c>
      <c r="G8" s="132" t="str">
        <f ca="1">IF('Summary Schedule'!$D$36="Annual",INDIRECT("'Amortization-HIDDEN'!O"&amp;G4+16&amp;""),IF('Summary Schedule'!$D$36="Quarter",INDIRECT("'Amortization-HIDDEN-Q'!O"&amp;G4+16&amp;""),IF('Summary Schedule'!$D$36="Month",INDIRECT("'Amortization-HIDDEN-M'!O"&amp;G4+16&amp;""),IF('Summary Schedule'!$D$36="Biannual",INDIRECT("'Amortization-HIDDEN-B'!O"&amp;G4+16&amp;""),""))))</f>
        <v/>
      </c>
      <c r="H8" s="132" t="str">
        <f ca="1">IF('Summary Schedule'!$D$36="Annual",INDIRECT("'Amortization-HIDDEN'!O"&amp;H4+16&amp;""),IF('Summary Schedule'!$D$36="Quarter",INDIRECT("'Amortization-HIDDEN-Q'!O"&amp;H4+16&amp;""),IF('Summary Schedule'!$D$36="Month",INDIRECT("'Amortization-HIDDEN-M'!O"&amp;H4+16&amp;""),IF('Summary Schedule'!$D$36="Biannual",INDIRECT("'Amortization-HIDDEN-B'!O"&amp;H4+16&amp;""),""))))</f>
        <v/>
      </c>
      <c r="I8" s="132" t="str">
        <f ca="1">IF('Summary Schedule'!$D$36="Annual",INDIRECT("'Amortization-HIDDEN'!O"&amp;I4+16&amp;""),IF('Summary Schedule'!$D$36="Quarter",INDIRECT("'Amortization-HIDDEN-Q'!O"&amp;I4+16&amp;""),IF('Summary Schedule'!$D$36="Month",INDIRECT("'Amortization-HIDDEN-M'!O"&amp;I4+16&amp;""),IF('Summary Schedule'!$D$36="Biannual",INDIRECT("'Amortization-HIDDEN-B'!O"&amp;I4+16&amp;""),""))))</f>
        <v/>
      </c>
      <c r="J8" s="132" t="str">
        <f ca="1">IF('Summary Schedule'!$D$36="Annual",INDIRECT("'Amortization-HIDDEN'!O"&amp;J4+16&amp;""),IF('Summary Schedule'!$D$36="Quarter",INDIRECT("'Amortization-HIDDEN-Q'!O"&amp;J4+16&amp;""),IF('Summary Schedule'!$D$36="Month",INDIRECT("'Amortization-HIDDEN-M'!O"&amp;J4+16&amp;""),IF('Summary Schedule'!$D$36="Biannual",INDIRECT("'Amortization-HIDDEN-B'!O"&amp;J4+16&amp;""),""))))</f>
        <v/>
      </c>
      <c r="K8" s="132" t="str">
        <f ca="1">IF('Summary Schedule'!$D$36="Annual",INDIRECT("'Amortization-HIDDEN'!O"&amp;K4+16&amp;""),IF('Summary Schedule'!$D$36="Quarter",INDIRECT("'Amortization-HIDDEN-Q'!O"&amp;K4+16&amp;""),IF('Summary Schedule'!$D$36="Month",INDIRECT("'Amortization-HIDDEN-M'!O"&amp;K4+16&amp;""),IF('Summary Schedule'!$D$36="Biannual",INDIRECT("'Amortization-HIDDEN-B'!O"&amp;K4+16&amp;""),""))))</f>
        <v/>
      </c>
      <c r="L8" s="132" t="str">
        <f ca="1">IF('Summary Schedule'!$D$36="Annual",INDIRECT("'Amortization-HIDDEN'!O"&amp;L4+16&amp;""),IF('Summary Schedule'!$D$36="Quarter",INDIRECT("'Amortization-HIDDEN-Q'!O"&amp;L4+16&amp;""),IF('Summary Schedule'!$D$36="Month",INDIRECT("'Amortization-HIDDEN-M'!O"&amp;L4+16&amp;""),IF('Summary Schedule'!$D$36="Biannual",INDIRECT("'Amortization-HIDDEN-B'!O"&amp;L4+16&amp;""),""))))</f>
        <v/>
      </c>
      <c r="M8" s="132" t="str">
        <f ca="1">IF('Summary Schedule'!$D$36="Annual",INDIRECT("'Amortization-HIDDEN'!O"&amp;M4+16&amp;""),IF('Summary Schedule'!$D$36="Quarter",INDIRECT("'Amortization-HIDDEN-Q'!O"&amp;M4+16&amp;""),IF('Summary Schedule'!$D$36="Month",INDIRECT("'Amortization-HIDDEN-M'!O"&amp;M4+16&amp;""),IF('Summary Schedule'!$D$36="Biannual",INDIRECT("'Amortization-HIDDEN-B'!O"&amp;M4+16&amp;""),""))))</f>
        <v/>
      </c>
      <c r="N8" s="132" t="str">
        <f ca="1">IF('Summary Schedule'!$D$36="Annual",INDIRECT("'Amortization-HIDDEN'!O"&amp;N4+16&amp;""),IF('Summary Schedule'!$D$36="Quarter",INDIRECT("'Amortization-HIDDEN-Q'!O"&amp;N4+16&amp;""),IF('Summary Schedule'!$D$36="Month",INDIRECT("'Amortization-HIDDEN-M'!O"&amp;N4+16&amp;""),IF('Summary Schedule'!$D$36="Biannual",INDIRECT("'Amortization-HIDDEN-B'!O"&amp;N4+16&amp;""),""))))</f>
        <v/>
      </c>
      <c r="O8" s="132" t="str">
        <f ca="1">IF('Summary Schedule'!$D$36="Annual",INDIRECT("'Amortization-HIDDEN'!O"&amp;O4+16&amp;""),IF('Summary Schedule'!$D$36="Quarter",INDIRECT("'Amortization-HIDDEN-Q'!O"&amp;O4+16&amp;""),IF('Summary Schedule'!$D$36="Month",INDIRECT("'Amortization-HIDDEN-M'!O"&amp;O4+16&amp;""),IF('Summary Schedule'!$D$36="Biannual",INDIRECT("'Amortization-HIDDEN-B'!O"&amp;O4+16&amp;""),""))))</f>
        <v/>
      </c>
      <c r="P8" s="132" t="str">
        <f ca="1">IF('Summary Schedule'!$D$36="Annual",INDIRECT("'Amortization-HIDDEN'!O"&amp;P4+16&amp;""),IF('Summary Schedule'!$D$36="Quarter",INDIRECT("'Amortization-HIDDEN-Q'!O"&amp;P4+16&amp;""),IF('Summary Schedule'!$D$36="Month",INDIRECT("'Amortization-HIDDEN-M'!O"&amp;P4+16&amp;""),IF('Summary Schedule'!$D$36="Biannual",INDIRECT("'Amortization-HIDDEN-B'!O"&amp;P4+16&amp;""),""))))</f>
        <v/>
      </c>
      <c r="Q8" s="132" t="str">
        <f ca="1">IF('Summary Schedule'!$D$36="Annual",INDIRECT("'Amortization-HIDDEN'!O"&amp;Q4+16&amp;""),IF('Summary Schedule'!$D$36="Quarter",INDIRECT("'Amortization-HIDDEN-Q'!O"&amp;Q4+16&amp;""),IF('Summary Schedule'!$D$36="Month",INDIRECT("'Amortization-HIDDEN-M'!O"&amp;Q4+16&amp;""),IF('Summary Schedule'!$D$36="Biannual",INDIRECT("'Amortization-HIDDEN-B'!O"&amp;Q4+16&amp;""),""))))</f>
        <v/>
      </c>
      <c r="R8" s="132" t="str">
        <f ca="1">IF('Summary Schedule'!$D$36="Annual",INDIRECT("'Amortization-HIDDEN'!O"&amp;R4+16&amp;""),IF('Summary Schedule'!$D$36="Quarter",INDIRECT("'Amortization-HIDDEN-Q'!O"&amp;R4+16&amp;""),IF('Summary Schedule'!$D$36="Month",INDIRECT("'Amortization-HIDDEN-M'!O"&amp;R4+16&amp;""),IF('Summary Schedule'!$D$36="Biannual",INDIRECT("'Amortization-HIDDEN-B'!O"&amp;R4+16&amp;""),""))))</f>
        <v/>
      </c>
      <c r="S8" s="132" t="str">
        <f ca="1">IF('Summary Schedule'!$D$36="Annual",INDIRECT("'Amortization-HIDDEN'!O"&amp;S4+16&amp;""),IF('Summary Schedule'!$D$36="Quarter",INDIRECT("'Amortization-HIDDEN-Q'!O"&amp;S4+16&amp;""),IF('Summary Schedule'!$D$36="Month",INDIRECT("'Amortization-HIDDEN-M'!O"&amp;S4+16&amp;""),IF('Summary Schedule'!$D$36="Biannual",INDIRECT("'Amortization-HIDDEN-B'!O"&amp;S4+16&amp;""),""))))</f>
        <v/>
      </c>
      <c r="T8" s="132" t="str">
        <f ca="1">IF('Summary Schedule'!$D$36="Annual",INDIRECT("'Amortization-HIDDEN'!O"&amp;T4+16&amp;""),IF('Summary Schedule'!$D$36="Quarter",INDIRECT("'Amortization-HIDDEN-Q'!O"&amp;T4+16&amp;""),IF('Summary Schedule'!$D$36="Month",INDIRECT("'Amortization-HIDDEN-M'!O"&amp;T4+16&amp;""),IF('Summary Schedule'!$D$36="Biannual",INDIRECT("'Amortization-HIDDEN-B'!O"&amp;T4+16&amp;""),""))))</f>
        <v/>
      </c>
      <c r="U8" s="132" t="str">
        <f ca="1">IF('Summary Schedule'!$D$36="Annual",INDIRECT("'Amortization-HIDDEN'!O"&amp;U4+16&amp;""),IF('Summary Schedule'!$D$36="Quarter",INDIRECT("'Amortization-HIDDEN-Q'!O"&amp;U4+16&amp;""),IF('Summary Schedule'!$D$36="Month",INDIRECT("'Amortization-HIDDEN-M'!O"&amp;U4+16&amp;""),IF('Summary Schedule'!$D$36="Biannual",INDIRECT("'Amortization-HIDDEN-B'!O"&amp;U4+16&amp;""),""))))</f>
        <v/>
      </c>
      <c r="V8" s="132" t="str">
        <f ca="1">IF('Summary Schedule'!$D$36="Annual",INDIRECT("'Amortization-HIDDEN'!O"&amp;V4+16&amp;""),IF('Summary Schedule'!$D$36="Quarter",INDIRECT("'Amortization-HIDDEN-Q'!O"&amp;V4+16&amp;""),IF('Summary Schedule'!$D$36="Month",INDIRECT("'Amortization-HIDDEN-M'!O"&amp;V4+16&amp;""),IF('Summary Schedule'!$D$36="Biannual",INDIRECT("'Amortization-HIDDEN-B'!O"&amp;V4+16&amp;""),""))))</f>
        <v/>
      </c>
      <c r="W8" s="132" t="str">
        <f ca="1">IF('Summary Schedule'!$D$36="Annual",INDIRECT("'Amortization-HIDDEN'!O"&amp;W4+16&amp;""),IF('Summary Schedule'!$D$36="Quarter",INDIRECT("'Amortization-HIDDEN-Q'!O"&amp;W4+16&amp;""),IF('Summary Schedule'!$D$36="Month",INDIRECT("'Amortization-HIDDEN-M'!O"&amp;W4+16&amp;""),IF('Summary Schedule'!$D$36="Biannual",INDIRECT("'Amortization-HIDDEN-B'!O"&amp;W4+16&amp;""),""))))</f>
        <v/>
      </c>
      <c r="X8" s="132" t="str">
        <f ca="1">IF('Summary Schedule'!$D$36="Annual",INDIRECT("'Amortization-HIDDEN'!O"&amp;X4+16&amp;""),IF('Summary Schedule'!$D$36="Quarter",INDIRECT("'Amortization-HIDDEN-Q'!O"&amp;X4+16&amp;""),IF('Summary Schedule'!$D$36="Month",INDIRECT("'Amortization-HIDDEN-M'!O"&amp;X4+16&amp;""),IF('Summary Schedule'!$D$36="Biannual",INDIRECT("'Amortization-HIDDEN-B'!O"&amp;X4+16&amp;""),""))))</f>
        <v/>
      </c>
      <c r="Y8" s="132" t="str">
        <f ca="1">IF('Summary Schedule'!$D$36="Annual",INDIRECT("'Amortization-HIDDEN'!O"&amp;Y4+16&amp;""),IF('Summary Schedule'!$D$36="Quarter",INDIRECT("'Amortization-HIDDEN-Q'!O"&amp;Y4+16&amp;""),IF('Summary Schedule'!$D$36="Month",INDIRECT("'Amortization-HIDDEN-M'!O"&amp;Y4+16&amp;""),IF('Summary Schedule'!$D$36="Biannual",INDIRECT("'Amortization-HIDDEN-B'!O"&amp;Y4+16&amp;""),""))))</f>
        <v/>
      </c>
      <c r="Z8" s="132" t="str">
        <f ca="1">IF('Summary Schedule'!$D$36="Annual",INDIRECT("'Amortization-HIDDEN'!O"&amp;Z4+16&amp;""),IF('Summary Schedule'!$D$36="Quarter",INDIRECT("'Amortization-HIDDEN-Q'!O"&amp;Z4+16&amp;""),IF('Summary Schedule'!$D$36="Month",INDIRECT("'Amortization-HIDDEN-M'!O"&amp;Z4+16&amp;""),IF('Summary Schedule'!$D$36="Biannual",INDIRECT("'Amortization-HIDDEN-B'!O"&amp;Z4+16&amp;""),""))))</f>
        <v/>
      </c>
      <c r="AA8" s="132" t="str">
        <f ca="1">IF('Summary Schedule'!$D$36="Annual",INDIRECT("'Amortization-HIDDEN'!O"&amp;AA4+16&amp;""),IF('Summary Schedule'!$D$36="Quarter",INDIRECT("'Amortization-HIDDEN-Q'!O"&amp;AA4+16&amp;""),IF('Summary Schedule'!$D$36="Month",INDIRECT("'Amortization-HIDDEN-M'!O"&amp;AA4+16&amp;""),IF('Summary Schedule'!$D$36="Biannual",INDIRECT("'Amortization-HIDDEN-B'!O"&amp;AA4+16&amp;""),""))))</f>
        <v/>
      </c>
      <c r="AB8" s="132" t="str">
        <f ca="1">IF('Summary Schedule'!$D$36="Annual",INDIRECT("'Amortization-HIDDEN'!O"&amp;AB4+16&amp;""),IF('Summary Schedule'!$D$36="Quarter",INDIRECT("'Amortization-HIDDEN-Q'!O"&amp;AB4+16&amp;""),IF('Summary Schedule'!$D$36="Month",INDIRECT("'Amortization-HIDDEN-M'!O"&amp;AB4+16&amp;""),IF('Summary Schedule'!$D$36="Biannual",INDIRECT("'Amortization-HIDDEN-B'!O"&amp;AB4+16&amp;""),""))))</f>
        <v/>
      </c>
      <c r="AC8" s="132" t="str">
        <f ca="1">IF('Summary Schedule'!$D$36="Annual",INDIRECT("'Amortization-HIDDEN'!O"&amp;AC4+16&amp;""),IF('Summary Schedule'!$D$36="Quarter",INDIRECT("'Amortization-HIDDEN-Q'!O"&amp;AC4+16&amp;""),IF('Summary Schedule'!$D$36="Month",INDIRECT("'Amortization-HIDDEN-M'!O"&amp;AC4+16&amp;""),IF('Summary Schedule'!$D$36="Biannual",INDIRECT("'Amortization-HIDDEN-B'!O"&amp;AC4+16&amp;""),""))))</f>
        <v/>
      </c>
      <c r="AD8" s="132" t="str">
        <f ca="1">IF('Summary Schedule'!$D$36="Annual",INDIRECT("'Amortization-HIDDEN'!O"&amp;AD4+16&amp;""),IF('Summary Schedule'!$D$36="Quarter",INDIRECT("'Amortization-HIDDEN-Q'!O"&amp;AD4+16&amp;""),IF('Summary Schedule'!$D$36="Month",INDIRECT("'Amortization-HIDDEN-M'!O"&amp;AD4+16&amp;""),IF('Summary Schedule'!$D$36="Biannual",INDIRECT("'Amortization-HIDDEN-B'!O"&amp;AD4+16&amp;""),""))))</f>
        <v/>
      </c>
      <c r="AE8" s="132" t="str">
        <f ca="1">IF('Summary Schedule'!$D$36="Annual",INDIRECT("'Amortization-HIDDEN'!O"&amp;AE4+16&amp;""),IF('Summary Schedule'!$D$36="Quarter",INDIRECT("'Amortization-HIDDEN-Q'!O"&amp;AE4+16&amp;""),IF('Summary Schedule'!$D$36="Month",INDIRECT("'Amortization-HIDDEN-M'!O"&amp;AE4+16&amp;""),IF('Summary Schedule'!$D$36="Biannual",INDIRECT("'Amortization-HIDDEN-B'!O"&amp;AE4+16&amp;""),""))))</f>
        <v/>
      </c>
      <c r="AF8" s="132" t="str">
        <f ca="1">IF('Summary Schedule'!$D$36="Annual",INDIRECT("'Amortization-HIDDEN'!O"&amp;AF4+16&amp;""),IF('Summary Schedule'!$D$36="Quarter",INDIRECT("'Amortization-HIDDEN-Q'!O"&amp;AF4+16&amp;""),IF('Summary Schedule'!$D$36="Month",INDIRECT("'Amortization-HIDDEN-M'!O"&amp;AF4+16&amp;""),IF('Summary Schedule'!$D$36="Biannual",INDIRECT("'Amortization-HIDDEN-B'!O"&amp;AF4+16&amp;""),""))))</f>
        <v/>
      </c>
      <c r="AG8" s="132" t="str">
        <f ca="1">IF('Summary Schedule'!$D$36="Annual",INDIRECT("'Amortization-HIDDEN'!O"&amp;AG4+16&amp;""),IF('Summary Schedule'!$D$36="Quarter",INDIRECT("'Amortization-HIDDEN-Q'!O"&amp;AG4+16&amp;""),IF('Summary Schedule'!$D$36="Month",INDIRECT("'Amortization-HIDDEN-M'!O"&amp;AG4+16&amp;""),IF('Summary Schedule'!$D$36="Biannual",INDIRECT("'Amortization-HIDDEN-B'!O"&amp;AG4+16&amp;""),""))))</f>
        <v/>
      </c>
      <c r="AH8" s="132" t="str">
        <f ca="1">IF('Summary Schedule'!$D$36="Annual",INDIRECT("'Amortization-HIDDEN'!O"&amp;AH4+16&amp;""),IF('Summary Schedule'!$D$36="Quarter",INDIRECT("'Amortization-HIDDEN-Q'!O"&amp;AH4+16&amp;""),IF('Summary Schedule'!$D$36="Month",INDIRECT("'Amortization-HIDDEN-M'!O"&amp;AH4+16&amp;""),IF('Summary Schedule'!$D$36="Biannual",INDIRECT("'Amortization-HIDDEN-B'!O"&amp;AH4+16&amp;""),""))))</f>
        <v/>
      </c>
      <c r="AI8" s="132" t="str">
        <f ca="1">IF('Summary Schedule'!$D$36="Annual",INDIRECT("'Amortization-HIDDEN'!O"&amp;AI4+16&amp;""),IF('Summary Schedule'!$D$36="Quarter",INDIRECT("'Amortization-HIDDEN-Q'!O"&amp;AI4+16&amp;""),IF('Summary Schedule'!$D$36="Month",INDIRECT("'Amortization-HIDDEN-M'!O"&amp;AI4+16&amp;""),IF('Summary Schedule'!$D$36="Biannual",INDIRECT("'Amortization-HIDDEN-B'!O"&amp;AI4+16&amp;""),""))))</f>
        <v/>
      </c>
      <c r="AJ8" s="132" t="str">
        <f ca="1">IF('Summary Schedule'!$D$36="Annual",INDIRECT("'Amortization-HIDDEN'!O"&amp;AJ4+16&amp;""),IF('Summary Schedule'!$D$36="Quarter",INDIRECT("'Amortization-HIDDEN-Q'!O"&amp;AJ4+16&amp;""),IF('Summary Schedule'!$D$36="Month",INDIRECT("'Amortization-HIDDEN-M'!O"&amp;AJ4+16&amp;""),IF('Summary Schedule'!$D$36="Biannual",INDIRECT("'Amortization-HIDDEN-B'!O"&amp;AJ4+16&amp;""),""))))</f>
        <v/>
      </c>
      <c r="AK8" s="132" t="str">
        <f ca="1">IF('Summary Schedule'!$D$36="Annual",INDIRECT("'Amortization-HIDDEN'!O"&amp;AK4+16&amp;""),IF('Summary Schedule'!$D$36="Quarter",INDIRECT("'Amortization-HIDDEN-Q'!O"&amp;AK4+16&amp;""),IF('Summary Schedule'!$D$36="Month",INDIRECT("'Amortization-HIDDEN-M'!O"&amp;AK4+16&amp;""),IF('Summary Schedule'!$D$36="Biannual",INDIRECT("'Amortization-HIDDEN-B'!O"&amp;AK4+16&amp;""),""))))</f>
        <v/>
      </c>
      <c r="AL8" s="132" t="str">
        <f ca="1">IF('Summary Schedule'!$D$36="Annual",INDIRECT("'Amortization-HIDDEN'!O"&amp;AL4+16&amp;""),IF('Summary Schedule'!$D$36="Quarter",INDIRECT("'Amortization-HIDDEN-Q'!O"&amp;AL4+16&amp;""),IF('Summary Schedule'!$D$36="Month",INDIRECT("'Amortization-HIDDEN-M'!O"&amp;AL4+16&amp;""),IF('Summary Schedule'!$D$36="Biannual",INDIRECT("'Amortization-HIDDEN-B'!O"&amp;AL4+16&amp;""),""))))</f>
        <v/>
      </c>
      <c r="AM8" s="132" t="str">
        <f ca="1">IF('Summary Schedule'!$D$36="Annual",INDIRECT("'Amortization-HIDDEN'!O"&amp;AM4+16&amp;""),IF('Summary Schedule'!$D$36="Quarter",INDIRECT("'Amortization-HIDDEN-Q'!O"&amp;AM4+16&amp;""),IF('Summary Schedule'!$D$36="Month",INDIRECT("'Amortization-HIDDEN-M'!O"&amp;AM4+16&amp;""),IF('Summary Schedule'!$D$36="Biannual",INDIRECT("'Amortization-HIDDEN-B'!O"&amp;AM4+16&amp;""),""))))</f>
        <v/>
      </c>
      <c r="AN8" s="132" t="str">
        <f ca="1">IF('Summary Schedule'!$D$36="Annual",INDIRECT("'Amortization-HIDDEN'!O"&amp;AN4+16&amp;""),IF('Summary Schedule'!$D$36="Quarter",INDIRECT("'Amortization-HIDDEN-Q'!O"&amp;AN4+16&amp;""),IF('Summary Schedule'!$D$36="Month",INDIRECT("'Amortization-HIDDEN-M'!O"&amp;AN4+16&amp;""),IF('Summary Schedule'!$D$36="Biannual",INDIRECT("'Amortization-HIDDEN-B'!O"&amp;AN4+16&amp;""),""))))</f>
        <v/>
      </c>
      <c r="AO8" s="132" t="str">
        <f ca="1">IF('Summary Schedule'!$D$36="Annual",INDIRECT("'Amortization-HIDDEN'!O"&amp;AO4+16&amp;""),IF('Summary Schedule'!$D$36="Quarter",INDIRECT("'Amortization-HIDDEN-Q'!O"&amp;AO4+16&amp;""),IF('Summary Schedule'!$D$36="Month",INDIRECT("'Amortization-HIDDEN-M'!O"&amp;AO4+16&amp;""),IF('Summary Schedule'!$D$36="Biannual",INDIRECT("'Amortization-HIDDEN-B'!O"&amp;AO4+16&amp;""),""))))</f>
        <v/>
      </c>
      <c r="AP8" s="132" t="str">
        <f ca="1">IF('Summary Schedule'!$D$36="Annual",INDIRECT("'Amortization-HIDDEN'!O"&amp;AP4+16&amp;""),IF('Summary Schedule'!$D$36="Quarter",INDIRECT("'Amortization-HIDDEN-Q'!O"&amp;AP4+16&amp;""),IF('Summary Schedule'!$D$36="Month",INDIRECT("'Amortization-HIDDEN-M'!O"&amp;AP4+16&amp;""),IF('Summary Schedule'!$D$36="Biannual",INDIRECT("'Amortization-HIDDEN-B'!O"&amp;AP4+16&amp;""),""))))</f>
        <v/>
      </c>
      <c r="AQ8" s="132" t="str">
        <f ca="1">IF('Summary Schedule'!$D$36="Annual",INDIRECT("'Amortization-HIDDEN'!O"&amp;AQ4+16&amp;""),IF('Summary Schedule'!$D$36="Quarter",INDIRECT("'Amortization-HIDDEN-Q'!O"&amp;AQ4+16&amp;""),IF('Summary Schedule'!$D$36="Month",INDIRECT("'Amortization-HIDDEN-M'!O"&amp;AQ4+16&amp;""),IF('Summary Schedule'!$D$36="Biannual",INDIRECT("'Amortization-HIDDEN-B'!O"&amp;AQ4+16&amp;""),""))))</f>
        <v/>
      </c>
      <c r="AR8" s="133">
        <f t="shared" ref="AR8:AR23" ca="1" si="0">SUM(D8:AB8)</f>
        <v>0</v>
      </c>
    </row>
    <row r="9" spans="1:44" ht="16.5" thickBot="1">
      <c r="A9" s="682"/>
      <c r="B9" s="29" t="s">
        <v>68</v>
      </c>
      <c r="C9" s="112"/>
      <c r="D9" s="134">
        <f t="shared" ref="D9:AA9" ca="1" si="1">SUM(D8,D5)</f>
        <v>0</v>
      </c>
      <c r="E9" s="134">
        <f t="shared" ca="1" si="1"/>
        <v>0</v>
      </c>
      <c r="F9" s="134">
        <f t="shared" ca="1" si="1"/>
        <v>0</v>
      </c>
      <c r="G9" s="134">
        <f t="shared" ca="1" si="1"/>
        <v>0</v>
      </c>
      <c r="H9" s="134">
        <f t="shared" ca="1" si="1"/>
        <v>0</v>
      </c>
      <c r="I9" s="134">
        <f t="shared" ca="1" si="1"/>
        <v>0</v>
      </c>
      <c r="J9" s="134">
        <f t="shared" ca="1" si="1"/>
        <v>0</v>
      </c>
      <c r="K9" s="134">
        <f t="shared" ca="1" si="1"/>
        <v>0</v>
      </c>
      <c r="L9" s="134">
        <f t="shared" ca="1" si="1"/>
        <v>0</v>
      </c>
      <c r="M9" s="134">
        <f t="shared" ca="1" si="1"/>
        <v>0</v>
      </c>
      <c r="N9" s="134">
        <f t="shared" ca="1" si="1"/>
        <v>0</v>
      </c>
      <c r="O9" s="134">
        <f t="shared" ca="1" si="1"/>
        <v>0</v>
      </c>
      <c r="P9" s="134">
        <f t="shared" ca="1" si="1"/>
        <v>0</v>
      </c>
      <c r="Q9" s="134">
        <f t="shared" ca="1" si="1"/>
        <v>0</v>
      </c>
      <c r="R9" s="134">
        <f t="shared" ca="1" si="1"/>
        <v>0</v>
      </c>
      <c r="S9" s="134">
        <f t="shared" ca="1" si="1"/>
        <v>0</v>
      </c>
      <c r="T9" s="134">
        <f t="shared" ca="1" si="1"/>
        <v>0</v>
      </c>
      <c r="U9" s="134">
        <f t="shared" ca="1" si="1"/>
        <v>0</v>
      </c>
      <c r="V9" s="134">
        <f t="shared" ca="1" si="1"/>
        <v>0</v>
      </c>
      <c r="W9" s="134">
        <f t="shared" ca="1" si="1"/>
        <v>0</v>
      </c>
      <c r="X9" s="134">
        <f t="shared" ca="1" si="1"/>
        <v>0</v>
      </c>
      <c r="Y9" s="134">
        <f t="shared" ca="1" si="1"/>
        <v>0</v>
      </c>
      <c r="Z9" s="134">
        <f t="shared" ca="1" si="1"/>
        <v>0</v>
      </c>
      <c r="AA9" s="134">
        <f t="shared" ca="1" si="1"/>
        <v>0</v>
      </c>
      <c r="AB9" s="134">
        <f ca="1">SUM(AB8,AB5)</f>
        <v>0</v>
      </c>
      <c r="AC9" s="134">
        <f ca="1">SUM(AC8,AC5)</f>
        <v>0</v>
      </c>
      <c r="AD9" s="134">
        <f t="shared" ref="AD9:AQ9" ca="1" si="2">SUM(AD8,AD5)</f>
        <v>0</v>
      </c>
      <c r="AE9" s="134">
        <f ca="1">SUM(AE8,AE5)</f>
        <v>0</v>
      </c>
      <c r="AF9" s="134">
        <f t="shared" ca="1" si="2"/>
        <v>0</v>
      </c>
      <c r="AG9" s="134">
        <f t="shared" ca="1" si="2"/>
        <v>0</v>
      </c>
      <c r="AH9" s="134">
        <f t="shared" ca="1" si="2"/>
        <v>0</v>
      </c>
      <c r="AI9" s="134">
        <f t="shared" ca="1" si="2"/>
        <v>0</v>
      </c>
      <c r="AJ9" s="134">
        <f t="shared" ca="1" si="2"/>
        <v>0</v>
      </c>
      <c r="AK9" s="134">
        <f t="shared" ca="1" si="2"/>
        <v>0</v>
      </c>
      <c r="AL9" s="134">
        <f t="shared" ca="1" si="2"/>
        <v>0</v>
      </c>
      <c r="AM9" s="134">
        <f t="shared" ca="1" si="2"/>
        <v>0</v>
      </c>
      <c r="AN9" s="134">
        <f ca="1">SUM(AN8,AN5)</f>
        <v>0</v>
      </c>
      <c r="AO9" s="134">
        <f t="shared" ca="1" si="2"/>
        <v>0</v>
      </c>
      <c r="AP9" s="134">
        <f t="shared" ca="1" si="2"/>
        <v>0</v>
      </c>
      <c r="AQ9" s="134">
        <f t="shared" ca="1" si="2"/>
        <v>0</v>
      </c>
      <c r="AR9" s="133">
        <f t="shared" ca="1" si="0"/>
        <v>0</v>
      </c>
    </row>
    <row r="10" spans="1:44" ht="16.5" thickBot="1">
      <c r="A10" s="30"/>
      <c r="B10" s="31"/>
      <c r="C10" s="68"/>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6"/>
    </row>
    <row r="11" spans="1:44" ht="30.75" customHeight="1" thickBot="1">
      <c r="A11" s="680" t="s">
        <v>31</v>
      </c>
      <c r="B11" s="28" t="s">
        <v>11</v>
      </c>
      <c r="C11" s="110"/>
      <c r="D11" s="452"/>
      <c r="E11" s="452"/>
      <c r="F11" s="452"/>
      <c r="G11" s="452"/>
      <c r="H11" s="452"/>
      <c r="I11" s="452"/>
      <c r="J11" s="452"/>
      <c r="K11" s="452"/>
      <c r="L11" s="452"/>
      <c r="M11" s="452"/>
      <c r="N11" s="452"/>
      <c r="O11" s="452"/>
      <c r="P11" s="452"/>
      <c r="Q11" s="452"/>
      <c r="R11" s="452"/>
      <c r="S11" s="452"/>
      <c r="T11" s="452"/>
      <c r="U11" s="452"/>
      <c r="V11" s="452"/>
      <c r="W11" s="452"/>
      <c r="X11" s="452"/>
      <c r="Y11" s="452"/>
      <c r="Z11" s="452"/>
      <c r="AA11" s="452"/>
      <c r="AB11" s="452"/>
      <c r="AC11" s="241"/>
      <c r="AD11" s="241"/>
      <c r="AE11" s="241"/>
      <c r="AF11" s="241"/>
      <c r="AG11" s="241"/>
      <c r="AH11" s="241"/>
      <c r="AI11" s="241"/>
      <c r="AJ11" s="241"/>
      <c r="AK11" s="241"/>
      <c r="AL11" s="241"/>
      <c r="AM11" s="241"/>
      <c r="AN11" s="241"/>
      <c r="AO11" s="241"/>
      <c r="AP11" s="241"/>
      <c r="AQ11" s="241"/>
      <c r="AR11" s="133">
        <f t="shared" si="0"/>
        <v>0</v>
      </c>
    </row>
    <row r="12" spans="1:44" ht="16.5" thickBot="1">
      <c r="A12" s="681"/>
      <c r="B12" s="28" t="s">
        <v>48</v>
      </c>
      <c r="C12" s="111"/>
      <c r="D12" s="452"/>
      <c r="E12" s="452"/>
      <c r="F12" s="452"/>
      <c r="G12" s="452"/>
      <c r="H12" s="452"/>
      <c r="I12" s="452"/>
      <c r="J12" s="452"/>
      <c r="K12" s="452"/>
      <c r="L12" s="452"/>
      <c r="M12" s="452"/>
      <c r="N12" s="452"/>
      <c r="O12" s="452"/>
      <c r="P12" s="452"/>
      <c r="Q12" s="452"/>
      <c r="R12" s="452"/>
      <c r="S12" s="452"/>
      <c r="T12" s="452"/>
      <c r="U12" s="452"/>
      <c r="V12" s="452"/>
      <c r="W12" s="452"/>
      <c r="X12" s="452"/>
      <c r="Y12" s="452"/>
      <c r="Z12" s="452"/>
      <c r="AA12" s="452"/>
      <c r="AB12" s="452"/>
      <c r="AC12" s="241"/>
      <c r="AD12" s="241"/>
      <c r="AE12" s="241"/>
      <c r="AF12" s="241"/>
      <c r="AG12" s="241"/>
      <c r="AH12" s="241"/>
      <c r="AI12" s="241"/>
      <c r="AJ12" s="241"/>
      <c r="AK12" s="241"/>
      <c r="AL12" s="241"/>
      <c r="AM12" s="241"/>
      <c r="AN12" s="241"/>
      <c r="AO12" s="241"/>
      <c r="AP12" s="241"/>
      <c r="AQ12" s="241"/>
      <c r="AR12" s="133">
        <f t="shared" si="0"/>
        <v>0</v>
      </c>
    </row>
    <row r="13" spans="1:44" ht="16.5" thickBot="1">
      <c r="A13" s="681"/>
      <c r="B13" s="28" t="s">
        <v>12</v>
      </c>
      <c r="C13" s="111"/>
      <c r="D13" s="452"/>
      <c r="E13" s="452"/>
      <c r="F13" s="452"/>
      <c r="G13" s="452"/>
      <c r="H13" s="452"/>
      <c r="I13" s="452"/>
      <c r="J13" s="452"/>
      <c r="K13" s="452"/>
      <c r="L13" s="452"/>
      <c r="M13" s="452"/>
      <c r="N13" s="452"/>
      <c r="O13" s="452"/>
      <c r="P13" s="452"/>
      <c r="Q13" s="452"/>
      <c r="R13" s="452"/>
      <c r="S13" s="452"/>
      <c r="T13" s="452"/>
      <c r="U13" s="452"/>
      <c r="V13" s="452"/>
      <c r="W13" s="452"/>
      <c r="X13" s="452"/>
      <c r="Y13" s="452"/>
      <c r="Z13" s="452"/>
      <c r="AA13" s="452"/>
      <c r="AB13" s="452"/>
      <c r="AC13" s="241"/>
      <c r="AD13" s="241"/>
      <c r="AE13" s="241"/>
      <c r="AF13" s="241"/>
      <c r="AG13" s="241"/>
      <c r="AH13" s="241"/>
      <c r="AI13" s="241"/>
      <c r="AJ13" s="241"/>
      <c r="AK13" s="241"/>
      <c r="AL13" s="241"/>
      <c r="AM13" s="241"/>
      <c r="AN13" s="241"/>
      <c r="AO13" s="241"/>
      <c r="AP13" s="241"/>
      <c r="AQ13" s="241"/>
      <c r="AR13" s="133">
        <f t="shared" si="0"/>
        <v>0</v>
      </c>
    </row>
    <row r="14" spans="1:44" ht="16.5" thickBot="1">
      <c r="A14" s="681"/>
      <c r="B14" s="28" t="s">
        <v>13</v>
      </c>
      <c r="C14" s="111"/>
      <c r="D14" s="452"/>
      <c r="E14" s="452"/>
      <c r="F14" s="452"/>
      <c r="G14" s="452"/>
      <c r="H14" s="452"/>
      <c r="I14" s="452"/>
      <c r="J14" s="452"/>
      <c r="K14" s="452"/>
      <c r="L14" s="452"/>
      <c r="M14" s="452"/>
      <c r="N14" s="452"/>
      <c r="O14" s="452"/>
      <c r="P14" s="452"/>
      <c r="Q14" s="452"/>
      <c r="R14" s="452"/>
      <c r="S14" s="452"/>
      <c r="T14" s="452"/>
      <c r="U14" s="452"/>
      <c r="V14" s="452"/>
      <c r="W14" s="452"/>
      <c r="X14" s="452"/>
      <c r="Y14" s="452"/>
      <c r="Z14" s="452"/>
      <c r="AA14" s="452"/>
      <c r="AB14" s="452"/>
      <c r="AC14" s="241"/>
      <c r="AD14" s="241"/>
      <c r="AE14" s="241"/>
      <c r="AF14" s="241"/>
      <c r="AG14" s="241"/>
      <c r="AH14" s="241"/>
      <c r="AI14" s="241"/>
      <c r="AJ14" s="241"/>
      <c r="AK14" s="241"/>
      <c r="AL14" s="241"/>
      <c r="AM14" s="241"/>
      <c r="AN14" s="241"/>
      <c r="AO14" s="241"/>
      <c r="AP14" s="241"/>
      <c r="AQ14" s="241"/>
      <c r="AR14" s="133">
        <f t="shared" si="0"/>
        <v>0</v>
      </c>
    </row>
    <row r="15" spans="1:44" ht="16.5" thickBot="1">
      <c r="A15" s="681"/>
      <c r="B15" s="162" t="str">
        <f>IF('Summary Schedule'!C4="UESC", "Performance Assurance", "Measurement and Verification*")</f>
        <v>Measurement and Verification*</v>
      </c>
      <c r="C15" s="111"/>
      <c r="D15" s="452"/>
      <c r="E15" s="452"/>
      <c r="F15" s="452"/>
      <c r="G15" s="452"/>
      <c r="H15" s="452"/>
      <c r="I15" s="452"/>
      <c r="J15" s="452"/>
      <c r="K15" s="452"/>
      <c r="L15" s="452"/>
      <c r="M15" s="452"/>
      <c r="N15" s="452"/>
      <c r="O15" s="452"/>
      <c r="P15" s="452"/>
      <c r="Q15" s="452"/>
      <c r="R15" s="452"/>
      <c r="S15" s="452"/>
      <c r="T15" s="452"/>
      <c r="U15" s="452"/>
      <c r="V15" s="452"/>
      <c r="W15" s="452"/>
      <c r="X15" s="452"/>
      <c r="Y15" s="452"/>
      <c r="Z15" s="452"/>
      <c r="AA15" s="452"/>
      <c r="AB15" s="452"/>
      <c r="AC15" s="241"/>
      <c r="AD15" s="241"/>
      <c r="AE15" s="241"/>
      <c r="AF15" s="241"/>
      <c r="AG15" s="241"/>
      <c r="AH15" s="241"/>
      <c r="AI15" s="241"/>
      <c r="AJ15" s="241"/>
      <c r="AK15" s="241"/>
      <c r="AL15" s="241"/>
      <c r="AM15" s="241"/>
      <c r="AN15" s="241"/>
      <c r="AO15" s="241"/>
      <c r="AP15" s="241"/>
      <c r="AQ15" s="241"/>
      <c r="AR15" s="133">
        <f t="shared" si="0"/>
        <v>0</v>
      </c>
    </row>
    <row r="16" spans="1:44" ht="16.5" thickBot="1">
      <c r="A16" s="681"/>
      <c r="B16" s="122" t="s">
        <v>321</v>
      </c>
      <c r="C16" s="111"/>
      <c r="D16" s="452"/>
      <c r="E16" s="452"/>
      <c r="F16" s="452"/>
      <c r="G16" s="452"/>
      <c r="H16" s="452"/>
      <c r="I16" s="452"/>
      <c r="J16" s="452"/>
      <c r="K16" s="452"/>
      <c r="L16" s="452"/>
      <c r="M16" s="452"/>
      <c r="N16" s="452"/>
      <c r="O16" s="452"/>
      <c r="P16" s="452"/>
      <c r="Q16" s="452"/>
      <c r="R16" s="452"/>
      <c r="S16" s="452"/>
      <c r="T16" s="452"/>
      <c r="U16" s="452"/>
      <c r="V16" s="452"/>
      <c r="W16" s="452"/>
      <c r="X16" s="452"/>
      <c r="Y16" s="452"/>
      <c r="Z16" s="452"/>
      <c r="AA16" s="452"/>
      <c r="AB16" s="452"/>
      <c r="AC16" s="241"/>
      <c r="AD16" s="241"/>
      <c r="AE16" s="241"/>
      <c r="AF16" s="241"/>
      <c r="AG16" s="241"/>
      <c r="AH16" s="241"/>
      <c r="AI16" s="241"/>
      <c r="AJ16" s="241"/>
      <c r="AK16" s="241"/>
      <c r="AL16" s="241"/>
      <c r="AM16" s="241"/>
      <c r="AN16" s="241"/>
      <c r="AO16" s="241"/>
      <c r="AP16" s="241"/>
      <c r="AQ16" s="241"/>
      <c r="AR16" s="133">
        <f t="shared" si="0"/>
        <v>0</v>
      </c>
    </row>
    <row r="17" spans="1:44" ht="16.5" thickBot="1">
      <c r="A17" s="681"/>
      <c r="B17" s="122" t="s">
        <v>322</v>
      </c>
      <c r="C17" s="111"/>
      <c r="D17" s="452"/>
      <c r="E17" s="452"/>
      <c r="F17" s="452"/>
      <c r="G17" s="452"/>
      <c r="H17" s="452"/>
      <c r="I17" s="452"/>
      <c r="J17" s="452"/>
      <c r="K17" s="452"/>
      <c r="L17" s="452"/>
      <c r="M17" s="452"/>
      <c r="N17" s="452"/>
      <c r="O17" s="452"/>
      <c r="P17" s="452"/>
      <c r="Q17" s="452"/>
      <c r="R17" s="452"/>
      <c r="S17" s="452"/>
      <c r="T17" s="452"/>
      <c r="U17" s="452"/>
      <c r="V17" s="452"/>
      <c r="W17" s="452"/>
      <c r="X17" s="452"/>
      <c r="Y17" s="452"/>
      <c r="Z17" s="452"/>
      <c r="AA17" s="452"/>
      <c r="AB17" s="452"/>
      <c r="AC17" s="241"/>
      <c r="AD17" s="241"/>
      <c r="AE17" s="241"/>
      <c r="AF17" s="241"/>
      <c r="AG17" s="241"/>
      <c r="AH17" s="241"/>
      <c r="AI17" s="241"/>
      <c r="AJ17" s="241"/>
      <c r="AK17" s="241"/>
      <c r="AL17" s="241"/>
      <c r="AM17" s="241"/>
      <c r="AN17" s="241"/>
      <c r="AO17" s="241"/>
      <c r="AP17" s="241"/>
      <c r="AQ17" s="241"/>
      <c r="AR17" s="133">
        <f t="shared" si="0"/>
        <v>0</v>
      </c>
    </row>
    <row r="18" spans="1:44" ht="41" thickBot="1">
      <c r="A18" s="681"/>
      <c r="B18" s="32" t="str">
        <f>IF('Summary Schedule'!C4="UESC", "SUBTOTAL Before Application of Mark-up", "SUBTOTAL Before Application of Performance Period Delivery Percentage")</f>
        <v>SUBTOTAL Before Application of Performance Period Delivery Percentage</v>
      </c>
      <c r="C18" s="111"/>
      <c r="D18" s="132">
        <f>SUM(D11:D17)</f>
        <v>0</v>
      </c>
      <c r="E18" s="132">
        <f>SUM(E11:E17)</f>
        <v>0</v>
      </c>
      <c r="F18" s="132">
        <f t="shared" ref="F18:AB18" si="3">SUM(F11:F17)</f>
        <v>0</v>
      </c>
      <c r="G18" s="132">
        <f t="shared" si="3"/>
        <v>0</v>
      </c>
      <c r="H18" s="132">
        <f t="shared" si="3"/>
        <v>0</v>
      </c>
      <c r="I18" s="132">
        <f t="shared" si="3"/>
        <v>0</v>
      </c>
      <c r="J18" s="132">
        <f t="shared" si="3"/>
        <v>0</v>
      </c>
      <c r="K18" s="132">
        <f t="shared" si="3"/>
        <v>0</v>
      </c>
      <c r="L18" s="132">
        <f t="shared" si="3"/>
        <v>0</v>
      </c>
      <c r="M18" s="132">
        <f t="shared" si="3"/>
        <v>0</v>
      </c>
      <c r="N18" s="132">
        <f t="shared" si="3"/>
        <v>0</v>
      </c>
      <c r="O18" s="132">
        <f t="shared" si="3"/>
        <v>0</v>
      </c>
      <c r="P18" s="132">
        <f t="shared" si="3"/>
        <v>0</v>
      </c>
      <c r="Q18" s="132">
        <f t="shared" si="3"/>
        <v>0</v>
      </c>
      <c r="R18" s="132">
        <f t="shared" si="3"/>
        <v>0</v>
      </c>
      <c r="S18" s="132">
        <f t="shared" si="3"/>
        <v>0</v>
      </c>
      <c r="T18" s="132">
        <f t="shared" si="3"/>
        <v>0</v>
      </c>
      <c r="U18" s="132">
        <f t="shared" si="3"/>
        <v>0</v>
      </c>
      <c r="V18" s="132">
        <f t="shared" si="3"/>
        <v>0</v>
      </c>
      <c r="W18" s="132">
        <f t="shared" si="3"/>
        <v>0</v>
      </c>
      <c r="X18" s="132">
        <f t="shared" si="3"/>
        <v>0</v>
      </c>
      <c r="Y18" s="132">
        <f t="shared" si="3"/>
        <v>0</v>
      </c>
      <c r="Z18" s="132">
        <f t="shared" si="3"/>
        <v>0</v>
      </c>
      <c r="AA18" s="132">
        <f t="shared" si="3"/>
        <v>0</v>
      </c>
      <c r="AB18" s="132">
        <f t="shared" si="3"/>
        <v>0</v>
      </c>
      <c r="AC18" s="132">
        <f t="shared" ref="AC18:AQ18" si="4">SUM(AC11:AC17)</f>
        <v>0</v>
      </c>
      <c r="AD18" s="132">
        <f t="shared" si="4"/>
        <v>0</v>
      </c>
      <c r="AE18" s="132">
        <f t="shared" si="4"/>
        <v>0</v>
      </c>
      <c r="AF18" s="132">
        <f t="shared" si="4"/>
        <v>0</v>
      </c>
      <c r="AG18" s="132">
        <f t="shared" si="4"/>
        <v>0</v>
      </c>
      <c r="AH18" s="132">
        <f t="shared" si="4"/>
        <v>0</v>
      </c>
      <c r="AI18" s="132">
        <f t="shared" si="4"/>
        <v>0</v>
      </c>
      <c r="AJ18" s="132">
        <f t="shared" si="4"/>
        <v>0</v>
      </c>
      <c r="AK18" s="132">
        <f t="shared" si="4"/>
        <v>0</v>
      </c>
      <c r="AL18" s="132">
        <f t="shared" si="4"/>
        <v>0</v>
      </c>
      <c r="AM18" s="132">
        <f t="shared" si="4"/>
        <v>0</v>
      </c>
      <c r="AN18" s="132">
        <f t="shared" si="4"/>
        <v>0</v>
      </c>
      <c r="AO18" s="132">
        <f t="shared" si="4"/>
        <v>0</v>
      </c>
      <c r="AP18" s="132">
        <f t="shared" si="4"/>
        <v>0</v>
      </c>
      <c r="AQ18" s="132">
        <f t="shared" si="4"/>
        <v>0</v>
      </c>
      <c r="AR18" s="133">
        <f t="shared" si="0"/>
        <v>0</v>
      </c>
    </row>
    <row r="19" spans="1:44" s="381" customFormat="1" ht="28.5" thickBot="1">
      <c r="A19" s="681"/>
      <c r="B19" s="162" t="str">
        <f>IF('Summary Schedule'!C4="UESC", "Mark-up (Overhead &amp; Profit %)", "Performance Period Delivery Percentage (%)*")</f>
        <v>Performance Period Delivery Percentage (%)*</v>
      </c>
      <c r="C19" s="111"/>
      <c r="D19" s="453"/>
      <c r="E19" s="453"/>
      <c r="F19" s="453"/>
      <c r="G19" s="453"/>
      <c r="H19" s="453"/>
      <c r="I19" s="453"/>
      <c r="J19" s="453"/>
      <c r="K19" s="453"/>
      <c r="L19" s="453"/>
      <c r="M19" s="453"/>
      <c r="N19" s="453"/>
      <c r="O19" s="453"/>
      <c r="P19" s="453"/>
      <c r="Q19" s="453"/>
      <c r="R19" s="453"/>
      <c r="S19" s="453"/>
      <c r="T19" s="453"/>
      <c r="U19" s="453"/>
      <c r="V19" s="453"/>
      <c r="W19" s="453"/>
      <c r="X19" s="453"/>
      <c r="Y19" s="453"/>
      <c r="Z19" s="453"/>
      <c r="AA19" s="453"/>
      <c r="AB19" s="453"/>
      <c r="AC19" s="380"/>
      <c r="AD19" s="380"/>
      <c r="AE19" s="380"/>
      <c r="AF19" s="380"/>
      <c r="AG19" s="380"/>
      <c r="AH19" s="380"/>
      <c r="AI19" s="380"/>
      <c r="AJ19" s="380"/>
      <c r="AK19" s="380"/>
      <c r="AL19" s="380"/>
      <c r="AM19" s="380"/>
      <c r="AN19" s="380"/>
      <c r="AO19" s="380"/>
      <c r="AP19" s="380"/>
      <c r="AQ19" s="380"/>
      <c r="AR19" s="107"/>
    </row>
    <row r="20" spans="1:44" ht="27.5" thickBot="1">
      <c r="A20" s="681"/>
      <c r="B20" s="32" t="str">
        <f>IF('Summary Schedule'!C4="UESC", "Mark-up (Overhead &amp; Profit-$)", "Performance Period Delivery Charge ($)")</f>
        <v>Performance Period Delivery Charge ($)</v>
      </c>
      <c r="C20" s="111"/>
      <c r="D20" s="220">
        <f t="shared" ref="D20:K20" si="5">ROUND(D19*D18,0)</f>
        <v>0</v>
      </c>
      <c r="E20" s="220">
        <f t="shared" si="5"/>
        <v>0</v>
      </c>
      <c r="F20" s="220">
        <f t="shared" si="5"/>
        <v>0</v>
      </c>
      <c r="G20" s="220">
        <f t="shared" si="5"/>
        <v>0</v>
      </c>
      <c r="H20" s="220">
        <f t="shared" si="5"/>
        <v>0</v>
      </c>
      <c r="I20" s="220">
        <f t="shared" si="5"/>
        <v>0</v>
      </c>
      <c r="J20" s="220">
        <f t="shared" si="5"/>
        <v>0</v>
      </c>
      <c r="K20" s="220">
        <f t="shared" si="5"/>
        <v>0</v>
      </c>
      <c r="L20" s="220">
        <f>ROUND(L19*L18,0)</f>
        <v>0</v>
      </c>
      <c r="M20" s="220">
        <f t="shared" ref="M20:AB20" si="6">ROUND(M19*M18,0)</f>
        <v>0</v>
      </c>
      <c r="N20" s="220">
        <f t="shared" si="6"/>
        <v>0</v>
      </c>
      <c r="O20" s="220">
        <f t="shared" si="6"/>
        <v>0</v>
      </c>
      <c r="P20" s="220">
        <f t="shared" si="6"/>
        <v>0</v>
      </c>
      <c r="Q20" s="220">
        <f t="shared" si="6"/>
        <v>0</v>
      </c>
      <c r="R20" s="220">
        <f t="shared" si="6"/>
        <v>0</v>
      </c>
      <c r="S20" s="220">
        <f t="shared" si="6"/>
        <v>0</v>
      </c>
      <c r="T20" s="220">
        <f t="shared" si="6"/>
        <v>0</v>
      </c>
      <c r="U20" s="220">
        <f t="shared" si="6"/>
        <v>0</v>
      </c>
      <c r="V20" s="220">
        <f t="shared" si="6"/>
        <v>0</v>
      </c>
      <c r="W20" s="220">
        <f t="shared" si="6"/>
        <v>0</v>
      </c>
      <c r="X20" s="220">
        <f t="shared" si="6"/>
        <v>0</v>
      </c>
      <c r="Y20" s="220">
        <f t="shared" si="6"/>
        <v>0</v>
      </c>
      <c r="Z20" s="220">
        <f t="shared" si="6"/>
        <v>0</v>
      </c>
      <c r="AA20" s="220">
        <f t="shared" si="6"/>
        <v>0</v>
      </c>
      <c r="AB20" s="220">
        <f t="shared" si="6"/>
        <v>0</v>
      </c>
      <c r="AC20" s="220">
        <f t="shared" ref="AC20:AQ20" si="7">ROUND(AC19*AC18,0)</f>
        <v>0</v>
      </c>
      <c r="AD20" s="220">
        <f t="shared" si="7"/>
        <v>0</v>
      </c>
      <c r="AE20" s="220">
        <f t="shared" si="7"/>
        <v>0</v>
      </c>
      <c r="AF20" s="220">
        <f t="shared" si="7"/>
        <v>0</v>
      </c>
      <c r="AG20" s="220">
        <f t="shared" si="7"/>
        <v>0</v>
      </c>
      <c r="AH20" s="220">
        <f t="shared" si="7"/>
        <v>0</v>
      </c>
      <c r="AI20" s="220">
        <f t="shared" si="7"/>
        <v>0</v>
      </c>
      <c r="AJ20" s="220">
        <f t="shared" si="7"/>
        <v>0</v>
      </c>
      <c r="AK20" s="220">
        <f t="shared" si="7"/>
        <v>0</v>
      </c>
      <c r="AL20" s="220">
        <f t="shared" si="7"/>
        <v>0</v>
      </c>
      <c r="AM20" s="220">
        <f t="shared" si="7"/>
        <v>0</v>
      </c>
      <c r="AN20" s="220">
        <f t="shared" si="7"/>
        <v>0</v>
      </c>
      <c r="AO20" s="220">
        <f t="shared" si="7"/>
        <v>0</v>
      </c>
      <c r="AP20" s="220">
        <f t="shared" si="7"/>
        <v>0</v>
      </c>
      <c r="AQ20" s="220">
        <f t="shared" si="7"/>
        <v>0</v>
      </c>
      <c r="AR20" s="133">
        <f t="shared" si="0"/>
        <v>0</v>
      </c>
    </row>
    <row r="21" spans="1:44" ht="27.5" thickBot="1">
      <c r="A21" s="682"/>
      <c r="B21" s="32" t="s">
        <v>313</v>
      </c>
      <c r="C21" s="111"/>
      <c r="D21" s="137">
        <f>ROUND(D18+D20,0)</f>
        <v>0</v>
      </c>
      <c r="E21" s="137">
        <f t="shared" ref="E21:AB21" si="8">ROUND(E18+E20,0)</f>
        <v>0</v>
      </c>
      <c r="F21" s="137">
        <f t="shared" si="8"/>
        <v>0</v>
      </c>
      <c r="G21" s="137">
        <f t="shared" si="8"/>
        <v>0</v>
      </c>
      <c r="H21" s="137">
        <f t="shared" si="8"/>
        <v>0</v>
      </c>
      <c r="I21" s="137">
        <f t="shared" si="8"/>
        <v>0</v>
      </c>
      <c r="J21" s="137">
        <f t="shared" si="8"/>
        <v>0</v>
      </c>
      <c r="K21" s="137">
        <f t="shared" si="8"/>
        <v>0</v>
      </c>
      <c r="L21" s="137">
        <f t="shared" si="8"/>
        <v>0</v>
      </c>
      <c r="M21" s="137">
        <f t="shared" si="8"/>
        <v>0</v>
      </c>
      <c r="N21" s="137">
        <f t="shared" si="8"/>
        <v>0</v>
      </c>
      <c r="O21" s="137">
        <f t="shared" si="8"/>
        <v>0</v>
      </c>
      <c r="P21" s="137">
        <f t="shared" si="8"/>
        <v>0</v>
      </c>
      <c r="Q21" s="137">
        <f t="shared" si="8"/>
        <v>0</v>
      </c>
      <c r="R21" s="137">
        <f t="shared" si="8"/>
        <v>0</v>
      </c>
      <c r="S21" s="137">
        <f t="shared" si="8"/>
        <v>0</v>
      </c>
      <c r="T21" s="137">
        <f t="shared" si="8"/>
        <v>0</v>
      </c>
      <c r="U21" s="137">
        <f t="shared" si="8"/>
        <v>0</v>
      </c>
      <c r="V21" s="137">
        <f t="shared" si="8"/>
        <v>0</v>
      </c>
      <c r="W21" s="137">
        <f t="shared" si="8"/>
        <v>0</v>
      </c>
      <c r="X21" s="137">
        <f t="shared" si="8"/>
        <v>0</v>
      </c>
      <c r="Y21" s="137">
        <f t="shared" si="8"/>
        <v>0</v>
      </c>
      <c r="Z21" s="137">
        <f t="shared" si="8"/>
        <v>0</v>
      </c>
      <c r="AA21" s="137">
        <f t="shared" si="8"/>
        <v>0</v>
      </c>
      <c r="AB21" s="137">
        <f t="shared" si="8"/>
        <v>0</v>
      </c>
      <c r="AC21" s="137">
        <f t="shared" ref="AC21:AQ21" si="9">ROUND(AC18+AC20,0)</f>
        <v>0</v>
      </c>
      <c r="AD21" s="137">
        <f t="shared" si="9"/>
        <v>0</v>
      </c>
      <c r="AE21" s="137">
        <f t="shared" si="9"/>
        <v>0</v>
      </c>
      <c r="AF21" s="137">
        <f t="shared" si="9"/>
        <v>0</v>
      </c>
      <c r="AG21" s="137">
        <f t="shared" si="9"/>
        <v>0</v>
      </c>
      <c r="AH21" s="137">
        <f t="shared" si="9"/>
        <v>0</v>
      </c>
      <c r="AI21" s="137">
        <f t="shared" si="9"/>
        <v>0</v>
      </c>
      <c r="AJ21" s="137">
        <f t="shared" si="9"/>
        <v>0</v>
      </c>
      <c r="AK21" s="137">
        <f t="shared" si="9"/>
        <v>0</v>
      </c>
      <c r="AL21" s="137">
        <f t="shared" si="9"/>
        <v>0</v>
      </c>
      <c r="AM21" s="137">
        <f t="shared" si="9"/>
        <v>0</v>
      </c>
      <c r="AN21" s="137">
        <f t="shared" si="9"/>
        <v>0</v>
      </c>
      <c r="AO21" s="137">
        <f t="shared" si="9"/>
        <v>0</v>
      </c>
      <c r="AP21" s="137">
        <f t="shared" si="9"/>
        <v>0</v>
      </c>
      <c r="AQ21" s="137">
        <f t="shared" si="9"/>
        <v>0</v>
      </c>
      <c r="AR21" s="133">
        <f t="shared" si="0"/>
        <v>0</v>
      </c>
    </row>
    <row r="22" spans="1:44" ht="16.5" thickBot="1">
      <c r="A22" s="34" t="str">
        <f>IF('Summary Schedule'!C4="ESA", "ESA Payments","")</f>
        <v/>
      </c>
      <c r="B22" s="33"/>
      <c r="C22" s="137"/>
      <c r="D22" s="137" t="str">
        <f>IF('Summary Schedule'!C4="ESA",'Sch1ee-Ann Cost Sav &amp; Pymts'!E9,"")</f>
        <v/>
      </c>
      <c r="E22" s="137" t="str">
        <f>IF('Summary Schedule'!C4="ESA",'Sch1ee-Ann Cost Sav &amp; Pymts'!E10,"")</f>
        <v/>
      </c>
      <c r="F22" s="137" t="str">
        <f>IF('Summary Schedule'!C4="ESA",'Sch1ee-Ann Cost Sav &amp; Pymts'!E11,"")</f>
        <v/>
      </c>
      <c r="G22" s="137" t="str">
        <f>IF('Summary Schedule'!C4="ESA",'Sch1ee-Ann Cost Sav &amp; Pymts'!E12,"")</f>
        <v/>
      </c>
      <c r="H22" s="137" t="str">
        <f>IF('Summary Schedule'!C4="ESA",'Sch1ee-Ann Cost Sav &amp; Pymts'!E13,"")</f>
        <v/>
      </c>
      <c r="I22" s="137" t="str">
        <f>IF('Summary Schedule'!C4="ESA",'Sch1ee-Ann Cost Sav &amp; Pymts'!E14,"")</f>
        <v/>
      </c>
      <c r="J22" s="137" t="str">
        <f>IF('Summary Schedule'!C4="ESA",'Sch1ee-Ann Cost Sav &amp; Pymts'!E15,"")</f>
        <v/>
      </c>
      <c r="K22" s="137" t="str">
        <f>IF('Summary Schedule'!C4="ESA",'Sch1ee-Ann Cost Sav &amp; Pymts'!E16,"")</f>
        <v/>
      </c>
      <c r="L22" s="137" t="str">
        <f>IF('Summary Schedule'!C4="ESA",'Sch1ee-Ann Cost Sav &amp; Pymts'!E17,"")</f>
        <v/>
      </c>
      <c r="M22" s="137" t="str">
        <f>IF('Summary Schedule'!C4="ESA",'Sch1ee-Ann Cost Sav &amp; Pymts'!E18,"")</f>
        <v/>
      </c>
      <c r="N22" s="137" t="str">
        <f>IF('Summary Schedule'!C4="ESA",'Sch1ee-Ann Cost Sav &amp; Pymts'!E19,"")</f>
        <v/>
      </c>
      <c r="O22" s="137" t="str">
        <f>IF('Summary Schedule'!C4="ESA",'Sch1ee-Ann Cost Sav &amp; Pymts'!E20,"")</f>
        <v/>
      </c>
      <c r="P22" s="137" t="str">
        <f>IF('Summary Schedule'!C4="ESA",'Sch1ee-Ann Cost Sav &amp; Pymts'!E21,"")</f>
        <v/>
      </c>
      <c r="Q22" s="137" t="str">
        <f>IF('Summary Schedule'!C4="ESA",'Sch1ee-Ann Cost Sav &amp; Pymts'!E22,"")</f>
        <v/>
      </c>
      <c r="R22" s="137" t="str">
        <f>IF('Summary Schedule'!C4="ESA",'Sch1ee-Ann Cost Sav &amp; Pymts'!E23,"")</f>
        <v/>
      </c>
      <c r="S22" s="137" t="str">
        <f>IF('Summary Schedule'!C4="ESA",'Sch1ee-Ann Cost Sav &amp; Pymts'!E24,"")</f>
        <v/>
      </c>
      <c r="T22" s="137" t="str">
        <f>IF('Summary Schedule'!C4="ESA",'Sch1ee-Ann Cost Sav &amp; Pymts'!E25,"")</f>
        <v/>
      </c>
      <c r="U22" s="137" t="str">
        <f>IF('Summary Schedule'!C4="ESA", 'Sch1ee-Ann Cost Sav &amp; Pymts'!E26,"")</f>
        <v/>
      </c>
      <c r="V22" s="137" t="str">
        <f>IF('Summary Schedule'!C4="ESA",'Sch1ee-Ann Cost Sav &amp; Pymts'!E27,"")</f>
        <v/>
      </c>
      <c r="W22" s="137" t="str">
        <f>IF('Summary Schedule'!C4="ESA",'Sch1ee-Ann Cost Sav &amp; Pymts'!E28,"")</f>
        <v/>
      </c>
      <c r="X22" s="137" t="str">
        <f>IF('Summary Schedule'!C4="ESA",'Sch1ee-Ann Cost Sav &amp; Pymts'!E29,"")</f>
        <v/>
      </c>
      <c r="Y22" s="137" t="str">
        <f>IF('Summary Schedule'!C4="ESA",'Sch1ee-Ann Cost Sav &amp; Pymts'!E30,"")</f>
        <v/>
      </c>
      <c r="Z22" s="137" t="str">
        <f>IF('Summary Schedule'!C4="ESA",'Sch1ee-Ann Cost Sav &amp; Pymts'!E31,"")</f>
        <v/>
      </c>
      <c r="AA22" s="137" t="str">
        <f>IF('Summary Schedule'!C4="ESA",'Sch1ee-Ann Cost Sav &amp; Pymts'!E32,"")</f>
        <v/>
      </c>
      <c r="AB22" s="137" t="str">
        <f>IF('Summary Schedule'!C4="ESA",'Sch1ee-Ann Cost Sav &amp; Pymts'!E33,"")</f>
        <v/>
      </c>
      <c r="AC22" s="137" t="str">
        <f>IF('Summary Schedule'!D4="ESA",'Sch1ee-Ann Cost Sav &amp; Pymts'!F33,"")</f>
        <v/>
      </c>
      <c r="AD22" s="137" t="str">
        <f>IF('Summary Schedule'!E4="ESA",'Sch1ee-Ann Cost Sav &amp; Pymts'!G33,"")</f>
        <v/>
      </c>
      <c r="AE22" s="137" t="str">
        <f>IF('Summary Schedule'!F4="ESA",'Sch1ee-Ann Cost Sav &amp; Pymts'!H33,"")</f>
        <v/>
      </c>
      <c r="AF22" s="137" t="str">
        <f>IF('Summary Schedule'!G4="ESA",'Sch1ee-Ann Cost Sav &amp; Pymts'!I33,"")</f>
        <v/>
      </c>
      <c r="AG22" s="137" t="str">
        <f>IF('Summary Schedule'!H4="ESA",'Sch1ee-Ann Cost Sav &amp; Pymts'!J33,"")</f>
        <v/>
      </c>
      <c r="AH22" s="137" t="str">
        <f>IF('Summary Schedule'!I4="ESA",'Sch1ee-Ann Cost Sav &amp; Pymts'!K33,"")</f>
        <v/>
      </c>
      <c r="AI22" s="137" t="str">
        <f>IF('Summary Schedule'!J4="ESA",'Sch1ee-Ann Cost Sav &amp; Pymts'!L33,"")</f>
        <v/>
      </c>
      <c r="AJ22" s="137" t="str">
        <f>IF('Summary Schedule'!K4="ESA",'Sch1ee-Ann Cost Sav &amp; Pymts'!M33,"")</f>
        <v/>
      </c>
      <c r="AK22" s="137" t="str">
        <f>IF('Summary Schedule'!L4="ESA",'Sch1ee-Ann Cost Sav &amp; Pymts'!N33,"")</f>
        <v/>
      </c>
      <c r="AL22" s="137" t="str">
        <f>IF('Summary Schedule'!M4="ESA",'Sch1ee-Ann Cost Sav &amp; Pymts'!O33,"")</f>
        <v/>
      </c>
      <c r="AM22" s="137" t="str">
        <f>IF('Summary Schedule'!N4="ESA",'Sch1ee-Ann Cost Sav &amp; Pymts'!P33,"")</f>
        <v/>
      </c>
      <c r="AN22" s="137" t="str">
        <f>IF('Summary Schedule'!O4="ESA",'Sch1ee-Ann Cost Sav &amp; Pymts'!Q33,"")</f>
        <v/>
      </c>
      <c r="AO22" s="137" t="str">
        <f>IF('Summary Schedule'!P4="ESA",'Sch1ee-Ann Cost Sav &amp; Pymts'!R33,"")</f>
        <v/>
      </c>
      <c r="AP22" s="137" t="str">
        <f>IF('Summary Schedule'!Q4="ESA",'Sch1ee-Ann Cost Sav &amp; Pymts'!S33,"")</f>
        <v/>
      </c>
      <c r="AQ22" s="137" t="str">
        <f>IF('Summary Schedule'!R4="ESA",'Sch1ee-Ann Cost Sav &amp; Pymts'!T33,"")</f>
        <v/>
      </c>
      <c r="AR22" s="136" t="str">
        <f>IF('Summary Schedule'!C4="ESA",SUM(D22:AB22),"")</f>
        <v/>
      </c>
    </row>
    <row r="23" spans="1:44" ht="65.25" customHeight="1" thickBot="1">
      <c r="A23" s="34" t="s">
        <v>32</v>
      </c>
      <c r="B23" s="35" t="s">
        <v>150</v>
      </c>
      <c r="C23" s="135">
        <f>IF('Summary Schedule'!C4="UESC", 'Sch1u-Ann Cost Sav &amp; Pymts'!C6, IF('Summary Schedule'!C4="ESA", 'Sch1ee-Ann Cost Sav &amp; Pymts'!D6,'Sch1-Ann Cost Sav &amp; Pymts'!D6))</f>
        <v>0</v>
      </c>
      <c r="D23" s="216">
        <f ca="1">IF(D9&gt;0,D21+D9,0)</f>
        <v>0</v>
      </c>
      <c r="E23" s="216">
        <f t="shared" ref="E23:AQ23" ca="1" si="10">IF(E9&gt;0,E21+E9,0)</f>
        <v>0</v>
      </c>
      <c r="F23" s="216">
        <f t="shared" ca="1" si="10"/>
        <v>0</v>
      </c>
      <c r="G23" s="216">
        <f t="shared" ca="1" si="10"/>
        <v>0</v>
      </c>
      <c r="H23" s="216">
        <f t="shared" ca="1" si="10"/>
        <v>0</v>
      </c>
      <c r="I23" s="216">
        <f t="shared" ca="1" si="10"/>
        <v>0</v>
      </c>
      <c r="J23" s="216">
        <f t="shared" ca="1" si="10"/>
        <v>0</v>
      </c>
      <c r="K23" s="216">
        <f t="shared" ca="1" si="10"/>
        <v>0</v>
      </c>
      <c r="L23" s="216">
        <f t="shared" ca="1" si="10"/>
        <v>0</v>
      </c>
      <c r="M23" s="216">
        <f t="shared" ca="1" si="10"/>
        <v>0</v>
      </c>
      <c r="N23" s="216">
        <f t="shared" ca="1" si="10"/>
        <v>0</v>
      </c>
      <c r="O23" s="216">
        <f t="shared" ca="1" si="10"/>
        <v>0</v>
      </c>
      <c r="P23" s="216">
        <f t="shared" ca="1" si="10"/>
        <v>0</v>
      </c>
      <c r="Q23" s="216">
        <f t="shared" ca="1" si="10"/>
        <v>0</v>
      </c>
      <c r="R23" s="216">
        <f t="shared" ca="1" si="10"/>
        <v>0</v>
      </c>
      <c r="S23" s="216">
        <f t="shared" ca="1" si="10"/>
        <v>0</v>
      </c>
      <c r="T23" s="216">
        <f t="shared" ca="1" si="10"/>
        <v>0</v>
      </c>
      <c r="U23" s="216">
        <f t="shared" ca="1" si="10"/>
        <v>0</v>
      </c>
      <c r="V23" s="216">
        <f t="shared" ca="1" si="10"/>
        <v>0</v>
      </c>
      <c r="W23" s="216">
        <f t="shared" ca="1" si="10"/>
        <v>0</v>
      </c>
      <c r="X23" s="216">
        <f t="shared" ca="1" si="10"/>
        <v>0</v>
      </c>
      <c r="Y23" s="216">
        <f t="shared" ca="1" si="10"/>
        <v>0</v>
      </c>
      <c r="Z23" s="216">
        <f t="shared" ca="1" si="10"/>
        <v>0</v>
      </c>
      <c r="AA23" s="216">
        <f t="shared" ca="1" si="10"/>
        <v>0</v>
      </c>
      <c r="AB23" s="216">
        <f t="shared" ca="1" si="10"/>
        <v>0</v>
      </c>
      <c r="AC23" s="216">
        <f t="shared" ca="1" si="10"/>
        <v>0</v>
      </c>
      <c r="AD23" s="216">
        <f t="shared" ca="1" si="10"/>
        <v>0</v>
      </c>
      <c r="AE23" s="216">
        <f t="shared" ca="1" si="10"/>
        <v>0</v>
      </c>
      <c r="AF23" s="216">
        <f t="shared" ca="1" si="10"/>
        <v>0</v>
      </c>
      <c r="AG23" s="216">
        <f t="shared" ca="1" si="10"/>
        <v>0</v>
      </c>
      <c r="AH23" s="216">
        <f t="shared" ca="1" si="10"/>
        <v>0</v>
      </c>
      <c r="AI23" s="216">
        <f t="shared" ca="1" si="10"/>
        <v>0</v>
      </c>
      <c r="AJ23" s="216">
        <f t="shared" ca="1" si="10"/>
        <v>0</v>
      </c>
      <c r="AK23" s="216">
        <f t="shared" ca="1" si="10"/>
        <v>0</v>
      </c>
      <c r="AL23" s="216">
        <f t="shared" ca="1" si="10"/>
        <v>0</v>
      </c>
      <c r="AM23" s="216">
        <f t="shared" ca="1" si="10"/>
        <v>0</v>
      </c>
      <c r="AN23" s="216">
        <f t="shared" ca="1" si="10"/>
        <v>0</v>
      </c>
      <c r="AO23" s="216">
        <f t="shared" ca="1" si="10"/>
        <v>0</v>
      </c>
      <c r="AP23" s="216">
        <f t="shared" ca="1" si="10"/>
        <v>0</v>
      </c>
      <c r="AQ23" s="216">
        <f t="shared" ca="1" si="10"/>
        <v>0</v>
      </c>
      <c r="AR23" s="423">
        <f t="shared" ca="1" si="0"/>
        <v>0</v>
      </c>
    </row>
    <row r="24" spans="1:44" ht="16.5" thickBot="1">
      <c r="A24" s="36"/>
      <c r="B24" s="37"/>
      <c r="C24" s="37"/>
      <c r="D24" s="217"/>
      <c r="E24" s="217"/>
      <c r="F24" s="217"/>
      <c r="G24" s="217"/>
      <c r="H24" s="218"/>
      <c r="I24" s="217"/>
      <c r="J24" s="217"/>
      <c r="K24" s="217"/>
      <c r="L24" s="217"/>
      <c r="M24" s="217"/>
      <c r="N24" s="217"/>
      <c r="O24" s="217"/>
      <c r="P24" s="217"/>
      <c r="Q24" s="217"/>
      <c r="R24" s="217"/>
      <c r="S24" s="217"/>
      <c r="T24" s="217"/>
      <c r="U24" s="217"/>
      <c r="V24" s="217"/>
      <c r="W24" s="217"/>
      <c r="X24" s="217"/>
      <c r="Y24" s="217"/>
      <c r="Z24" s="217"/>
      <c r="AA24" s="217"/>
      <c r="AB24" s="217"/>
      <c r="AC24" s="217"/>
      <c r="AD24" s="217"/>
      <c r="AE24" s="217"/>
      <c r="AF24" s="217"/>
      <c r="AG24" s="217"/>
      <c r="AH24" s="217"/>
      <c r="AI24" s="217"/>
      <c r="AJ24" s="217"/>
      <c r="AK24" s="217"/>
      <c r="AL24" s="217"/>
      <c r="AM24" s="217"/>
      <c r="AN24" s="217"/>
      <c r="AO24" s="217"/>
      <c r="AP24" s="217"/>
      <c r="AQ24" s="217"/>
      <c r="AR24" s="219"/>
    </row>
    <row r="25" spans="1:44">
      <c r="A25" s="666" t="s">
        <v>62</v>
      </c>
      <c r="B25" s="667"/>
      <c r="C25" s="667"/>
      <c r="D25" s="667"/>
      <c r="E25" s="667"/>
      <c r="F25" s="667"/>
      <c r="G25" s="667"/>
      <c r="H25" s="667"/>
      <c r="I25" s="667"/>
      <c r="J25" s="667"/>
      <c r="K25" s="667"/>
      <c r="L25" s="667"/>
      <c r="M25" s="667"/>
      <c r="N25" s="667"/>
      <c r="O25" s="667"/>
      <c r="P25" s="667"/>
      <c r="Q25" s="667"/>
      <c r="R25" s="667"/>
      <c r="S25" s="667"/>
      <c r="T25" s="667"/>
      <c r="U25" s="667"/>
      <c r="V25" s="667"/>
      <c r="W25" s="667"/>
      <c r="X25" s="667"/>
      <c r="Y25" s="667"/>
      <c r="Z25" s="667"/>
      <c r="AA25" s="667"/>
      <c r="AB25" s="667"/>
      <c r="AC25" s="667"/>
      <c r="AD25" s="667"/>
      <c r="AE25" s="667"/>
      <c r="AF25" s="667"/>
      <c r="AG25" s="667"/>
      <c r="AH25" s="667"/>
      <c r="AI25" s="667"/>
      <c r="AJ25" s="667"/>
      <c r="AK25" s="667"/>
      <c r="AL25" s="667"/>
      <c r="AM25" s="667"/>
      <c r="AN25" s="667"/>
      <c r="AO25" s="667"/>
      <c r="AP25" s="667"/>
      <c r="AQ25" s="667"/>
      <c r="AR25" s="668"/>
    </row>
    <row r="26" spans="1:44">
      <c r="A26" s="674" t="s">
        <v>286</v>
      </c>
      <c r="B26" s="675"/>
      <c r="C26" s="675"/>
      <c r="D26" s="675"/>
      <c r="E26" s="675"/>
      <c r="F26" s="675"/>
      <c r="G26" s="675"/>
      <c r="H26" s="675"/>
      <c r="I26" s="675"/>
      <c r="J26" s="675"/>
      <c r="K26" s="675"/>
      <c r="L26" s="675"/>
      <c r="M26" s="675"/>
      <c r="N26" s="675"/>
      <c r="O26" s="675"/>
      <c r="P26" s="675"/>
      <c r="Q26" s="675"/>
      <c r="R26" s="675"/>
      <c r="S26" s="675"/>
      <c r="T26" s="675"/>
      <c r="U26" s="675"/>
      <c r="V26" s="675"/>
      <c r="W26" s="675"/>
      <c r="X26" s="675"/>
      <c r="Y26" s="675"/>
      <c r="Z26" s="675"/>
      <c r="AA26" s="675"/>
      <c r="AB26" s="675"/>
      <c r="AC26" s="675"/>
      <c r="AD26" s="675"/>
      <c r="AE26" s="675"/>
      <c r="AF26" s="675"/>
      <c r="AG26" s="675"/>
      <c r="AH26" s="675"/>
      <c r="AI26" s="675"/>
      <c r="AJ26" s="675"/>
      <c r="AK26" s="675"/>
      <c r="AL26" s="675"/>
      <c r="AM26" s="675"/>
      <c r="AN26" s="675"/>
      <c r="AO26" s="675"/>
      <c r="AP26" s="675"/>
      <c r="AQ26" s="675"/>
      <c r="AR26" s="676"/>
    </row>
    <row r="27" spans="1:44">
      <c r="A27" s="674" t="s">
        <v>282</v>
      </c>
      <c r="B27" s="675"/>
      <c r="C27" s="675"/>
      <c r="D27" s="675"/>
      <c r="E27" s="675"/>
      <c r="F27" s="675"/>
      <c r="G27" s="675"/>
      <c r="H27" s="675"/>
      <c r="I27" s="675"/>
      <c r="J27" s="675"/>
      <c r="K27" s="675"/>
      <c r="L27" s="675"/>
      <c r="M27" s="675"/>
      <c r="N27" s="675"/>
      <c r="O27" s="675"/>
      <c r="P27" s="675"/>
      <c r="Q27" s="675"/>
      <c r="R27" s="675"/>
      <c r="S27" s="675"/>
      <c r="T27" s="675"/>
      <c r="U27" s="675"/>
      <c r="V27" s="675"/>
      <c r="W27" s="675"/>
      <c r="X27" s="675"/>
      <c r="Y27" s="675"/>
      <c r="Z27" s="675"/>
      <c r="AA27" s="675"/>
      <c r="AB27" s="675"/>
      <c r="AC27" s="675"/>
      <c r="AD27" s="675"/>
      <c r="AE27" s="675"/>
      <c r="AF27" s="675"/>
      <c r="AG27" s="675"/>
      <c r="AH27" s="675"/>
      <c r="AI27" s="675"/>
      <c r="AJ27" s="675"/>
      <c r="AK27" s="675"/>
      <c r="AL27" s="675"/>
      <c r="AM27" s="675"/>
      <c r="AN27" s="675"/>
      <c r="AO27" s="675"/>
      <c r="AP27" s="675"/>
      <c r="AQ27" s="675"/>
      <c r="AR27" s="676"/>
    </row>
    <row r="28" spans="1:44" ht="16.5" thickBot="1">
      <c r="A28" s="677" t="s">
        <v>287</v>
      </c>
      <c r="B28" s="678"/>
      <c r="C28" s="678"/>
      <c r="D28" s="678"/>
      <c r="E28" s="678"/>
      <c r="F28" s="678"/>
      <c r="G28" s="678"/>
      <c r="H28" s="678"/>
      <c r="I28" s="678"/>
      <c r="J28" s="678"/>
      <c r="K28" s="678"/>
      <c r="L28" s="678"/>
      <c r="M28" s="678"/>
      <c r="N28" s="678"/>
      <c r="O28" s="678"/>
      <c r="P28" s="678"/>
      <c r="Q28" s="678"/>
      <c r="R28" s="678"/>
      <c r="S28" s="678"/>
      <c r="T28" s="678"/>
      <c r="U28" s="678"/>
      <c r="V28" s="678"/>
      <c r="W28" s="678"/>
      <c r="X28" s="678"/>
      <c r="Y28" s="678"/>
      <c r="Z28" s="678"/>
      <c r="AA28" s="678"/>
      <c r="AB28" s="678"/>
      <c r="AC28" s="678"/>
      <c r="AD28" s="678"/>
      <c r="AE28" s="678"/>
      <c r="AF28" s="678"/>
      <c r="AG28" s="678"/>
      <c r="AH28" s="678"/>
      <c r="AI28" s="678"/>
      <c r="AJ28" s="678"/>
      <c r="AK28" s="678"/>
      <c r="AL28" s="678"/>
      <c r="AM28" s="678"/>
      <c r="AN28" s="678"/>
      <c r="AO28" s="678"/>
      <c r="AP28" s="678"/>
      <c r="AQ28" s="678"/>
      <c r="AR28" s="679"/>
    </row>
    <row r="29" spans="1:44" ht="16.5" thickBot="1">
      <c r="A29" s="677" t="s">
        <v>406</v>
      </c>
      <c r="B29" s="678"/>
      <c r="C29" s="678"/>
      <c r="D29" s="678"/>
      <c r="E29" s="678"/>
      <c r="F29" s="678"/>
      <c r="G29" s="678"/>
      <c r="H29" s="678"/>
      <c r="I29" s="678"/>
      <c r="J29" s="678"/>
      <c r="K29" s="678"/>
      <c r="L29" s="678"/>
      <c r="M29" s="678"/>
      <c r="N29" s="678"/>
      <c r="O29" s="678"/>
      <c r="P29" s="678"/>
      <c r="Q29" s="678"/>
      <c r="R29" s="678"/>
      <c r="S29" s="678"/>
      <c r="T29" s="678"/>
      <c r="U29" s="678"/>
      <c r="V29" s="678"/>
      <c r="W29" s="678"/>
      <c r="X29" s="678"/>
      <c r="Y29" s="678"/>
      <c r="Z29" s="678"/>
      <c r="AA29" s="678"/>
      <c r="AB29" s="678"/>
      <c r="AC29" s="678"/>
      <c r="AD29" s="678"/>
      <c r="AE29" s="678"/>
      <c r="AF29" s="678"/>
      <c r="AG29" s="678"/>
      <c r="AH29" s="678"/>
      <c r="AI29" s="678"/>
      <c r="AJ29" s="678"/>
      <c r="AK29" s="678"/>
      <c r="AL29" s="678"/>
      <c r="AM29" s="678"/>
      <c r="AN29" s="678"/>
      <c r="AO29" s="678"/>
      <c r="AP29" s="678"/>
      <c r="AQ29" s="678"/>
      <c r="AR29" s="679"/>
    </row>
    <row r="30" spans="1:44">
      <c r="A30" s="666" t="s">
        <v>173</v>
      </c>
      <c r="B30" s="667"/>
      <c r="C30" s="667"/>
      <c r="D30" s="667"/>
      <c r="E30" s="667"/>
      <c r="F30" s="667"/>
      <c r="G30" s="667"/>
      <c r="H30" s="667"/>
      <c r="I30" s="667"/>
      <c r="J30" s="667"/>
      <c r="K30" s="667"/>
      <c r="L30" s="667"/>
      <c r="M30" s="667"/>
      <c r="N30" s="667"/>
      <c r="O30" s="667"/>
      <c r="P30" s="667"/>
      <c r="Q30" s="667"/>
      <c r="R30" s="667"/>
      <c r="S30" s="667"/>
      <c r="T30" s="667"/>
      <c r="U30" s="667"/>
      <c r="V30" s="667"/>
      <c r="W30" s="667"/>
      <c r="X30" s="667"/>
      <c r="Y30" s="667"/>
      <c r="Z30" s="667"/>
      <c r="AA30" s="667"/>
      <c r="AB30" s="667"/>
      <c r="AC30" s="667"/>
      <c r="AD30" s="667"/>
      <c r="AE30" s="667"/>
      <c r="AF30" s="667"/>
      <c r="AG30" s="667"/>
      <c r="AH30" s="667"/>
      <c r="AI30" s="667"/>
      <c r="AJ30" s="667"/>
      <c r="AK30" s="667"/>
      <c r="AL30" s="667"/>
      <c r="AM30" s="667"/>
      <c r="AN30" s="667"/>
      <c r="AO30" s="667"/>
      <c r="AP30" s="667"/>
      <c r="AQ30" s="667"/>
      <c r="AR30" s="668"/>
    </row>
    <row r="31" spans="1:44" ht="103" customHeight="1" thickBot="1">
      <c r="A31" s="669"/>
      <c r="B31" s="670"/>
      <c r="C31" s="670"/>
      <c r="D31" s="670"/>
      <c r="E31" s="670"/>
      <c r="F31" s="670"/>
      <c r="G31" s="670"/>
      <c r="H31" s="670"/>
      <c r="I31" s="670"/>
      <c r="J31" s="670"/>
      <c r="K31" s="670"/>
      <c r="L31" s="670"/>
      <c r="M31" s="670"/>
      <c r="N31" s="670"/>
      <c r="O31" s="670"/>
      <c r="P31" s="670"/>
      <c r="Q31" s="670"/>
      <c r="R31" s="670"/>
      <c r="S31" s="670"/>
      <c r="T31" s="670"/>
      <c r="U31" s="670"/>
      <c r="V31" s="670"/>
      <c r="W31" s="670"/>
      <c r="X31" s="670"/>
      <c r="Y31" s="670"/>
      <c r="Z31" s="670"/>
      <c r="AA31" s="670"/>
      <c r="AB31" s="670"/>
      <c r="AC31" s="670"/>
      <c r="AD31" s="670"/>
      <c r="AE31" s="670"/>
      <c r="AF31" s="670"/>
      <c r="AG31" s="670"/>
      <c r="AH31" s="670"/>
      <c r="AI31" s="670"/>
      <c r="AJ31" s="670"/>
      <c r="AK31" s="670"/>
      <c r="AL31" s="670"/>
      <c r="AM31" s="670"/>
      <c r="AN31" s="670"/>
      <c r="AO31" s="670"/>
      <c r="AP31" s="670"/>
      <c r="AQ31" s="670"/>
      <c r="AR31" s="671"/>
    </row>
    <row r="32" spans="1:44">
      <c r="A32" s="38" t="str">
        <f>'Sch2a-Imp Price by ECM'!A271</f>
        <v>4.2.9.c</v>
      </c>
    </row>
    <row r="33" spans="1:1">
      <c r="A33" s="38" t="str">
        <f>'Sch2a-Imp Price by ECM'!A272</f>
        <v>02112025</v>
      </c>
    </row>
    <row r="49" spans="3:3">
      <c r="C49" s="154"/>
    </row>
  </sheetData>
  <sheetProtection algorithmName="SHA-512" hashValue="0JDcXuio2pAxzeXd3vdJgEqYaVLi7M0gEFAvXSyxQKRO6yNTwAi+4AAfh1dCphmFAEoWyK5ksGh9IgSq+HMyVw==" saltValue="JjkRxeh6XH6CbgpmmfFnCg==" spinCount="100000" sheet="1" objects="1" scenarios="1"/>
  <mergeCells count="11">
    <mergeCell ref="A30:AR30"/>
    <mergeCell ref="A31:AR31"/>
    <mergeCell ref="A1:AR1"/>
    <mergeCell ref="A2:AR2"/>
    <mergeCell ref="A26:AR26"/>
    <mergeCell ref="A29:AR29"/>
    <mergeCell ref="A25:AR25"/>
    <mergeCell ref="A5:A9"/>
    <mergeCell ref="A11:A21"/>
    <mergeCell ref="A27:AR27"/>
    <mergeCell ref="A28:AR28"/>
  </mergeCells>
  <dataValidations count="10">
    <dataValidation type="whole" operator="greaterThanOrEqual" allowBlank="1" showInputMessage="1" showErrorMessage="1" error="Please enter a value greater than or equal to zero." sqref="C8 C11:C21 AR5:AR9 C5 AR23 D20:AR21 AC11:AR18 D18:AB18" xr:uid="{00000000-0002-0000-0900-000000000000}">
      <formula1>0</formula1>
    </dataValidation>
    <dataValidation operator="greaterThanOrEqual" allowBlank="1" showInputMessage="1" showErrorMessage="1" error="Please enter a value greater than or equal to zero." sqref="C9:AQ9 C6:C7 D8:AQ8 AR22 D5:AQ5" xr:uid="{00000000-0002-0000-0900-000002000000}"/>
    <dataValidation type="list" allowBlank="1" showInputMessage="1" showErrorMessage="1" sqref="B16" xr:uid="{00000000-0002-0000-0900-000003000000}">
      <formula1>"Other PP Expense 1: Permits and Licenses, Other PP Expense 1: Insurance, Other PP Expense 1: Property Taxes, Other PP Expense 1: Other"</formula1>
    </dataValidation>
    <dataValidation type="list" allowBlank="1" showInputMessage="1" showErrorMessage="1" sqref="B17" xr:uid="{00000000-0002-0000-0900-000004000000}">
      <formula1>"Other PP Expense 2: Permits and Licenses, Other PP Expense 2: Insurance, Other PP Expense 2: Property Taxes, Other PP Expense 2: Other"</formula1>
    </dataValidation>
    <dataValidation type="decimal" allowBlank="1" showInputMessage="1" showErrorMessage="1" error="Please enter a percentage between 0 and 100%." sqref="AC19:AQ19" xr:uid="{00000000-0002-0000-0900-000005000000}">
      <formula1>0</formula1>
      <formula2>1</formula2>
    </dataValidation>
    <dataValidation type="whole" allowBlank="1" showInputMessage="1" showErrorMessage="1" sqref="AC6:AQ6" xr:uid="{00000000-0002-0000-0900-000006000000}">
      <formula1>-1000000000</formula1>
      <formula2>1000000000</formula2>
    </dataValidation>
    <dataValidation operator="greaterThanOrEqual" allowBlank="1" showInputMessage="1" showErrorMessage="1" error="Please enter a number greater than or equal to zero." sqref="C23:AQ23" xr:uid="{00000000-0002-0000-0900-000007000000}"/>
    <dataValidation type="whole" allowBlank="1" showInputMessage="1" showErrorMessage="1" error="Please enter a number (dollar amount)" sqref="D6:AB6 D7:AQ7" xr:uid="{E75C588D-A7C6-434B-94EB-D60C6064A279}">
      <formula1>0</formula1>
      <formula2>1000000000</formula2>
    </dataValidation>
    <dataValidation type="decimal" allowBlank="1" showInputMessage="1" showErrorMessage="1" error="Please enter a percentage between 0 and 100" sqref="D19:AB19" xr:uid="{905DB024-1AE3-4554-8A3D-B705758EEEB7}">
      <formula1>0</formula1>
      <formula2>1</formula2>
    </dataValidation>
    <dataValidation type="whole" allowBlank="1" showInputMessage="1" showErrorMessage="1" error="Please enter a dollar amount" sqref="D11:AB17" xr:uid="{130DD61B-736C-4E54-AC63-D98FCCF1D91C}">
      <formula1>0</formula1>
      <formula2>1000000000</formula2>
    </dataValidation>
  </dataValidations>
  <pageMargins left="0.75" right="0.75" top="1" bottom="1" header="0.5" footer="0.5"/>
  <pageSetup scale="24" orientation="landscape"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1" id="{C9A0CD48-854D-C146-8AE0-FE040BBD9014}">
            <xm:f>'Summary Schedule'!$C$4&lt;&gt;"ESA"</xm:f>
            <x14:dxf>
              <fill>
                <patternFill patternType="mediumGray">
                  <fgColor auto="1"/>
                  <bgColor auto="1"/>
                </patternFill>
              </fill>
            </x14:dxf>
          </x14:cfRule>
          <xm:sqref>A22:AR22</xm:sqref>
        </x14:conditionalFormatting>
      </x14:conditionalFormattings>
    </ex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AK269"/>
  <sheetViews>
    <sheetView zoomScale="90" zoomScaleNormal="90" zoomScalePageLayoutView="75" workbookViewId="0">
      <pane ySplit="9" topLeftCell="A10" activePane="bottomLeft" state="frozenSplit"/>
      <selection pane="bottomLeft" sqref="A1:AJ1"/>
    </sheetView>
  </sheetViews>
  <sheetFormatPr defaultColWidth="11" defaultRowHeight="16"/>
  <cols>
    <col min="1" max="1" width="16" style="1" customWidth="1"/>
    <col min="2" max="2" width="47.83203125" style="1" customWidth="1"/>
    <col min="3" max="3" width="15.83203125" style="1" customWidth="1"/>
    <col min="4" max="4" width="15.5" style="1" customWidth="1"/>
    <col min="5" max="7" width="13.5" style="1" customWidth="1"/>
    <col min="8" max="9" width="19" style="1" customWidth="1"/>
    <col min="10" max="10" width="13.5" style="1" customWidth="1"/>
    <col min="11" max="11" width="14.5" style="1" customWidth="1"/>
    <col min="12" max="29" width="13.5" style="1" customWidth="1"/>
    <col min="30" max="30" width="13" style="1" customWidth="1"/>
    <col min="31" max="31" width="12.83203125" style="1" customWidth="1"/>
    <col min="32" max="34" width="13.5" style="1" customWidth="1"/>
    <col min="35" max="35" width="15.83203125" style="1" customWidth="1"/>
    <col min="36" max="36" width="11" style="1" customWidth="1"/>
    <col min="37" max="16384" width="11" style="1"/>
  </cols>
  <sheetData>
    <row r="1" spans="1:37" ht="20">
      <c r="A1" s="633" t="s">
        <v>106</v>
      </c>
      <c r="B1" s="633"/>
      <c r="C1" s="633"/>
      <c r="D1" s="633"/>
      <c r="E1" s="633"/>
      <c r="F1" s="633"/>
      <c r="G1" s="633"/>
      <c r="H1" s="633"/>
      <c r="I1" s="633"/>
      <c r="J1" s="633"/>
      <c r="K1" s="633"/>
      <c r="L1" s="633"/>
      <c r="M1" s="633"/>
      <c r="N1" s="633"/>
      <c r="O1" s="633"/>
      <c r="P1" s="633"/>
      <c r="Q1" s="633"/>
      <c r="R1" s="633"/>
      <c r="S1" s="633"/>
      <c r="T1" s="633"/>
      <c r="U1" s="633"/>
      <c r="V1" s="633"/>
      <c r="W1" s="633"/>
      <c r="X1" s="633"/>
      <c r="Y1" s="633"/>
      <c r="Z1" s="633"/>
      <c r="AA1" s="633"/>
      <c r="AB1" s="633"/>
      <c r="AC1" s="633"/>
      <c r="AD1" s="633"/>
      <c r="AE1" s="633"/>
      <c r="AF1" s="633"/>
      <c r="AG1" s="633"/>
      <c r="AH1" s="633"/>
      <c r="AI1" s="633"/>
      <c r="AJ1" s="633"/>
    </row>
    <row r="2" spans="1:37" ht="20.5" thickBot="1">
      <c r="A2" s="701" t="s">
        <v>132</v>
      </c>
      <c r="B2" s="701"/>
      <c r="C2" s="701"/>
      <c r="D2" s="701"/>
      <c r="E2" s="701"/>
      <c r="F2" s="701"/>
      <c r="G2" s="701"/>
      <c r="H2" s="701"/>
      <c r="I2" s="701"/>
      <c r="J2" s="701"/>
      <c r="K2" s="701"/>
      <c r="L2" s="701"/>
      <c r="M2" s="701"/>
      <c r="N2" s="701"/>
      <c r="O2" s="701"/>
      <c r="P2" s="701"/>
      <c r="Q2" s="701"/>
      <c r="R2" s="701"/>
      <c r="S2" s="701"/>
      <c r="T2" s="701"/>
      <c r="U2" s="701"/>
      <c r="V2" s="701"/>
      <c r="W2" s="701"/>
      <c r="X2" s="701"/>
      <c r="Y2" s="701"/>
      <c r="Z2" s="701"/>
      <c r="AA2" s="701"/>
      <c r="AB2" s="701"/>
      <c r="AC2" s="701"/>
      <c r="AD2" s="701"/>
      <c r="AE2" s="701"/>
      <c r="AF2" s="701"/>
      <c r="AG2" s="701"/>
      <c r="AH2" s="701"/>
      <c r="AI2" s="701"/>
      <c r="AJ2" s="701"/>
    </row>
    <row r="3" spans="1:37" ht="16.5" thickBot="1">
      <c r="A3" s="3"/>
      <c r="B3" s="4"/>
      <c r="C3" s="4"/>
      <c r="D3" s="4"/>
      <c r="E3" s="4"/>
      <c r="F3" s="4"/>
      <c r="G3" s="4"/>
      <c r="H3" s="4"/>
      <c r="I3" s="4"/>
      <c r="J3" s="4"/>
      <c r="K3" s="4"/>
      <c r="L3" s="4"/>
      <c r="M3" s="4"/>
      <c r="N3" s="4"/>
      <c r="O3" s="4"/>
      <c r="P3" s="4"/>
      <c r="Q3" s="4"/>
      <c r="R3" s="4"/>
      <c r="S3" s="4"/>
      <c r="T3" s="4"/>
      <c r="U3" s="4"/>
      <c r="V3" s="4"/>
      <c r="W3" s="5"/>
      <c r="X3" s="5"/>
      <c r="Y3" s="5"/>
      <c r="Z3" s="5"/>
      <c r="AA3" s="5"/>
      <c r="AB3" s="5"/>
      <c r="AC3" s="5"/>
      <c r="AD3" s="5"/>
      <c r="AE3" s="5"/>
      <c r="AF3" s="5"/>
      <c r="AG3" s="5"/>
      <c r="AH3" s="5"/>
      <c r="AI3" s="5"/>
      <c r="AJ3" s="6"/>
    </row>
    <row r="4" spans="1:37" ht="42.5" thickBot="1">
      <c r="A4" s="705" t="s">
        <v>16</v>
      </c>
      <c r="B4" s="706"/>
      <c r="C4" s="706"/>
      <c r="D4" s="703"/>
      <c r="E4" s="620" t="s">
        <v>85</v>
      </c>
      <c r="F4" s="621"/>
      <c r="G4" s="621"/>
      <c r="H4" s="621"/>
      <c r="I4" s="621"/>
      <c r="J4" s="621"/>
      <c r="K4" s="621"/>
      <c r="L4" s="621"/>
      <c r="M4" s="621"/>
      <c r="N4" s="621"/>
      <c r="O4" s="494"/>
      <c r="P4" s="7" t="s">
        <v>42</v>
      </c>
      <c r="Q4" s="8" t="s">
        <v>41</v>
      </c>
      <c r="R4" s="8" t="s">
        <v>34</v>
      </c>
      <c r="S4" s="8" t="s">
        <v>35</v>
      </c>
      <c r="T4" s="8" t="s">
        <v>36</v>
      </c>
      <c r="U4" s="8" t="s">
        <v>37</v>
      </c>
      <c r="V4" s="8" t="s">
        <v>49</v>
      </c>
      <c r="W4" s="7" t="s">
        <v>50</v>
      </c>
      <c r="X4" s="8" t="s">
        <v>51</v>
      </c>
      <c r="Y4" s="7" t="s">
        <v>52</v>
      </c>
      <c r="Z4" s="8" t="s">
        <v>289</v>
      </c>
      <c r="AA4" s="8" t="s">
        <v>53</v>
      </c>
      <c r="AB4" s="8" t="s">
        <v>38</v>
      </c>
      <c r="AC4" s="8" t="s">
        <v>39</v>
      </c>
      <c r="AD4" s="8" t="s">
        <v>606</v>
      </c>
      <c r="AE4" s="8" t="s">
        <v>607</v>
      </c>
      <c r="AF4" s="8" t="s">
        <v>40</v>
      </c>
      <c r="AG4" s="8" t="s">
        <v>80</v>
      </c>
      <c r="AH4" s="8" t="s">
        <v>81</v>
      </c>
      <c r="AI4" s="7" t="s">
        <v>82</v>
      </c>
      <c r="AJ4" s="7" t="s">
        <v>83</v>
      </c>
    </row>
    <row r="5" spans="1:37" ht="56">
      <c r="A5" s="702" t="s">
        <v>27</v>
      </c>
      <c r="B5" s="703" t="s">
        <v>43</v>
      </c>
      <c r="C5" s="702" t="s">
        <v>595</v>
      </c>
      <c r="D5" s="637" t="str">
        <f>IF('Summary Schedule'!C4="UESC", "Performance assurance option(s)", "First Year M&amp;V Option*")</f>
        <v>First Year M&amp;V Option*</v>
      </c>
      <c r="E5" s="40" t="s">
        <v>71</v>
      </c>
      <c r="F5" s="40" t="s">
        <v>72</v>
      </c>
      <c r="G5" s="40" t="s">
        <v>74</v>
      </c>
      <c r="H5" s="119" t="str">
        <f>"Baseline Use"&amp;MID('Annual Escalation Rates'!E4,FIND(":",'Annual Escalation Rates'!E4),15)</f>
        <v>Baseline Use: Other</v>
      </c>
      <c r="I5" s="119" t="str">
        <f>"Baseline Use"&amp;MID('Annual Escalation Rates'!F4,FIND(":",'Annual Escalation Rates'!F4),15)</f>
        <v>Baseline Use: Other</v>
      </c>
      <c r="J5" s="39" t="s">
        <v>73</v>
      </c>
      <c r="K5" s="39" t="s">
        <v>610</v>
      </c>
      <c r="L5" s="40" t="s">
        <v>79</v>
      </c>
      <c r="M5" s="40" t="s">
        <v>75</v>
      </c>
      <c r="N5" s="40" t="s">
        <v>76</v>
      </c>
      <c r="O5" s="40" t="s">
        <v>138</v>
      </c>
      <c r="P5" s="40" t="s">
        <v>17</v>
      </c>
      <c r="Q5" s="40" t="s">
        <v>17</v>
      </c>
      <c r="R5" s="40" t="s">
        <v>20</v>
      </c>
      <c r="S5" s="40" t="s">
        <v>20</v>
      </c>
      <c r="T5" s="40" t="s">
        <v>21</v>
      </c>
      <c r="U5" s="40" t="s">
        <v>21</v>
      </c>
      <c r="V5" s="119" t="str">
        <f>'Annual Escalation Rates'!E4</f>
        <v>Other Savings Type 1: Other</v>
      </c>
      <c r="W5" s="119" t="str">
        <f>'Annual Escalation Rates'!E4</f>
        <v>Other Savings Type 1: Other</v>
      </c>
      <c r="X5" s="119" t="str">
        <f>'Annual Escalation Rates'!F4</f>
        <v>Other Savings Type 2: Other</v>
      </c>
      <c r="Y5" s="119" t="str">
        <f>'Annual Escalation Rates'!F4</f>
        <v>Other Savings Type 2: Other</v>
      </c>
      <c r="Z5" s="40" t="s">
        <v>22</v>
      </c>
      <c r="AA5" s="40" t="s">
        <v>23</v>
      </c>
      <c r="AB5" s="40" t="s">
        <v>24</v>
      </c>
      <c r="AC5" s="40" t="s">
        <v>24</v>
      </c>
      <c r="AD5" s="40" t="s">
        <v>608</v>
      </c>
      <c r="AE5" s="40" t="s">
        <v>608</v>
      </c>
      <c r="AF5" s="40" t="s">
        <v>55</v>
      </c>
      <c r="AG5" s="40" t="s">
        <v>78</v>
      </c>
      <c r="AH5" s="40" t="s">
        <v>25</v>
      </c>
      <c r="AI5" s="40" t="s">
        <v>58</v>
      </c>
      <c r="AJ5" s="40" t="s">
        <v>28</v>
      </c>
    </row>
    <row r="6" spans="1:37" ht="16.5" thickBot="1">
      <c r="A6" s="630"/>
      <c r="B6" s="704"/>
      <c r="C6" s="707"/>
      <c r="D6" s="638"/>
      <c r="E6" s="40" t="s">
        <v>18</v>
      </c>
      <c r="F6" s="40" t="s">
        <v>63</v>
      </c>
      <c r="G6" s="40" t="s">
        <v>54</v>
      </c>
      <c r="H6" s="40" t="s">
        <v>54</v>
      </c>
      <c r="I6" s="40" t="s">
        <v>54</v>
      </c>
      <c r="J6" s="9" t="s">
        <v>77</v>
      </c>
      <c r="K6" s="9" t="s">
        <v>77</v>
      </c>
      <c r="L6" s="40" t="s">
        <v>19</v>
      </c>
      <c r="M6" s="40" t="s">
        <v>19</v>
      </c>
      <c r="N6" s="40" t="s">
        <v>19</v>
      </c>
      <c r="O6" s="40"/>
      <c r="P6" s="40" t="s">
        <v>18</v>
      </c>
      <c r="Q6" s="40" t="s">
        <v>19</v>
      </c>
      <c r="R6" s="40" t="s">
        <v>63</v>
      </c>
      <c r="S6" s="40" t="s">
        <v>19</v>
      </c>
      <c r="T6" s="40" t="s">
        <v>54</v>
      </c>
      <c r="U6" s="40" t="s">
        <v>19</v>
      </c>
      <c r="V6" s="40" t="s">
        <v>54</v>
      </c>
      <c r="W6" s="40" t="s">
        <v>19</v>
      </c>
      <c r="X6" s="40" t="s">
        <v>54</v>
      </c>
      <c r="Y6" s="40" t="s">
        <v>19</v>
      </c>
      <c r="Z6" s="40" t="s">
        <v>54</v>
      </c>
      <c r="AA6" s="40" t="s">
        <v>19</v>
      </c>
      <c r="AB6" s="40" t="s">
        <v>29</v>
      </c>
      <c r="AC6" s="40" t="s">
        <v>19</v>
      </c>
      <c r="AD6" s="40" t="s">
        <v>29</v>
      </c>
      <c r="AE6" s="40" t="s">
        <v>19</v>
      </c>
      <c r="AF6" s="40" t="s">
        <v>19</v>
      </c>
      <c r="AG6" s="40" t="s">
        <v>19</v>
      </c>
      <c r="AH6" s="40" t="s">
        <v>19</v>
      </c>
      <c r="AI6" s="40" t="s">
        <v>10</v>
      </c>
      <c r="AJ6" s="40" t="s">
        <v>84</v>
      </c>
    </row>
    <row r="7" spans="1:37" ht="27.5" thickBot="1">
      <c r="A7" s="348"/>
      <c r="B7" s="141" t="str">
        <f>IF('Sch2a-Imp Price by ECM'!A8="","",'Sch2a-Imp Price by ECM'!A8)</f>
        <v>Project Development Price (PDP)-Technical Energy Audit and Project Proposal</v>
      </c>
      <c r="C7" s="357"/>
      <c r="D7" s="348" t="s">
        <v>205</v>
      </c>
      <c r="E7" s="10"/>
      <c r="F7" s="10"/>
      <c r="G7" s="10"/>
      <c r="H7" s="10"/>
      <c r="I7" s="10"/>
      <c r="J7" s="10"/>
      <c r="K7" s="10"/>
      <c r="L7" s="10"/>
      <c r="M7" s="10"/>
      <c r="N7" s="10"/>
      <c r="O7" s="10"/>
      <c r="P7" s="10"/>
      <c r="Q7" s="10"/>
      <c r="R7" s="10"/>
      <c r="S7" s="10"/>
      <c r="T7" s="10"/>
      <c r="U7" s="10"/>
      <c r="V7" s="10"/>
      <c r="W7" s="10"/>
      <c r="X7" s="10"/>
      <c r="Y7" s="10"/>
      <c r="Z7" s="11"/>
      <c r="AA7" s="11"/>
      <c r="AB7" s="10"/>
      <c r="AC7" s="10"/>
      <c r="AD7" s="10"/>
      <c r="AE7" s="10"/>
      <c r="AF7" s="10"/>
      <c r="AG7" s="10"/>
      <c r="AH7" s="12"/>
      <c r="AI7" s="103">
        <f>'Sch2a-Imp Price by ECM'!L8</f>
        <v>0</v>
      </c>
      <c r="AJ7" s="12"/>
    </row>
    <row r="8" spans="1:37" ht="14.25" customHeight="1" thickBot="1">
      <c r="A8" s="72" t="str">
        <f>IF('Sch2a-Imp Price by ECM'!B9="","",'Sch2a-Imp Price by ECM'!B9)</f>
        <v/>
      </c>
      <c r="B8" s="139" t="str">
        <f>IF('Sch2a-Imp Price by ECM'!D9="","",'Sch2a-Imp Price by ECM'!D9)</f>
        <v/>
      </c>
      <c r="C8" s="358" t="str">
        <f>IF('Sch2a-Imp Price by ECM'!G9="","",'Sch2a-Imp Price by ECM'!G9)</f>
        <v/>
      </c>
      <c r="D8" s="471"/>
      <c r="E8" s="449"/>
      <c r="F8" s="449"/>
      <c r="G8" s="449"/>
      <c r="H8" s="449"/>
      <c r="I8" s="242"/>
      <c r="J8" s="449"/>
      <c r="K8" s="449"/>
      <c r="L8" s="241"/>
      <c r="M8" s="241"/>
      <c r="N8" s="241"/>
      <c r="O8" s="242"/>
      <c r="P8" s="449"/>
      <c r="Q8" s="448"/>
      <c r="R8" s="383"/>
      <c r="S8" s="241"/>
      <c r="T8" s="383"/>
      <c r="U8" s="448"/>
      <c r="V8" s="383"/>
      <c r="W8" s="448"/>
      <c r="X8" s="383"/>
      <c r="Y8" s="448"/>
      <c r="Z8" s="349">
        <f>(P8*3412/10^6)+T8+V8+X8</f>
        <v>0</v>
      </c>
      <c r="AA8" s="13">
        <f>Q8+S8+W8+Y8+U8</f>
        <v>0</v>
      </c>
      <c r="AB8" s="245"/>
      <c r="AC8" s="243"/>
      <c r="AD8" s="383"/>
      <c r="AE8" s="243"/>
      <c r="AF8" s="244"/>
      <c r="AG8" s="244"/>
      <c r="AH8" s="108">
        <f>AA8+AC8+AF8+AE8+AG8</f>
        <v>0</v>
      </c>
      <c r="AI8" s="108" t="str">
        <f>IF('Sch2a-Imp Price by ECM'!C9="Yes", 0, 'Sch2a-Imp Price by ECM'!L9)</f>
        <v/>
      </c>
      <c r="AJ8" s="124" t="str">
        <f>IF(AI8="","",AI8/AH8)</f>
        <v/>
      </c>
      <c r="AK8" s="1" t="str">
        <f>IF('Sch2a-Imp Price by ECM'!M9="","",'Sch2a-Imp Price by ECM'!M9)</f>
        <v/>
      </c>
    </row>
    <row r="9" spans="1:37" ht="16.5" thickBot="1">
      <c r="A9" s="72" t="str">
        <f>IF('Sch2a-Imp Price by ECM'!B10="","",'Sch2a-Imp Price by ECM'!B10)</f>
        <v/>
      </c>
      <c r="B9" s="139" t="str">
        <f>IF('Sch2a-Imp Price by ECM'!D10="","",'Sch2a-Imp Price by ECM'!D10)</f>
        <v/>
      </c>
      <c r="C9" s="358" t="str">
        <f>IF('Sch2a-Imp Price by ECM'!G10="","",'Sch2a-Imp Price by ECM'!G10)</f>
        <v/>
      </c>
      <c r="D9" s="471"/>
      <c r="E9" s="449"/>
      <c r="F9" s="449"/>
      <c r="G9" s="449"/>
      <c r="H9" s="449"/>
      <c r="I9" s="242"/>
      <c r="J9" s="449"/>
      <c r="K9" s="449"/>
      <c r="L9" s="241"/>
      <c r="M9" s="241"/>
      <c r="N9" s="241"/>
      <c r="O9" s="242"/>
      <c r="P9" s="449"/>
      <c r="Q9" s="448"/>
      <c r="R9" s="383"/>
      <c r="S9" s="241"/>
      <c r="T9" s="383"/>
      <c r="U9" s="448"/>
      <c r="V9" s="383"/>
      <c r="W9" s="448"/>
      <c r="X9" s="383"/>
      <c r="Y9" s="448"/>
      <c r="Z9" s="349">
        <f t="shared" ref="Z9:Z72" si="0">(P9*3412/10^6)+T9+V9+X9</f>
        <v>0</v>
      </c>
      <c r="AA9" s="13">
        <f t="shared" ref="AA9:AA72" si="1">Q9+S9+W9+Y9+U9</f>
        <v>0</v>
      </c>
      <c r="AB9" s="245"/>
      <c r="AC9" s="244"/>
      <c r="AD9" s="383"/>
      <c r="AE9" s="448"/>
      <c r="AF9" s="244"/>
      <c r="AG9" s="244"/>
      <c r="AH9" s="108">
        <f t="shared" ref="AH9:AH72" si="2">AA9+AC9+AF9+AE9+AG9</f>
        <v>0</v>
      </c>
      <c r="AI9" s="108" t="str">
        <f>IF('Sch2a-Imp Price by ECM'!C10="Yes", 0, 'Sch2a-Imp Price by ECM'!L10)</f>
        <v/>
      </c>
      <c r="AJ9" s="124" t="str">
        <f t="shared" ref="AJ9:AJ72" si="3">IF(AI9="","",AI9/AH9)</f>
        <v/>
      </c>
      <c r="AK9" s="1" t="str">
        <f>IF('Sch2a-Imp Price by ECM'!M10="","",'Sch2a-Imp Price by ECM'!M10)</f>
        <v/>
      </c>
    </row>
    <row r="10" spans="1:37" ht="16.5" thickBot="1">
      <c r="A10" s="72" t="str">
        <f>IF('Sch2a-Imp Price by ECM'!B11="","",'Sch2a-Imp Price by ECM'!B11)</f>
        <v/>
      </c>
      <c r="B10" s="139" t="str">
        <f>IF('Sch2a-Imp Price by ECM'!D11="","",'Sch2a-Imp Price by ECM'!D11)</f>
        <v/>
      </c>
      <c r="C10" s="358" t="str">
        <f>IF('Sch2a-Imp Price by ECM'!G11="","",'Sch2a-Imp Price by ECM'!G11)</f>
        <v/>
      </c>
      <c r="D10" s="471"/>
      <c r="E10" s="449"/>
      <c r="F10" s="449"/>
      <c r="G10" s="449"/>
      <c r="H10" s="449"/>
      <c r="I10" s="242"/>
      <c r="J10" s="449"/>
      <c r="K10" s="449"/>
      <c r="L10" s="241"/>
      <c r="M10" s="241"/>
      <c r="N10" s="241"/>
      <c r="O10" s="242"/>
      <c r="P10" s="449"/>
      <c r="Q10" s="448"/>
      <c r="R10" s="383"/>
      <c r="S10" s="241"/>
      <c r="T10" s="383"/>
      <c r="U10" s="448"/>
      <c r="V10" s="383"/>
      <c r="W10" s="448"/>
      <c r="X10" s="383"/>
      <c r="Y10" s="448"/>
      <c r="Z10" s="349">
        <f t="shared" si="0"/>
        <v>0</v>
      </c>
      <c r="AA10" s="13">
        <f t="shared" si="1"/>
        <v>0</v>
      </c>
      <c r="AB10" s="245"/>
      <c r="AC10" s="244"/>
      <c r="AD10" s="383"/>
      <c r="AE10" s="448"/>
      <c r="AF10" s="244"/>
      <c r="AG10" s="244"/>
      <c r="AH10" s="108">
        <f t="shared" si="2"/>
        <v>0</v>
      </c>
      <c r="AI10" s="108" t="str">
        <f>IF('Sch2a-Imp Price by ECM'!C11="Yes", 0, 'Sch2a-Imp Price by ECM'!L11)</f>
        <v/>
      </c>
      <c r="AJ10" s="124" t="str">
        <f t="shared" si="3"/>
        <v/>
      </c>
    </row>
    <row r="11" spans="1:37" ht="16.5" thickBot="1">
      <c r="A11" s="72" t="str">
        <f>IF('Sch2a-Imp Price by ECM'!B12="","",'Sch2a-Imp Price by ECM'!B12)</f>
        <v/>
      </c>
      <c r="B11" s="139" t="str">
        <f>IF('Sch2a-Imp Price by ECM'!D12="","",'Sch2a-Imp Price by ECM'!D12)</f>
        <v/>
      </c>
      <c r="C11" s="358" t="str">
        <f>IF('Sch2a-Imp Price by ECM'!G12="","",'Sch2a-Imp Price by ECM'!G12)</f>
        <v/>
      </c>
      <c r="D11" s="471"/>
      <c r="E11" s="449"/>
      <c r="F11" s="449"/>
      <c r="G11" s="449"/>
      <c r="H11" s="449"/>
      <c r="I11" s="242"/>
      <c r="J11" s="449"/>
      <c r="K11" s="449"/>
      <c r="L11" s="241"/>
      <c r="M11" s="241"/>
      <c r="N11" s="241"/>
      <c r="O11" s="242"/>
      <c r="P11" s="449"/>
      <c r="Q11" s="448"/>
      <c r="R11" s="383"/>
      <c r="S11" s="241"/>
      <c r="T11" s="383"/>
      <c r="U11" s="448"/>
      <c r="V11" s="383"/>
      <c r="W11" s="448"/>
      <c r="X11" s="383"/>
      <c r="Y11" s="448"/>
      <c r="Z11" s="349">
        <f t="shared" si="0"/>
        <v>0</v>
      </c>
      <c r="AA11" s="13">
        <f t="shared" si="1"/>
        <v>0</v>
      </c>
      <c r="AB11" s="245"/>
      <c r="AC11" s="244"/>
      <c r="AD11" s="383"/>
      <c r="AE11" s="448"/>
      <c r="AF11" s="244"/>
      <c r="AG11" s="244"/>
      <c r="AH11" s="108">
        <f t="shared" si="2"/>
        <v>0</v>
      </c>
      <c r="AI11" s="108" t="str">
        <f>IF('Sch2a-Imp Price by ECM'!C12="Yes", 0, 'Sch2a-Imp Price by ECM'!L12)</f>
        <v/>
      </c>
      <c r="AJ11" s="124" t="str">
        <f t="shared" si="3"/>
        <v/>
      </c>
      <c r="AK11" s="1" t="str">
        <f>IF('Sch2a-Imp Price by ECM'!M12="","",'Sch2a-Imp Price by ECM'!M12)</f>
        <v/>
      </c>
    </row>
    <row r="12" spans="1:37" ht="16.5" thickBot="1">
      <c r="A12" s="72" t="str">
        <f>IF('Sch2a-Imp Price by ECM'!B13="","",'Sch2a-Imp Price by ECM'!B13)</f>
        <v/>
      </c>
      <c r="B12" s="139" t="str">
        <f>IF('Sch2a-Imp Price by ECM'!D13="","",'Sch2a-Imp Price by ECM'!D13)</f>
        <v/>
      </c>
      <c r="C12" s="358" t="str">
        <f>IF('Sch2a-Imp Price by ECM'!G13="","",'Sch2a-Imp Price by ECM'!G13)</f>
        <v/>
      </c>
      <c r="D12" s="471"/>
      <c r="E12" s="449"/>
      <c r="F12" s="449"/>
      <c r="G12" s="449"/>
      <c r="H12" s="449"/>
      <c r="I12" s="242"/>
      <c r="J12" s="449"/>
      <c r="K12" s="449"/>
      <c r="L12" s="241"/>
      <c r="M12" s="241"/>
      <c r="N12" s="241"/>
      <c r="O12" s="242"/>
      <c r="P12" s="449"/>
      <c r="Q12" s="448"/>
      <c r="R12" s="383"/>
      <c r="S12" s="241"/>
      <c r="T12" s="383"/>
      <c r="U12" s="448"/>
      <c r="V12" s="383"/>
      <c r="W12" s="448"/>
      <c r="X12" s="383"/>
      <c r="Y12" s="448"/>
      <c r="Z12" s="349">
        <f t="shared" si="0"/>
        <v>0</v>
      </c>
      <c r="AA12" s="13">
        <f t="shared" si="1"/>
        <v>0</v>
      </c>
      <c r="AB12" s="245"/>
      <c r="AC12" s="244"/>
      <c r="AD12" s="383"/>
      <c r="AE12" s="448"/>
      <c r="AF12" s="244"/>
      <c r="AG12" s="370"/>
      <c r="AH12" s="108">
        <f t="shared" si="2"/>
        <v>0</v>
      </c>
      <c r="AI12" s="108" t="str">
        <f>IF('Sch2a-Imp Price by ECM'!C13="Yes", 0, 'Sch2a-Imp Price by ECM'!L13)</f>
        <v/>
      </c>
      <c r="AJ12" s="124" t="str">
        <f t="shared" si="3"/>
        <v/>
      </c>
      <c r="AK12" s="146" t="str">
        <f>IF('Sch2a-Imp Price by ECM'!M13="","",'Sch2a-Imp Price by ECM'!M13)</f>
        <v/>
      </c>
    </row>
    <row r="13" spans="1:37" ht="18" customHeight="1" thickBot="1">
      <c r="A13" s="72" t="str">
        <f>IF('Sch2a-Imp Price by ECM'!B14="","",'Sch2a-Imp Price by ECM'!B14)</f>
        <v/>
      </c>
      <c r="B13" s="139" t="str">
        <f>IF('Sch2a-Imp Price by ECM'!D14="","",'Sch2a-Imp Price by ECM'!D14)</f>
        <v/>
      </c>
      <c r="C13" s="358" t="str">
        <f>IF('Sch2a-Imp Price by ECM'!G14="","",'Sch2a-Imp Price by ECM'!G14)</f>
        <v/>
      </c>
      <c r="D13" s="471"/>
      <c r="E13" s="449"/>
      <c r="F13" s="449"/>
      <c r="G13" s="449"/>
      <c r="H13" s="449"/>
      <c r="I13" s="242"/>
      <c r="J13" s="449"/>
      <c r="K13" s="449"/>
      <c r="L13" s="241"/>
      <c r="M13" s="241"/>
      <c r="N13" s="241"/>
      <c r="O13" s="242"/>
      <c r="P13" s="449"/>
      <c r="Q13" s="448"/>
      <c r="R13" s="383"/>
      <c r="S13" s="241"/>
      <c r="T13" s="383"/>
      <c r="U13" s="448"/>
      <c r="V13" s="383"/>
      <c r="W13" s="448"/>
      <c r="X13" s="383"/>
      <c r="Y13" s="448"/>
      <c r="Z13" s="349">
        <f t="shared" si="0"/>
        <v>0</v>
      </c>
      <c r="AA13" s="13">
        <f t="shared" si="1"/>
        <v>0</v>
      </c>
      <c r="AB13" s="245"/>
      <c r="AC13" s="244"/>
      <c r="AD13" s="383"/>
      <c r="AE13" s="448"/>
      <c r="AF13" s="244"/>
      <c r="AG13" s="244"/>
      <c r="AH13" s="108">
        <f t="shared" si="2"/>
        <v>0</v>
      </c>
      <c r="AI13" s="108" t="str">
        <f>IF('Sch2a-Imp Price by ECM'!C14="Yes", 0, 'Sch2a-Imp Price by ECM'!L14)</f>
        <v/>
      </c>
      <c r="AJ13" s="124" t="str">
        <f t="shared" si="3"/>
        <v/>
      </c>
      <c r="AK13" s="146" t="str">
        <f>IF('Sch2a-Imp Price by ECM'!M14="","",'Sch2a-Imp Price by ECM'!M14)</f>
        <v/>
      </c>
    </row>
    <row r="14" spans="1:37" ht="18" customHeight="1" thickBot="1">
      <c r="A14" s="72" t="str">
        <f>IF('Sch2a-Imp Price by ECM'!B15="","",'Sch2a-Imp Price by ECM'!B15)</f>
        <v/>
      </c>
      <c r="B14" s="139" t="str">
        <f>IF('Sch2a-Imp Price by ECM'!D15="","",'Sch2a-Imp Price by ECM'!D15)</f>
        <v/>
      </c>
      <c r="C14" s="358" t="str">
        <f>IF('Sch2a-Imp Price by ECM'!G15="","",'Sch2a-Imp Price by ECM'!G15)</f>
        <v/>
      </c>
      <c r="D14" s="471"/>
      <c r="E14" s="449"/>
      <c r="F14" s="449"/>
      <c r="G14" s="449"/>
      <c r="H14" s="449"/>
      <c r="I14" s="242"/>
      <c r="J14" s="449"/>
      <c r="K14" s="449"/>
      <c r="L14" s="241"/>
      <c r="M14" s="241"/>
      <c r="N14" s="241"/>
      <c r="O14" s="242"/>
      <c r="P14" s="449"/>
      <c r="Q14" s="448"/>
      <c r="R14" s="383"/>
      <c r="S14" s="241"/>
      <c r="T14" s="383"/>
      <c r="U14" s="448"/>
      <c r="V14" s="383"/>
      <c r="W14" s="448"/>
      <c r="X14" s="383"/>
      <c r="Y14" s="448"/>
      <c r="Z14" s="349">
        <f t="shared" si="0"/>
        <v>0</v>
      </c>
      <c r="AA14" s="13">
        <f t="shared" si="1"/>
        <v>0</v>
      </c>
      <c r="AB14" s="245"/>
      <c r="AC14" s="244"/>
      <c r="AD14" s="383"/>
      <c r="AE14" s="448"/>
      <c r="AF14" s="244"/>
      <c r="AG14" s="244"/>
      <c r="AH14" s="108">
        <f t="shared" si="2"/>
        <v>0</v>
      </c>
      <c r="AI14" s="108" t="str">
        <f>IF('Sch2a-Imp Price by ECM'!C15="Yes", 0, 'Sch2a-Imp Price by ECM'!L15)</f>
        <v/>
      </c>
      <c r="AJ14" s="124" t="str">
        <f t="shared" si="3"/>
        <v/>
      </c>
      <c r="AK14" s="146" t="str">
        <f>IF('Sch2a-Imp Price by ECM'!M15="","",'Sch2a-Imp Price by ECM'!M15)</f>
        <v/>
      </c>
    </row>
    <row r="15" spans="1:37" ht="16.5" thickBot="1">
      <c r="A15" s="72" t="str">
        <f>IF('Sch2a-Imp Price by ECM'!B16="","",'Sch2a-Imp Price by ECM'!B16)</f>
        <v/>
      </c>
      <c r="B15" s="139" t="str">
        <f>IF('Sch2a-Imp Price by ECM'!D16="","",'Sch2a-Imp Price by ECM'!D16)</f>
        <v/>
      </c>
      <c r="C15" s="358" t="str">
        <f>IF('Sch2a-Imp Price by ECM'!G16="","",'Sch2a-Imp Price by ECM'!G16)</f>
        <v/>
      </c>
      <c r="D15" s="471"/>
      <c r="E15" s="449"/>
      <c r="F15" s="350"/>
      <c r="G15" s="350"/>
      <c r="H15" s="350"/>
      <c r="I15" s="242"/>
      <c r="J15" s="350"/>
      <c r="K15" s="350"/>
      <c r="L15" s="241"/>
      <c r="M15" s="241"/>
      <c r="N15" s="241"/>
      <c r="O15" s="242"/>
      <c r="P15" s="350"/>
      <c r="Q15" s="241"/>
      <c r="R15" s="351"/>
      <c r="S15" s="241"/>
      <c r="T15" s="383"/>
      <c r="U15" s="352"/>
      <c r="V15" s="351"/>
      <c r="W15" s="352"/>
      <c r="X15" s="383"/>
      <c r="Y15" s="352"/>
      <c r="Z15" s="349">
        <f t="shared" si="0"/>
        <v>0</v>
      </c>
      <c r="AA15" s="13">
        <f t="shared" si="1"/>
        <v>0</v>
      </c>
      <c r="AB15" s="351"/>
      <c r="AC15" s="352"/>
      <c r="AD15" s="351"/>
      <c r="AE15" s="352"/>
      <c r="AF15" s="352"/>
      <c r="AG15" s="352"/>
      <c r="AH15" s="108">
        <f t="shared" si="2"/>
        <v>0</v>
      </c>
      <c r="AI15" s="108" t="str">
        <f>IF('Sch2a-Imp Price by ECM'!C16="Yes", 0, 'Sch2a-Imp Price by ECM'!L16)</f>
        <v/>
      </c>
      <c r="AJ15" s="124" t="str">
        <f t="shared" si="3"/>
        <v/>
      </c>
      <c r="AK15" s="146" t="str">
        <f>IF('Sch2a-Imp Price by ECM'!M16="","",'Sch2a-Imp Price by ECM'!M16)</f>
        <v/>
      </c>
    </row>
    <row r="16" spans="1:37" ht="16.5" thickBot="1">
      <c r="A16" s="72" t="str">
        <f>IF('Sch2a-Imp Price by ECM'!B17="","",'Sch2a-Imp Price by ECM'!B17)</f>
        <v/>
      </c>
      <c r="B16" s="139" t="str">
        <f>IF('Sch2a-Imp Price by ECM'!D17="","",'Sch2a-Imp Price by ECM'!D17)</f>
        <v/>
      </c>
      <c r="C16" s="358" t="str">
        <f>IF('Sch2a-Imp Price by ECM'!G17="","",'Sch2a-Imp Price by ECM'!G17)</f>
        <v/>
      </c>
      <c r="D16" s="471"/>
      <c r="E16" s="449"/>
      <c r="F16" s="350"/>
      <c r="G16" s="350"/>
      <c r="H16" s="350"/>
      <c r="I16" s="242"/>
      <c r="J16" s="350"/>
      <c r="K16" s="350"/>
      <c r="L16" s="241"/>
      <c r="M16" s="241"/>
      <c r="N16" s="241"/>
      <c r="O16" s="235"/>
      <c r="P16" s="350"/>
      <c r="Q16" s="241"/>
      <c r="R16" s="351"/>
      <c r="S16" s="241"/>
      <c r="T16" s="383"/>
      <c r="U16" s="352"/>
      <c r="V16" s="351"/>
      <c r="W16" s="352"/>
      <c r="X16" s="383"/>
      <c r="Y16" s="352"/>
      <c r="Z16" s="349">
        <f t="shared" si="0"/>
        <v>0</v>
      </c>
      <c r="AA16" s="13">
        <f t="shared" si="1"/>
        <v>0</v>
      </c>
      <c r="AB16" s="351"/>
      <c r="AC16" s="352"/>
      <c r="AD16" s="351"/>
      <c r="AE16" s="352"/>
      <c r="AF16" s="352"/>
      <c r="AG16" s="352"/>
      <c r="AH16" s="108">
        <f t="shared" si="2"/>
        <v>0</v>
      </c>
      <c r="AI16" s="108" t="str">
        <f>IF('Sch2a-Imp Price by ECM'!C17="Yes", 0, 'Sch2a-Imp Price by ECM'!L17)</f>
        <v/>
      </c>
      <c r="AJ16" s="124" t="str">
        <f t="shared" si="3"/>
        <v/>
      </c>
      <c r="AK16" s="146" t="str">
        <f>IF('Sch2a-Imp Price by ECM'!M17="","",'Sch2a-Imp Price by ECM'!M17)</f>
        <v/>
      </c>
    </row>
    <row r="17" spans="1:37" ht="16.5" thickBot="1">
      <c r="A17" s="72" t="str">
        <f>IF('Sch2a-Imp Price by ECM'!B18="","",'Sch2a-Imp Price by ECM'!B18)</f>
        <v/>
      </c>
      <c r="B17" s="139" t="str">
        <f>IF('Sch2a-Imp Price by ECM'!D18="","",'Sch2a-Imp Price by ECM'!D18)</f>
        <v/>
      </c>
      <c r="C17" s="358" t="str">
        <f>IF('Sch2a-Imp Price by ECM'!G18="","",'Sch2a-Imp Price by ECM'!G18)</f>
        <v/>
      </c>
      <c r="D17" s="471"/>
      <c r="E17" s="449"/>
      <c r="F17" s="350"/>
      <c r="G17" s="350"/>
      <c r="H17" s="350"/>
      <c r="I17" s="242"/>
      <c r="J17" s="350"/>
      <c r="K17" s="350"/>
      <c r="L17" s="241"/>
      <c r="M17" s="241"/>
      <c r="N17" s="241"/>
      <c r="O17" s="235"/>
      <c r="P17" s="350"/>
      <c r="Q17" s="241"/>
      <c r="R17" s="351"/>
      <c r="S17" s="241"/>
      <c r="T17" s="383"/>
      <c r="U17" s="352"/>
      <c r="V17" s="351"/>
      <c r="W17" s="352"/>
      <c r="X17" s="383"/>
      <c r="Y17" s="352"/>
      <c r="Z17" s="349">
        <f t="shared" si="0"/>
        <v>0</v>
      </c>
      <c r="AA17" s="13">
        <f t="shared" si="1"/>
        <v>0</v>
      </c>
      <c r="AB17" s="351"/>
      <c r="AC17" s="352"/>
      <c r="AD17" s="351"/>
      <c r="AE17" s="352"/>
      <c r="AF17" s="352"/>
      <c r="AG17" s="352"/>
      <c r="AH17" s="108">
        <f t="shared" si="2"/>
        <v>0</v>
      </c>
      <c r="AI17" s="108" t="str">
        <f>IF('Sch2a-Imp Price by ECM'!C18="Yes", 0, 'Sch2a-Imp Price by ECM'!L18)</f>
        <v/>
      </c>
      <c r="AJ17" s="124" t="str">
        <f t="shared" si="3"/>
        <v/>
      </c>
      <c r="AK17" s="146" t="str">
        <f>IF('Sch2a-Imp Price by ECM'!M18="","",'Sch2a-Imp Price by ECM'!M18)</f>
        <v/>
      </c>
    </row>
    <row r="18" spans="1:37" ht="16.5" thickBot="1">
      <c r="A18" s="72" t="str">
        <f>IF('Sch2a-Imp Price by ECM'!B19="","",'Sch2a-Imp Price by ECM'!B19)</f>
        <v/>
      </c>
      <c r="B18" s="139" t="str">
        <f>IF('Sch2a-Imp Price by ECM'!D19="","",'Sch2a-Imp Price by ECM'!D19)</f>
        <v/>
      </c>
      <c r="C18" s="358" t="str">
        <f>IF('Sch2a-Imp Price by ECM'!G19="","",'Sch2a-Imp Price by ECM'!G19)</f>
        <v/>
      </c>
      <c r="D18" s="471"/>
      <c r="E18" s="449"/>
      <c r="F18" s="350"/>
      <c r="G18" s="350"/>
      <c r="H18" s="350"/>
      <c r="I18" s="242"/>
      <c r="J18" s="350"/>
      <c r="K18" s="350"/>
      <c r="L18" s="241"/>
      <c r="M18" s="241"/>
      <c r="N18" s="241"/>
      <c r="O18" s="235"/>
      <c r="P18" s="350"/>
      <c r="Q18" s="241"/>
      <c r="R18" s="351"/>
      <c r="S18" s="241"/>
      <c r="T18" s="351"/>
      <c r="U18" s="352"/>
      <c r="V18" s="351"/>
      <c r="W18" s="352"/>
      <c r="X18" s="383"/>
      <c r="Y18" s="352"/>
      <c r="Z18" s="349">
        <f t="shared" si="0"/>
        <v>0</v>
      </c>
      <c r="AA18" s="13">
        <f t="shared" si="1"/>
        <v>0</v>
      </c>
      <c r="AB18" s="351"/>
      <c r="AC18" s="352"/>
      <c r="AD18" s="351"/>
      <c r="AE18" s="352"/>
      <c r="AF18" s="352"/>
      <c r="AG18" s="352"/>
      <c r="AH18" s="108">
        <f t="shared" si="2"/>
        <v>0</v>
      </c>
      <c r="AI18" s="108" t="str">
        <f>IF('Sch2a-Imp Price by ECM'!C19="Yes", 0, 'Sch2a-Imp Price by ECM'!L19)</f>
        <v/>
      </c>
      <c r="AJ18" s="124" t="str">
        <f t="shared" si="3"/>
        <v/>
      </c>
      <c r="AK18" s="146" t="str">
        <f>IF('Sch2a-Imp Price by ECM'!M19="","",'Sch2a-Imp Price by ECM'!M19)</f>
        <v/>
      </c>
    </row>
    <row r="19" spans="1:37" ht="16.5" thickBot="1">
      <c r="A19" s="72" t="str">
        <f>IF('Sch2a-Imp Price by ECM'!B20="","",'Sch2a-Imp Price by ECM'!B20)</f>
        <v/>
      </c>
      <c r="B19" s="139" t="str">
        <f>IF('Sch2a-Imp Price by ECM'!D20="","",'Sch2a-Imp Price by ECM'!D20)</f>
        <v/>
      </c>
      <c r="C19" s="358" t="str">
        <f>IF('Sch2a-Imp Price by ECM'!G20="","",'Sch2a-Imp Price by ECM'!G20)</f>
        <v/>
      </c>
      <c r="D19" s="471"/>
      <c r="E19" s="350"/>
      <c r="F19" s="350"/>
      <c r="G19" s="350"/>
      <c r="H19" s="350"/>
      <c r="I19" s="242"/>
      <c r="J19" s="350"/>
      <c r="K19" s="350"/>
      <c r="L19" s="241"/>
      <c r="M19" s="241"/>
      <c r="N19" s="241"/>
      <c r="O19" s="235"/>
      <c r="P19" s="350"/>
      <c r="Q19" s="242"/>
      <c r="R19" s="351"/>
      <c r="S19" s="241"/>
      <c r="T19" s="351"/>
      <c r="U19" s="352"/>
      <c r="V19" s="351"/>
      <c r="W19" s="352"/>
      <c r="X19" s="383"/>
      <c r="Y19" s="352"/>
      <c r="Z19" s="349">
        <f t="shared" si="0"/>
        <v>0</v>
      </c>
      <c r="AA19" s="13">
        <f t="shared" si="1"/>
        <v>0</v>
      </c>
      <c r="AB19" s="351"/>
      <c r="AC19" s="352"/>
      <c r="AD19" s="351"/>
      <c r="AE19" s="352"/>
      <c r="AF19" s="352"/>
      <c r="AG19" s="352"/>
      <c r="AH19" s="108">
        <f t="shared" si="2"/>
        <v>0</v>
      </c>
      <c r="AI19" s="108" t="str">
        <f>IF('Sch2a-Imp Price by ECM'!C20="Yes", 0, 'Sch2a-Imp Price by ECM'!L20)</f>
        <v/>
      </c>
      <c r="AJ19" s="124" t="str">
        <f t="shared" si="3"/>
        <v/>
      </c>
      <c r="AK19" s="146" t="str">
        <f>IF('Sch2a-Imp Price by ECM'!M20="","",'Sch2a-Imp Price by ECM'!M20)</f>
        <v/>
      </c>
    </row>
    <row r="20" spans="1:37" ht="16.5" thickBot="1">
      <c r="A20" s="72" t="str">
        <f>IF('Sch2a-Imp Price by ECM'!B21="","",'Sch2a-Imp Price by ECM'!B21)</f>
        <v/>
      </c>
      <c r="B20" s="139" t="str">
        <f>IF('Sch2a-Imp Price by ECM'!D21="","",'Sch2a-Imp Price by ECM'!D21)</f>
        <v/>
      </c>
      <c r="C20" s="358" t="str">
        <f>IF('Sch2a-Imp Price by ECM'!G21="","",'Sch2a-Imp Price by ECM'!G21)</f>
        <v/>
      </c>
      <c r="D20" s="471"/>
      <c r="E20" s="350"/>
      <c r="F20" s="350"/>
      <c r="G20" s="350"/>
      <c r="H20" s="350"/>
      <c r="I20" s="242"/>
      <c r="J20" s="350"/>
      <c r="K20" s="350"/>
      <c r="L20" s="241"/>
      <c r="M20" s="241"/>
      <c r="N20" s="241"/>
      <c r="O20" s="235"/>
      <c r="P20" s="350"/>
      <c r="Q20" s="241"/>
      <c r="R20" s="351"/>
      <c r="S20" s="241"/>
      <c r="T20" s="351"/>
      <c r="U20" s="352"/>
      <c r="V20" s="351"/>
      <c r="W20" s="352"/>
      <c r="X20" s="383"/>
      <c r="Y20" s="352"/>
      <c r="Z20" s="349">
        <f t="shared" si="0"/>
        <v>0</v>
      </c>
      <c r="AA20" s="13">
        <f t="shared" si="1"/>
        <v>0</v>
      </c>
      <c r="AB20" s="351"/>
      <c r="AC20" s="352"/>
      <c r="AD20" s="351"/>
      <c r="AE20" s="352"/>
      <c r="AF20" s="352"/>
      <c r="AG20" s="352"/>
      <c r="AH20" s="108">
        <f t="shared" si="2"/>
        <v>0</v>
      </c>
      <c r="AI20" s="108" t="str">
        <f>IF('Sch2a-Imp Price by ECM'!C21="Yes", 0, 'Sch2a-Imp Price by ECM'!L21)</f>
        <v/>
      </c>
      <c r="AJ20" s="124" t="str">
        <f t="shared" si="3"/>
        <v/>
      </c>
      <c r="AK20" s="1" t="str">
        <f>IF('Sch2a-Imp Price by ECM'!M21="","",'Sch2a-Imp Price by ECM'!M21)</f>
        <v/>
      </c>
    </row>
    <row r="21" spans="1:37" ht="16.5" thickBot="1">
      <c r="A21" s="72" t="str">
        <f>IF('Sch2a-Imp Price by ECM'!B22="","",'Sch2a-Imp Price by ECM'!B22)</f>
        <v/>
      </c>
      <c r="B21" s="139" t="str">
        <f>IF('Sch2a-Imp Price by ECM'!D22="","",'Sch2a-Imp Price by ECM'!D22)</f>
        <v/>
      </c>
      <c r="C21" s="358" t="str">
        <f>IF('Sch2a-Imp Price by ECM'!G22="","",'Sch2a-Imp Price by ECM'!G22)</f>
        <v/>
      </c>
      <c r="D21" s="471"/>
      <c r="E21" s="350"/>
      <c r="F21" s="350"/>
      <c r="G21" s="350"/>
      <c r="H21" s="350"/>
      <c r="I21" s="242"/>
      <c r="J21" s="350"/>
      <c r="K21" s="350"/>
      <c r="L21" s="241"/>
      <c r="M21" s="241"/>
      <c r="N21" s="241"/>
      <c r="O21" s="235"/>
      <c r="P21" s="350"/>
      <c r="Q21" s="241"/>
      <c r="R21" s="351"/>
      <c r="S21" s="241"/>
      <c r="T21" s="351"/>
      <c r="U21" s="352"/>
      <c r="V21" s="351"/>
      <c r="W21" s="352"/>
      <c r="X21" s="383"/>
      <c r="Y21" s="352"/>
      <c r="Z21" s="349">
        <f t="shared" si="0"/>
        <v>0</v>
      </c>
      <c r="AA21" s="13">
        <f t="shared" si="1"/>
        <v>0</v>
      </c>
      <c r="AB21" s="351"/>
      <c r="AC21" s="352"/>
      <c r="AD21" s="351"/>
      <c r="AE21" s="352"/>
      <c r="AF21" s="352"/>
      <c r="AG21" s="352"/>
      <c r="AH21" s="108">
        <f t="shared" si="2"/>
        <v>0</v>
      </c>
      <c r="AI21" s="108" t="str">
        <f>IF('Sch2a-Imp Price by ECM'!C22="Yes", 0, 'Sch2a-Imp Price by ECM'!L22)</f>
        <v/>
      </c>
      <c r="AJ21" s="124" t="str">
        <f t="shared" si="3"/>
        <v/>
      </c>
      <c r="AK21" s="1" t="str">
        <f>IF('Sch2a-Imp Price by ECM'!M22="","",'Sch2a-Imp Price by ECM'!M22)</f>
        <v/>
      </c>
    </row>
    <row r="22" spans="1:37" ht="16.5" thickBot="1">
      <c r="A22" s="72" t="str">
        <f>IF('Sch2a-Imp Price by ECM'!B23="","",'Sch2a-Imp Price by ECM'!B23)</f>
        <v/>
      </c>
      <c r="B22" s="139" t="str">
        <f>IF('Sch2a-Imp Price by ECM'!D23="","",'Sch2a-Imp Price by ECM'!D23)</f>
        <v/>
      </c>
      <c r="C22" s="358" t="str">
        <f>IF('Sch2a-Imp Price by ECM'!G23="","",'Sch2a-Imp Price by ECM'!G23)</f>
        <v/>
      </c>
      <c r="D22" s="471"/>
      <c r="E22" s="350"/>
      <c r="F22" s="350"/>
      <c r="G22" s="350"/>
      <c r="H22" s="350"/>
      <c r="I22" s="242"/>
      <c r="J22" s="350"/>
      <c r="K22" s="350"/>
      <c r="L22" s="241"/>
      <c r="M22" s="241"/>
      <c r="N22" s="241"/>
      <c r="O22" s="235"/>
      <c r="P22" s="350"/>
      <c r="Q22" s="241"/>
      <c r="R22" s="351"/>
      <c r="S22" s="241"/>
      <c r="T22" s="351"/>
      <c r="U22" s="352"/>
      <c r="V22" s="351"/>
      <c r="W22" s="352"/>
      <c r="X22" s="383"/>
      <c r="Y22" s="352"/>
      <c r="Z22" s="349">
        <f t="shared" si="0"/>
        <v>0</v>
      </c>
      <c r="AA22" s="13">
        <f t="shared" si="1"/>
        <v>0</v>
      </c>
      <c r="AB22" s="351"/>
      <c r="AC22" s="352"/>
      <c r="AD22" s="351"/>
      <c r="AE22" s="352"/>
      <c r="AF22" s="352"/>
      <c r="AG22" s="352"/>
      <c r="AH22" s="108">
        <f t="shared" si="2"/>
        <v>0</v>
      </c>
      <c r="AI22" s="108" t="str">
        <f>IF('Sch2a-Imp Price by ECM'!C23="Yes", 0, 'Sch2a-Imp Price by ECM'!L23)</f>
        <v/>
      </c>
      <c r="AJ22" s="124" t="str">
        <f t="shared" si="3"/>
        <v/>
      </c>
      <c r="AK22" s="1" t="str">
        <f>IF('Sch2a-Imp Price by ECM'!M23="","",'Sch2a-Imp Price by ECM'!M23)</f>
        <v/>
      </c>
    </row>
    <row r="23" spans="1:37" ht="16.5" thickBot="1">
      <c r="A23" s="72" t="str">
        <f>IF('Sch2a-Imp Price by ECM'!B24="","",'Sch2a-Imp Price by ECM'!B24)</f>
        <v/>
      </c>
      <c r="B23" s="139" t="str">
        <f>IF('Sch2a-Imp Price by ECM'!D24="","",'Sch2a-Imp Price by ECM'!D24)</f>
        <v/>
      </c>
      <c r="C23" s="358" t="str">
        <f>IF('Sch2a-Imp Price by ECM'!G24="","",'Sch2a-Imp Price by ECM'!G24)</f>
        <v/>
      </c>
      <c r="D23" s="471"/>
      <c r="E23" s="350"/>
      <c r="F23" s="350"/>
      <c r="G23" s="350"/>
      <c r="H23" s="350"/>
      <c r="I23" s="242"/>
      <c r="J23" s="350"/>
      <c r="K23" s="350"/>
      <c r="L23" s="241"/>
      <c r="M23" s="241"/>
      <c r="N23" s="241"/>
      <c r="O23" s="235"/>
      <c r="P23" s="350"/>
      <c r="Q23" s="241"/>
      <c r="R23" s="351"/>
      <c r="S23" s="241"/>
      <c r="T23" s="351"/>
      <c r="U23" s="352"/>
      <c r="V23" s="351"/>
      <c r="W23" s="352"/>
      <c r="X23" s="383"/>
      <c r="Y23" s="352"/>
      <c r="Z23" s="349">
        <f t="shared" si="0"/>
        <v>0</v>
      </c>
      <c r="AA23" s="13">
        <f t="shared" si="1"/>
        <v>0</v>
      </c>
      <c r="AB23" s="351"/>
      <c r="AC23" s="352"/>
      <c r="AD23" s="351"/>
      <c r="AE23" s="352"/>
      <c r="AF23" s="352"/>
      <c r="AG23" s="352"/>
      <c r="AH23" s="108">
        <f t="shared" si="2"/>
        <v>0</v>
      </c>
      <c r="AI23" s="108" t="str">
        <f>IF('Sch2a-Imp Price by ECM'!C24="Yes", 0, 'Sch2a-Imp Price by ECM'!L24)</f>
        <v/>
      </c>
      <c r="AJ23" s="124" t="str">
        <f t="shared" si="3"/>
        <v/>
      </c>
      <c r="AK23" s="1" t="str">
        <f>IF('Sch2a-Imp Price by ECM'!M24="","",'Sch2a-Imp Price by ECM'!M24)</f>
        <v/>
      </c>
    </row>
    <row r="24" spans="1:37" ht="16.5" thickBot="1">
      <c r="A24" s="72" t="str">
        <f>IF('Sch2a-Imp Price by ECM'!B25="","",'Sch2a-Imp Price by ECM'!B25)</f>
        <v/>
      </c>
      <c r="B24" s="139" t="str">
        <f>IF('Sch2a-Imp Price by ECM'!D25="","",'Sch2a-Imp Price by ECM'!D25)</f>
        <v/>
      </c>
      <c r="C24" s="358" t="str">
        <f>IF('Sch2a-Imp Price by ECM'!G25="","",'Sch2a-Imp Price by ECM'!G25)</f>
        <v/>
      </c>
      <c r="D24" s="471"/>
      <c r="E24" s="350"/>
      <c r="F24" s="350"/>
      <c r="G24" s="350"/>
      <c r="H24" s="350"/>
      <c r="I24" s="242"/>
      <c r="J24" s="350"/>
      <c r="K24" s="350"/>
      <c r="L24" s="241"/>
      <c r="M24" s="241"/>
      <c r="N24" s="241"/>
      <c r="O24" s="235"/>
      <c r="P24" s="350"/>
      <c r="Q24" s="241"/>
      <c r="R24" s="351"/>
      <c r="S24" s="241"/>
      <c r="T24" s="351"/>
      <c r="U24" s="352"/>
      <c r="V24" s="351"/>
      <c r="W24" s="352"/>
      <c r="X24" s="383"/>
      <c r="Y24" s="352"/>
      <c r="Z24" s="349">
        <f t="shared" si="0"/>
        <v>0</v>
      </c>
      <c r="AA24" s="13">
        <f t="shared" si="1"/>
        <v>0</v>
      </c>
      <c r="AB24" s="351"/>
      <c r="AC24" s="352"/>
      <c r="AD24" s="351"/>
      <c r="AE24" s="352"/>
      <c r="AF24" s="352"/>
      <c r="AG24" s="352"/>
      <c r="AH24" s="108">
        <f t="shared" si="2"/>
        <v>0</v>
      </c>
      <c r="AI24" s="108" t="str">
        <f>IF('Sch2a-Imp Price by ECM'!C25="Yes", 0, 'Sch2a-Imp Price by ECM'!L25)</f>
        <v/>
      </c>
      <c r="AJ24" s="124" t="str">
        <f t="shared" si="3"/>
        <v/>
      </c>
      <c r="AK24" s="1" t="str">
        <f>IF('Sch2a-Imp Price by ECM'!M25="","",'Sch2a-Imp Price by ECM'!M25)</f>
        <v/>
      </c>
    </row>
    <row r="25" spans="1:37" ht="16.5" thickBot="1">
      <c r="A25" s="72" t="str">
        <f>IF('Sch2a-Imp Price by ECM'!B26="","",'Sch2a-Imp Price by ECM'!B26)</f>
        <v/>
      </c>
      <c r="B25" s="139" t="str">
        <f>IF('Sch2a-Imp Price by ECM'!D26="","",'Sch2a-Imp Price by ECM'!D26)</f>
        <v/>
      </c>
      <c r="C25" s="358" t="str">
        <f>IF('Sch2a-Imp Price by ECM'!G26="","",'Sch2a-Imp Price by ECM'!G26)</f>
        <v/>
      </c>
      <c r="D25" s="471"/>
      <c r="E25" s="350"/>
      <c r="F25" s="350"/>
      <c r="G25" s="350"/>
      <c r="H25" s="350"/>
      <c r="I25" s="242"/>
      <c r="J25" s="350"/>
      <c r="K25" s="350"/>
      <c r="L25" s="241"/>
      <c r="M25" s="241"/>
      <c r="N25" s="241"/>
      <c r="O25" s="235"/>
      <c r="P25" s="350"/>
      <c r="Q25" s="241"/>
      <c r="R25" s="351"/>
      <c r="S25" s="241"/>
      <c r="T25" s="351"/>
      <c r="U25" s="352"/>
      <c r="V25" s="351"/>
      <c r="W25" s="352"/>
      <c r="X25" s="383"/>
      <c r="Y25" s="352"/>
      <c r="Z25" s="349">
        <f t="shared" si="0"/>
        <v>0</v>
      </c>
      <c r="AA25" s="13">
        <f t="shared" si="1"/>
        <v>0</v>
      </c>
      <c r="AB25" s="351"/>
      <c r="AC25" s="352"/>
      <c r="AD25" s="351"/>
      <c r="AE25" s="352"/>
      <c r="AF25" s="352"/>
      <c r="AG25" s="352"/>
      <c r="AH25" s="108">
        <f t="shared" si="2"/>
        <v>0</v>
      </c>
      <c r="AI25" s="108" t="str">
        <f>IF('Sch2a-Imp Price by ECM'!C26="Yes", 0, 'Sch2a-Imp Price by ECM'!L26)</f>
        <v/>
      </c>
      <c r="AJ25" s="124" t="str">
        <f t="shared" si="3"/>
        <v/>
      </c>
      <c r="AK25" s="1" t="str">
        <f>IF('Sch2a-Imp Price by ECM'!M26="","",'Sch2a-Imp Price by ECM'!M26)</f>
        <v/>
      </c>
    </row>
    <row r="26" spans="1:37" ht="16.5" thickBot="1">
      <c r="A26" s="72" t="str">
        <f>IF('Sch2a-Imp Price by ECM'!B27="","",'Sch2a-Imp Price by ECM'!B27)</f>
        <v/>
      </c>
      <c r="B26" s="139" t="str">
        <f>IF('Sch2a-Imp Price by ECM'!D27="","",'Sch2a-Imp Price by ECM'!D27)</f>
        <v/>
      </c>
      <c r="C26" s="358" t="str">
        <f>IF('Sch2a-Imp Price by ECM'!G27="","",'Sch2a-Imp Price by ECM'!G27)</f>
        <v/>
      </c>
      <c r="D26" s="471"/>
      <c r="E26" s="350"/>
      <c r="F26" s="350"/>
      <c r="G26" s="350"/>
      <c r="H26" s="350"/>
      <c r="I26" s="242"/>
      <c r="J26" s="350"/>
      <c r="K26" s="350"/>
      <c r="L26" s="241"/>
      <c r="M26" s="241"/>
      <c r="N26" s="241"/>
      <c r="O26" s="235"/>
      <c r="P26" s="350"/>
      <c r="Q26" s="241"/>
      <c r="R26" s="351"/>
      <c r="S26" s="241"/>
      <c r="T26" s="351"/>
      <c r="U26" s="352"/>
      <c r="V26" s="351"/>
      <c r="W26" s="352"/>
      <c r="X26" s="383"/>
      <c r="Y26" s="352"/>
      <c r="Z26" s="349">
        <f t="shared" si="0"/>
        <v>0</v>
      </c>
      <c r="AA26" s="13">
        <f t="shared" si="1"/>
        <v>0</v>
      </c>
      <c r="AB26" s="351"/>
      <c r="AC26" s="352"/>
      <c r="AD26" s="351"/>
      <c r="AE26" s="352"/>
      <c r="AF26" s="352"/>
      <c r="AG26" s="352"/>
      <c r="AH26" s="108">
        <f t="shared" si="2"/>
        <v>0</v>
      </c>
      <c r="AI26" s="108" t="str">
        <f>IF('Sch2a-Imp Price by ECM'!C27="Yes", 0, 'Sch2a-Imp Price by ECM'!L27)</f>
        <v/>
      </c>
      <c r="AJ26" s="124" t="str">
        <f t="shared" si="3"/>
        <v/>
      </c>
      <c r="AK26" s="1" t="str">
        <f>IF('Sch2a-Imp Price by ECM'!M27="","",'Sch2a-Imp Price by ECM'!M27)</f>
        <v/>
      </c>
    </row>
    <row r="27" spans="1:37" ht="16.5" thickBot="1">
      <c r="A27" s="72" t="str">
        <f>IF('Sch2a-Imp Price by ECM'!B28="","",'Sch2a-Imp Price by ECM'!B28)</f>
        <v/>
      </c>
      <c r="B27" s="139" t="str">
        <f>IF('Sch2a-Imp Price by ECM'!D28="","",'Sch2a-Imp Price by ECM'!D28)</f>
        <v/>
      </c>
      <c r="C27" s="358" t="str">
        <f>IF('Sch2a-Imp Price by ECM'!G28="","",'Sch2a-Imp Price by ECM'!G28)</f>
        <v/>
      </c>
      <c r="D27" s="471"/>
      <c r="E27" s="350"/>
      <c r="F27" s="350"/>
      <c r="G27" s="350"/>
      <c r="H27" s="350"/>
      <c r="I27" s="242"/>
      <c r="J27" s="350"/>
      <c r="K27" s="350"/>
      <c r="L27" s="241"/>
      <c r="M27" s="241"/>
      <c r="N27" s="241"/>
      <c r="O27" s="235"/>
      <c r="P27" s="350"/>
      <c r="Q27" s="241"/>
      <c r="R27" s="351"/>
      <c r="S27" s="241"/>
      <c r="T27" s="351"/>
      <c r="U27" s="352"/>
      <c r="V27" s="351"/>
      <c r="W27" s="352"/>
      <c r="X27" s="383"/>
      <c r="Y27" s="352"/>
      <c r="Z27" s="349">
        <f t="shared" si="0"/>
        <v>0</v>
      </c>
      <c r="AA27" s="13">
        <f t="shared" si="1"/>
        <v>0</v>
      </c>
      <c r="AB27" s="351"/>
      <c r="AC27" s="352"/>
      <c r="AD27" s="351"/>
      <c r="AE27" s="352"/>
      <c r="AF27" s="352"/>
      <c r="AG27" s="352"/>
      <c r="AH27" s="108">
        <f t="shared" si="2"/>
        <v>0</v>
      </c>
      <c r="AI27" s="108" t="str">
        <f>IF('Sch2a-Imp Price by ECM'!C28="Yes", 0, 'Sch2a-Imp Price by ECM'!L28)</f>
        <v/>
      </c>
      <c r="AJ27" s="124" t="str">
        <f t="shared" si="3"/>
        <v/>
      </c>
      <c r="AK27" s="1" t="str">
        <f>IF('Sch2a-Imp Price by ECM'!M28="","",'Sch2a-Imp Price by ECM'!M28)</f>
        <v/>
      </c>
    </row>
    <row r="28" spans="1:37" ht="16.5" thickBot="1">
      <c r="A28" s="72" t="str">
        <f>IF('Sch2a-Imp Price by ECM'!B29="","",'Sch2a-Imp Price by ECM'!B29)</f>
        <v/>
      </c>
      <c r="B28" s="139" t="str">
        <f>IF('Sch2a-Imp Price by ECM'!D29="","",'Sch2a-Imp Price by ECM'!D29)</f>
        <v/>
      </c>
      <c r="C28" s="358" t="str">
        <f>IF('Sch2a-Imp Price by ECM'!G29="","",'Sch2a-Imp Price by ECM'!G29)</f>
        <v/>
      </c>
      <c r="D28" s="471"/>
      <c r="E28" s="350"/>
      <c r="F28" s="350"/>
      <c r="G28" s="350"/>
      <c r="H28" s="350"/>
      <c r="I28" s="242"/>
      <c r="J28" s="350"/>
      <c r="K28" s="350"/>
      <c r="L28" s="241"/>
      <c r="M28" s="241"/>
      <c r="N28" s="241"/>
      <c r="O28" s="235"/>
      <c r="P28" s="350"/>
      <c r="Q28" s="241"/>
      <c r="R28" s="351"/>
      <c r="S28" s="241"/>
      <c r="T28" s="351"/>
      <c r="U28" s="352"/>
      <c r="V28" s="351"/>
      <c r="W28" s="352"/>
      <c r="X28" s="383"/>
      <c r="Y28" s="352"/>
      <c r="Z28" s="349">
        <f t="shared" si="0"/>
        <v>0</v>
      </c>
      <c r="AA28" s="13">
        <f t="shared" si="1"/>
        <v>0</v>
      </c>
      <c r="AB28" s="351"/>
      <c r="AC28" s="352"/>
      <c r="AD28" s="351"/>
      <c r="AE28" s="352"/>
      <c r="AF28" s="352"/>
      <c r="AG28" s="352"/>
      <c r="AH28" s="108">
        <f t="shared" si="2"/>
        <v>0</v>
      </c>
      <c r="AI28" s="108" t="str">
        <f>IF('Sch2a-Imp Price by ECM'!C29="Yes", 0, 'Sch2a-Imp Price by ECM'!L29)</f>
        <v/>
      </c>
      <c r="AJ28" s="124" t="str">
        <f t="shared" si="3"/>
        <v/>
      </c>
      <c r="AK28" s="1" t="str">
        <f>IF('Sch2a-Imp Price by ECM'!M29="","",'Sch2a-Imp Price by ECM'!M29)</f>
        <v/>
      </c>
    </row>
    <row r="29" spans="1:37" ht="16.5" thickBot="1">
      <c r="A29" s="72" t="str">
        <f>IF('Sch2a-Imp Price by ECM'!B30="","",'Sch2a-Imp Price by ECM'!B30)</f>
        <v/>
      </c>
      <c r="B29" s="139" t="str">
        <f>IF('Sch2a-Imp Price by ECM'!D30="","",'Sch2a-Imp Price by ECM'!D30)</f>
        <v/>
      </c>
      <c r="C29" s="358" t="str">
        <f>IF('Sch2a-Imp Price by ECM'!G30="","",'Sch2a-Imp Price by ECM'!G30)</f>
        <v/>
      </c>
      <c r="D29" s="471"/>
      <c r="E29" s="350"/>
      <c r="F29" s="350"/>
      <c r="G29" s="350"/>
      <c r="H29" s="350"/>
      <c r="I29" s="242"/>
      <c r="J29" s="350"/>
      <c r="K29" s="350"/>
      <c r="L29" s="241"/>
      <c r="M29" s="241"/>
      <c r="N29" s="241"/>
      <c r="O29" s="235"/>
      <c r="P29" s="350"/>
      <c r="Q29" s="241"/>
      <c r="R29" s="351"/>
      <c r="S29" s="241"/>
      <c r="T29" s="351"/>
      <c r="U29" s="352"/>
      <c r="V29" s="351"/>
      <c r="W29" s="352"/>
      <c r="X29" s="383"/>
      <c r="Y29" s="352"/>
      <c r="Z29" s="349">
        <f t="shared" si="0"/>
        <v>0</v>
      </c>
      <c r="AA29" s="13">
        <f t="shared" si="1"/>
        <v>0</v>
      </c>
      <c r="AB29" s="351"/>
      <c r="AC29" s="352"/>
      <c r="AD29" s="351"/>
      <c r="AE29" s="352"/>
      <c r="AF29" s="352"/>
      <c r="AG29" s="352"/>
      <c r="AH29" s="108">
        <f t="shared" si="2"/>
        <v>0</v>
      </c>
      <c r="AI29" s="108" t="str">
        <f>IF('Sch2a-Imp Price by ECM'!C30="Yes", 0, 'Sch2a-Imp Price by ECM'!L30)</f>
        <v/>
      </c>
      <c r="AJ29" s="124" t="str">
        <f t="shared" si="3"/>
        <v/>
      </c>
      <c r="AK29" s="1" t="str">
        <f>IF('Sch2a-Imp Price by ECM'!M30="","",'Sch2a-Imp Price by ECM'!M30)</f>
        <v/>
      </c>
    </row>
    <row r="30" spans="1:37" ht="16.5" thickBot="1">
      <c r="A30" s="72" t="str">
        <f>IF('Sch2a-Imp Price by ECM'!B31="","",'Sch2a-Imp Price by ECM'!B31)</f>
        <v/>
      </c>
      <c r="B30" s="139" t="str">
        <f>IF('Sch2a-Imp Price by ECM'!D31="","",'Sch2a-Imp Price by ECM'!D31)</f>
        <v/>
      </c>
      <c r="C30" s="358" t="str">
        <f>IF('Sch2a-Imp Price by ECM'!G31="","",'Sch2a-Imp Price by ECM'!G31)</f>
        <v/>
      </c>
      <c r="D30" s="471"/>
      <c r="E30" s="350"/>
      <c r="F30" s="350"/>
      <c r="G30" s="350"/>
      <c r="H30" s="350"/>
      <c r="I30" s="242"/>
      <c r="J30" s="350"/>
      <c r="K30" s="350"/>
      <c r="L30" s="241"/>
      <c r="M30" s="241"/>
      <c r="N30" s="241"/>
      <c r="O30" s="242"/>
      <c r="P30" s="350"/>
      <c r="Q30" s="241"/>
      <c r="R30" s="351"/>
      <c r="S30" s="241"/>
      <c r="T30" s="351"/>
      <c r="U30" s="352"/>
      <c r="V30" s="351"/>
      <c r="W30" s="352"/>
      <c r="X30" s="383"/>
      <c r="Y30" s="352"/>
      <c r="Z30" s="349">
        <f t="shared" si="0"/>
        <v>0</v>
      </c>
      <c r="AA30" s="13">
        <f t="shared" si="1"/>
        <v>0</v>
      </c>
      <c r="AB30" s="351"/>
      <c r="AC30" s="352"/>
      <c r="AD30" s="351"/>
      <c r="AE30" s="352"/>
      <c r="AF30" s="352"/>
      <c r="AG30" s="352"/>
      <c r="AH30" s="108">
        <f t="shared" si="2"/>
        <v>0</v>
      </c>
      <c r="AI30" s="108" t="str">
        <f>IF('Sch2a-Imp Price by ECM'!C31="Yes", 0, 'Sch2a-Imp Price by ECM'!L31)</f>
        <v/>
      </c>
      <c r="AJ30" s="124" t="str">
        <f t="shared" si="3"/>
        <v/>
      </c>
      <c r="AK30" s="1" t="str">
        <f>IF('Sch2a-Imp Price by ECM'!M31="","",'Sch2a-Imp Price by ECM'!M31)</f>
        <v/>
      </c>
    </row>
    <row r="31" spans="1:37" ht="16.5" thickBot="1">
      <c r="A31" s="72" t="str">
        <f>IF('Sch2a-Imp Price by ECM'!B32="","",'Sch2a-Imp Price by ECM'!B32)</f>
        <v/>
      </c>
      <c r="B31" s="139" t="str">
        <f>IF('Sch2a-Imp Price by ECM'!D32="","",'Sch2a-Imp Price by ECM'!D32)</f>
        <v/>
      </c>
      <c r="C31" s="358" t="str">
        <f>IF('Sch2a-Imp Price by ECM'!G32="","",'Sch2a-Imp Price by ECM'!G32)</f>
        <v/>
      </c>
      <c r="D31" s="471"/>
      <c r="E31" s="350"/>
      <c r="F31" s="350"/>
      <c r="G31" s="350"/>
      <c r="H31" s="350"/>
      <c r="I31" s="242"/>
      <c r="J31" s="350"/>
      <c r="K31" s="350"/>
      <c r="L31" s="241"/>
      <c r="M31" s="241"/>
      <c r="N31" s="241"/>
      <c r="O31" s="242"/>
      <c r="P31" s="350"/>
      <c r="Q31" s="241"/>
      <c r="R31" s="351"/>
      <c r="S31" s="241"/>
      <c r="T31" s="351"/>
      <c r="U31" s="352"/>
      <c r="V31" s="351"/>
      <c r="W31" s="352"/>
      <c r="X31" s="383"/>
      <c r="Y31" s="352"/>
      <c r="Z31" s="349">
        <f t="shared" si="0"/>
        <v>0</v>
      </c>
      <c r="AA31" s="13">
        <f t="shared" si="1"/>
        <v>0</v>
      </c>
      <c r="AB31" s="351"/>
      <c r="AC31" s="352"/>
      <c r="AD31" s="351"/>
      <c r="AE31" s="352"/>
      <c r="AF31" s="352"/>
      <c r="AG31" s="352"/>
      <c r="AH31" s="108">
        <f t="shared" si="2"/>
        <v>0</v>
      </c>
      <c r="AI31" s="108" t="str">
        <f>IF('Sch2a-Imp Price by ECM'!C32="Yes", 0, 'Sch2a-Imp Price by ECM'!L32)</f>
        <v/>
      </c>
      <c r="AJ31" s="124" t="str">
        <f t="shared" si="3"/>
        <v/>
      </c>
      <c r="AK31" s="1" t="str">
        <f>IF('Sch2a-Imp Price by ECM'!M32="","",'Sch2a-Imp Price by ECM'!M32)</f>
        <v/>
      </c>
    </row>
    <row r="32" spans="1:37" ht="16.5" thickBot="1">
      <c r="A32" s="72" t="str">
        <f>IF('Sch2a-Imp Price by ECM'!B33="","",'Sch2a-Imp Price by ECM'!B33)</f>
        <v/>
      </c>
      <c r="B32" s="139" t="str">
        <f>IF('Sch2a-Imp Price by ECM'!D33="","",'Sch2a-Imp Price by ECM'!D33)</f>
        <v/>
      </c>
      <c r="C32" s="358" t="str">
        <f>IF('Sch2a-Imp Price by ECM'!G33="","",'Sch2a-Imp Price by ECM'!G33)</f>
        <v/>
      </c>
      <c r="D32" s="471"/>
      <c r="E32" s="350"/>
      <c r="F32" s="350"/>
      <c r="G32" s="350"/>
      <c r="H32" s="350"/>
      <c r="I32" s="242"/>
      <c r="J32" s="350"/>
      <c r="K32" s="350"/>
      <c r="L32" s="241"/>
      <c r="M32" s="241"/>
      <c r="N32" s="241"/>
      <c r="O32" s="242"/>
      <c r="P32" s="350"/>
      <c r="Q32" s="241"/>
      <c r="R32" s="351"/>
      <c r="S32" s="241"/>
      <c r="T32" s="351"/>
      <c r="U32" s="352"/>
      <c r="V32" s="351"/>
      <c r="W32" s="352"/>
      <c r="X32" s="383"/>
      <c r="Y32" s="352"/>
      <c r="Z32" s="349">
        <f t="shared" si="0"/>
        <v>0</v>
      </c>
      <c r="AA32" s="13">
        <f t="shared" si="1"/>
        <v>0</v>
      </c>
      <c r="AB32" s="351"/>
      <c r="AC32" s="352"/>
      <c r="AD32" s="351"/>
      <c r="AE32" s="352"/>
      <c r="AF32" s="352"/>
      <c r="AG32" s="352"/>
      <c r="AH32" s="108">
        <f t="shared" si="2"/>
        <v>0</v>
      </c>
      <c r="AI32" s="108" t="str">
        <f>IF('Sch2a-Imp Price by ECM'!C33="Yes", 0, 'Sch2a-Imp Price by ECM'!L33)</f>
        <v/>
      </c>
      <c r="AJ32" s="124" t="str">
        <f t="shared" si="3"/>
        <v/>
      </c>
      <c r="AK32" s="1" t="str">
        <f>IF('Sch2a-Imp Price by ECM'!M33="","",'Sch2a-Imp Price by ECM'!M33)</f>
        <v/>
      </c>
    </row>
    <row r="33" spans="1:37" ht="16.5" thickBot="1">
      <c r="A33" s="72" t="str">
        <f>IF('Sch2a-Imp Price by ECM'!B34="","",'Sch2a-Imp Price by ECM'!B34)</f>
        <v/>
      </c>
      <c r="B33" s="139" t="str">
        <f>IF('Sch2a-Imp Price by ECM'!D34="","",'Sch2a-Imp Price by ECM'!D34)</f>
        <v/>
      </c>
      <c r="C33" s="358" t="str">
        <f>IF('Sch2a-Imp Price by ECM'!G34="","",'Sch2a-Imp Price by ECM'!G34)</f>
        <v/>
      </c>
      <c r="D33" s="471"/>
      <c r="E33" s="350"/>
      <c r="F33" s="350"/>
      <c r="G33" s="350"/>
      <c r="H33" s="350"/>
      <c r="I33" s="242"/>
      <c r="J33" s="350"/>
      <c r="K33" s="350"/>
      <c r="L33" s="241"/>
      <c r="M33" s="241"/>
      <c r="N33" s="241"/>
      <c r="O33" s="242"/>
      <c r="P33" s="350"/>
      <c r="Q33" s="241"/>
      <c r="R33" s="351"/>
      <c r="S33" s="241"/>
      <c r="T33" s="351"/>
      <c r="U33" s="352"/>
      <c r="V33" s="351"/>
      <c r="W33" s="352"/>
      <c r="X33" s="383"/>
      <c r="Y33" s="352"/>
      <c r="Z33" s="349">
        <f t="shared" si="0"/>
        <v>0</v>
      </c>
      <c r="AA33" s="13">
        <f t="shared" si="1"/>
        <v>0</v>
      </c>
      <c r="AB33" s="351"/>
      <c r="AC33" s="352"/>
      <c r="AD33" s="351"/>
      <c r="AE33" s="352"/>
      <c r="AF33" s="352"/>
      <c r="AG33" s="352"/>
      <c r="AH33" s="108">
        <f t="shared" si="2"/>
        <v>0</v>
      </c>
      <c r="AI33" s="108" t="str">
        <f>IF('Sch2a-Imp Price by ECM'!C34="Yes", 0, 'Sch2a-Imp Price by ECM'!L34)</f>
        <v/>
      </c>
      <c r="AJ33" s="124" t="str">
        <f t="shared" si="3"/>
        <v/>
      </c>
      <c r="AK33" s="1" t="str">
        <f>IF('Sch2a-Imp Price by ECM'!M34="","",'Sch2a-Imp Price by ECM'!M34)</f>
        <v/>
      </c>
    </row>
    <row r="34" spans="1:37" ht="18" customHeight="1" thickBot="1">
      <c r="A34" s="72" t="str">
        <f>IF('Sch2a-Imp Price by ECM'!B35="","",'Sch2a-Imp Price by ECM'!B35)</f>
        <v/>
      </c>
      <c r="B34" s="139" t="str">
        <f>IF('Sch2a-Imp Price by ECM'!D35="","",'Sch2a-Imp Price by ECM'!D35)</f>
        <v/>
      </c>
      <c r="C34" s="358" t="str">
        <f>IF('Sch2a-Imp Price by ECM'!G35="","",'Sch2a-Imp Price by ECM'!G35)</f>
        <v/>
      </c>
      <c r="D34" s="471"/>
      <c r="E34" s="350"/>
      <c r="F34" s="350"/>
      <c r="G34" s="350"/>
      <c r="H34" s="350"/>
      <c r="I34" s="242"/>
      <c r="J34" s="350"/>
      <c r="K34" s="350"/>
      <c r="L34" s="241"/>
      <c r="M34" s="241"/>
      <c r="N34" s="241"/>
      <c r="O34" s="242"/>
      <c r="P34" s="350"/>
      <c r="Q34" s="241"/>
      <c r="R34" s="351"/>
      <c r="S34" s="241"/>
      <c r="T34" s="351"/>
      <c r="U34" s="352"/>
      <c r="V34" s="351"/>
      <c r="W34" s="352"/>
      <c r="X34" s="383"/>
      <c r="Y34" s="352"/>
      <c r="Z34" s="349">
        <f t="shared" si="0"/>
        <v>0</v>
      </c>
      <c r="AA34" s="13">
        <f t="shared" si="1"/>
        <v>0</v>
      </c>
      <c r="AB34" s="351"/>
      <c r="AC34" s="352"/>
      <c r="AD34" s="351"/>
      <c r="AE34" s="352"/>
      <c r="AF34" s="352"/>
      <c r="AG34" s="352"/>
      <c r="AH34" s="108">
        <f t="shared" si="2"/>
        <v>0</v>
      </c>
      <c r="AI34" s="108" t="str">
        <f>IF('Sch2a-Imp Price by ECM'!C35="Yes", 0, 'Sch2a-Imp Price by ECM'!L35)</f>
        <v/>
      </c>
      <c r="AJ34" s="124" t="str">
        <f t="shared" si="3"/>
        <v/>
      </c>
      <c r="AK34" s="1" t="str">
        <f>IF('Sch2a-Imp Price by ECM'!M35="","",'Sch2a-Imp Price by ECM'!M35)</f>
        <v/>
      </c>
    </row>
    <row r="35" spans="1:37" ht="16.5" thickBot="1">
      <c r="A35" s="72" t="str">
        <f>IF('Sch2a-Imp Price by ECM'!B36="","",'Sch2a-Imp Price by ECM'!B36)</f>
        <v/>
      </c>
      <c r="B35" s="139" t="str">
        <f>IF('Sch2a-Imp Price by ECM'!D36="","",'Sch2a-Imp Price by ECM'!D36)</f>
        <v/>
      </c>
      <c r="C35" s="358" t="str">
        <f>IF('Sch2a-Imp Price by ECM'!G36="","",'Sch2a-Imp Price by ECM'!G36)</f>
        <v/>
      </c>
      <c r="D35" s="471"/>
      <c r="E35" s="350"/>
      <c r="F35" s="350"/>
      <c r="G35" s="350"/>
      <c r="H35" s="350"/>
      <c r="I35" s="242"/>
      <c r="J35" s="350"/>
      <c r="K35" s="350"/>
      <c r="L35" s="241"/>
      <c r="M35" s="241"/>
      <c r="N35" s="241"/>
      <c r="O35" s="242"/>
      <c r="P35" s="350"/>
      <c r="Q35" s="241"/>
      <c r="R35" s="351"/>
      <c r="S35" s="241"/>
      <c r="T35" s="351"/>
      <c r="U35" s="352"/>
      <c r="V35" s="351"/>
      <c r="W35" s="352"/>
      <c r="X35" s="383"/>
      <c r="Y35" s="352"/>
      <c r="Z35" s="349">
        <f t="shared" si="0"/>
        <v>0</v>
      </c>
      <c r="AA35" s="13">
        <f t="shared" si="1"/>
        <v>0</v>
      </c>
      <c r="AB35" s="351"/>
      <c r="AC35" s="352"/>
      <c r="AD35" s="351"/>
      <c r="AE35" s="352"/>
      <c r="AF35" s="352"/>
      <c r="AG35" s="352"/>
      <c r="AH35" s="108">
        <f t="shared" si="2"/>
        <v>0</v>
      </c>
      <c r="AI35" s="108" t="str">
        <f>IF('Sch2a-Imp Price by ECM'!C36="Yes", 0, 'Sch2a-Imp Price by ECM'!L36)</f>
        <v/>
      </c>
      <c r="AJ35" s="124" t="str">
        <f t="shared" si="3"/>
        <v/>
      </c>
      <c r="AK35" s="1" t="str">
        <f>IF('Sch2a-Imp Price by ECM'!M36="","",'Sch2a-Imp Price by ECM'!M36)</f>
        <v/>
      </c>
    </row>
    <row r="36" spans="1:37" ht="16.5" thickBot="1">
      <c r="A36" s="72" t="str">
        <f>IF('Sch2a-Imp Price by ECM'!B37="","",'Sch2a-Imp Price by ECM'!B37)</f>
        <v/>
      </c>
      <c r="B36" s="139" t="str">
        <f>IF('Sch2a-Imp Price by ECM'!D37="","",'Sch2a-Imp Price by ECM'!D37)</f>
        <v/>
      </c>
      <c r="C36" s="358" t="str">
        <f>IF('Sch2a-Imp Price by ECM'!G37="","",'Sch2a-Imp Price by ECM'!G37)</f>
        <v/>
      </c>
      <c r="D36" s="471"/>
      <c r="E36" s="350"/>
      <c r="F36" s="350"/>
      <c r="G36" s="350"/>
      <c r="H36" s="350"/>
      <c r="I36" s="242"/>
      <c r="J36" s="350"/>
      <c r="K36" s="350"/>
      <c r="L36" s="241"/>
      <c r="M36" s="241"/>
      <c r="N36" s="241"/>
      <c r="O36" s="242"/>
      <c r="P36" s="350"/>
      <c r="Q36" s="241"/>
      <c r="R36" s="351"/>
      <c r="S36" s="241"/>
      <c r="T36" s="351"/>
      <c r="U36" s="352"/>
      <c r="V36" s="351"/>
      <c r="W36" s="352"/>
      <c r="X36" s="383"/>
      <c r="Y36" s="352"/>
      <c r="Z36" s="349">
        <f t="shared" si="0"/>
        <v>0</v>
      </c>
      <c r="AA36" s="13">
        <f t="shared" si="1"/>
        <v>0</v>
      </c>
      <c r="AB36" s="351"/>
      <c r="AC36" s="352"/>
      <c r="AD36" s="351"/>
      <c r="AE36" s="352"/>
      <c r="AF36" s="352"/>
      <c r="AG36" s="352"/>
      <c r="AH36" s="108">
        <f t="shared" si="2"/>
        <v>0</v>
      </c>
      <c r="AI36" s="108" t="str">
        <f>IF('Sch2a-Imp Price by ECM'!C37="Yes", 0, 'Sch2a-Imp Price by ECM'!L37)</f>
        <v/>
      </c>
      <c r="AJ36" s="124" t="str">
        <f t="shared" si="3"/>
        <v/>
      </c>
      <c r="AK36" s="1" t="str">
        <f>IF('Sch2a-Imp Price by ECM'!M37="","",'Sch2a-Imp Price by ECM'!M37)</f>
        <v/>
      </c>
    </row>
    <row r="37" spans="1:37" ht="16.5" thickBot="1">
      <c r="A37" s="72" t="str">
        <f>IF('Sch2a-Imp Price by ECM'!B38="","",'Sch2a-Imp Price by ECM'!B38)</f>
        <v/>
      </c>
      <c r="B37" s="139" t="str">
        <f>IF('Sch2a-Imp Price by ECM'!D38="","",'Sch2a-Imp Price by ECM'!D38)</f>
        <v/>
      </c>
      <c r="C37" s="358" t="str">
        <f>IF('Sch2a-Imp Price by ECM'!G38="","",'Sch2a-Imp Price by ECM'!G38)</f>
        <v/>
      </c>
      <c r="D37" s="471"/>
      <c r="E37" s="350"/>
      <c r="F37" s="350"/>
      <c r="G37" s="350"/>
      <c r="H37" s="350"/>
      <c r="I37" s="242"/>
      <c r="J37" s="350"/>
      <c r="K37" s="350"/>
      <c r="L37" s="241"/>
      <c r="M37" s="241"/>
      <c r="N37" s="241"/>
      <c r="O37" s="235"/>
      <c r="P37" s="350"/>
      <c r="Q37" s="241"/>
      <c r="R37" s="351"/>
      <c r="S37" s="241"/>
      <c r="T37" s="351"/>
      <c r="U37" s="352"/>
      <c r="V37" s="351"/>
      <c r="W37" s="352"/>
      <c r="X37" s="383"/>
      <c r="Y37" s="352"/>
      <c r="Z37" s="349">
        <f t="shared" si="0"/>
        <v>0</v>
      </c>
      <c r="AA37" s="13">
        <f t="shared" si="1"/>
        <v>0</v>
      </c>
      <c r="AB37" s="351"/>
      <c r="AC37" s="352"/>
      <c r="AD37" s="351"/>
      <c r="AE37" s="352"/>
      <c r="AF37" s="352"/>
      <c r="AG37" s="352"/>
      <c r="AH37" s="108">
        <f t="shared" si="2"/>
        <v>0</v>
      </c>
      <c r="AI37" s="108" t="str">
        <f>IF('Sch2a-Imp Price by ECM'!C38="Yes", 0, 'Sch2a-Imp Price by ECM'!L38)</f>
        <v/>
      </c>
      <c r="AJ37" s="124" t="str">
        <f t="shared" si="3"/>
        <v/>
      </c>
      <c r="AK37" s="1" t="str">
        <f>IF('Sch2a-Imp Price by ECM'!M38="","",'Sch2a-Imp Price by ECM'!M38)</f>
        <v/>
      </c>
    </row>
    <row r="38" spans="1:37" ht="16.5" thickBot="1">
      <c r="A38" s="72" t="str">
        <f>IF('Sch2a-Imp Price by ECM'!B39="","",'Sch2a-Imp Price by ECM'!B39)</f>
        <v/>
      </c>
      <c r="B38" s="139" t="str">
        <f>IF('Sch2a-Imp Price by ECM'!D39="","",'Sch2a-Imp Price by ECM'!D39)</f>
        <v/>
      </c>
      <c r="C38" s="358" t="str">
        <f>IF('Sch2a-Imp Price by ECM'!G39="","",'Sch2a-Imp Price by ECM'!G39)</f>
        <v/>
      </c>
      <c r="D38" s="471"/>
      <c r="E38" s="350"/>
      <c r="F38" s="350"/>
      <c r="G38" s="350"/>
      <c r="H38" s="350"/>
      <c r="I38" s="242"/>
      <c r="J38" s="350"/>
      <c r="K38" s="350"/>
      <c r="L38" s="241"/>
      <c r="M38" s="241"/>
      <c r="N38" s="241"/>
      <c r="O38" s="235"/>
      <c r="P38" s="350"/>
      <c r="Q38" s="241"/>
      <c r="R38" s="351"/>
      <c r="S38" s="241"/>
      <c r="T38" s="351"/>
      <c r="U38" s="352"/>
      <c r="V38" s="351"/>
      <c r="W38" s="352"/>
      <c r="X38" s="383"/>
      <c r="Y38" s="352"/>
      <c r="Z38" s="349">
        <f t="shared" si="0"/>
        <v>0</v>
      </c>
      <c r="AA38" s="13">
        <f t="shared" si="1"/>
        <v>0</v>
      </c>
      <c r="AB38" s="351"/>
      <c r="AC38" s="352"/>
      <c r="AD38" s="351"/>
      <c r="AE38" s="352"/>
      <c r="AF38" s="352"/>
      <c r="AG38" s="352"/>
      <c r="AH38" s="108">
        <f t="shared" si="2"/>
        <v>0</v>
      </c>
      <c r="AI38" s="108" t="str">
        <f>IF('Sch2a-Imp Price by ECM'!C39="Yes", 0, 'Sch2a-Imp Price by ECM'!L39)</f>
        <v/>
      </c>
      <c r="AJ38" s="124" t="str">
        <f t="shared" si="3"/>
        <v/>
      </c>
      <c r="AK38" s="1" t="str">
        <f>IF('Sch2a-Imp Price by ECM'!M39="","",'Sch2a-Imp Price by ECM'!M39)</f>
        <v/>
      </c>
    </row>
    <row r="39" spans="1:37" ht="16.5" thickBot="1">
      <c r="A39" s="72" t="str">
        <f>IF('Sch2a-Imp Price by ECM'!B40="","",'Sch2a-Imp Price by ECM'!B40)</f>
        <v/>
      </c>
      <c r="B39" s="139" t="str">
        <f>IF('Sch2a-Imp Price by ECM'!D40="","",'Sch2a-Imp Price by ECM'!D40)</f>
        <v/>
      </c>
      <c r="C39" s="358" t="str">
        <f>IF('Sch2a-Imp Price by ECM'!G40="","",'Sch2a-Imp Price by ECM'!G40)</f>
        <v/>
      </c>
      <c r="D39" s="471"/>
      <c r="E39" s="350"/>
      <c r="F39" s="350"/>
      <c r="G39" s="350"/>
      <c r="H39" s="350"/>
      <c r="I39" s="242"/>
      <c r="J39" s="350"/>
      <c r="K39" s="350"/>
      <c r="L39" s="241"/>
      <c r="M39" s="241"/>
      <c r="N39" s="241"/>
      <c r="O39" s="235"/>
      <c r="P39" s="350"/>
      <c r="Q39" s="241"/>
      <c r="R39" s="351"/>
      <c r="S39" s="241"/>
      <c r="T39" s="351"/>
      <c r="U39" s="352"/>
      <c r="V39" s="351"/>
      <c r="W39" s="352"/>
      <c r="X39" s="383"/>
      <c r="Y39" s="352"/>
      <c r="Z39" s="349">
        <f t="shared" si="0"/>
        <v>0</v>
      </c>
      <c r="AA39" s="13">
        <f t="shared" si="1"/>
        <v>0</v>
      </c>
      <c r="AB39" s="351"/>
      <c r="AC39" s="352"/>
      <c r="AD39" s="351"/>
      <c r="AE39" s="352"/>
      <c r="AF39" s="352"/>
      <c r="AG39" s="352"/>
      <c r="AH39" s="108">
        <f t="shared" si="2"/>
        <v>0</v>
      </c>
      <c r="AI39" s="108" t="str">
        <f>IF('Sch2a-Imp Price by ECM'!C40="Yes", 0, 'Sch2a-Imp Price by ECM'!L40)</f>
        <v/>
      </c>
      <c r="AJ39" s="124" t="str">
        <f t="shared" si="3"/>
        <v/>
      </c>
      <c r="AK39" s="1" t="str">
        <f>IF('Sch2a-Imp Price by ECM'!M40="","",'Sch2a-Imp Price by ECM'!M40)</f>
        <v/>
      </c>
    </row>
    <row r="40" spans="1:37" ht="16.5" thickBot="1">
      <c r="A40" s="72" t="str">
        <f>IF('Sch2a-Imp Price by ECM'!B41="","",'Sch2a-Imp Price by ECM'!B41)</f>
        <v/>
      </c>
      <c r="B40" s="139" t="str">
        <f>IF('Sch2a-Imp Price by ECM'!D41="","",'Sch2a-Imp Price by ECM'!D41)</f>
        <v/>
      </c>
      <c r="C40" s="358" t="str">
        <f>IF('Sch2a-Imp Price by ECM'!G41="","",'Sch2a-Imp Price by ECM'!G41)</f>
        <v/>
      </c>
      <c r="D40" s="471"/>
      <c r="E40" s="350"/>
      <c r="F40" s="350"/>
      <c r="G40" s="350"/>
      <c r="H40" s="350"/>
      <c r="I40" s="242"/>
      <c r="J40" s="350"/>
      <c r="K40" s="350"/>
      <c r="L40" s="241"/>
      <c r="M40" s="241"/>
      <c r="N40" s="241"/>
      <c r="O40" s="235"/>
      <c r="P40" s="350"/>
      <c r="Q40" s="241"/>
      <c r="R40" s="351"/>
      <c r="S40" s="241"/>
      <c r="T40" s="351"/>
      <c r="U40" s="352"/>
      <c r="V40" s="351"/>
      <c r="W40" s="352"/>
      <c r="X40" s="383"/>
      <c r="Y40" s="352"/>
      <c r="Z40" s="349">
        <f t="shared" si="0"/>
        <v>0</v>
      </c>
      <c r="AA40" s="13">
        <f t="shared" si="1"/>
        <v>0</v>
      </c>
      <c r="AB40" s="351"/>
      <c r="AC40" s="352"/>
      <c r="AD40" s="351"/>
      <c r="AE40" s="352"/>
      <c r="AF40" s="352"/>
      <c r="AG40" s="352"/>
      <c r="AH40" s="108">
        <f t="shared" si="2"/>
        <v>0</v>
      </c>
      <c r="AI40" s="108" t="str">
        <f>IF('Sch2a-Imp Price by ECM'!C41="Yes", 0, 'Sch2a-Imp Price by ECM'!L41)</f>
        <v/>
      </c>
      <c r="AJ40" s="124" t="str">
        <f t="shared" si="3"/>
        <v/>
      </c>
      <c r="AK40" s="1" t="str">
        <f>IF('Sch2a-Imp Price by ECM'!M41="","",'Sch2a-Imp Price by ECM'!M41)</f>
        <v/>
      </c>
    </row>
    <row r="41" spans="1:37" ht="16.5" thickBot="1">
      <c r="A41" s="72" t="str">
        <f>IF('Sch2a-Imp Price by ECM'!B42="","",'Sch2a-Imp Price by ECM'!B42)</f>
        <v/>
      </c>
      <c r="B41" s="139" t="str">
        <f>IF('Sch2a-Imp Price by ECM'!D42="","",'Sch2a-Imp Price by ECM'!D42)</f>
        <v/>
      </c>
      <c r="C41" s="358" t="str">
        <f>IF('Sch2a-Imp Price by ECM'!G42="","",'Sch2a-Imp Price by ECM'!G42)</f>
        <v/>
      </c>
      <c r="D41" s="471"/>
      <c r="E41" s="350"/>
      <c r="F41" s="350"/>
      <c r="G41" s="350"/>
      <c r="H41" s="350"/>
      <c r="I41" s="242"/>
      <c r="J41" s="350"/>
      <c r="K41" s="350"/>
      <c r="L41" s="241"/>
      <c r="M41" s="241"/>
      <c r="N41" s="241"/>
      <c r="O41" s="235"/>
      <c r="P41" s="350"/>
      <c r="Q41" s="241"/>
      <c r="R41" s="351"/>
      <c r="S41" s="241"/>
      <c r="T41" s="351"/>
      <c r="U41" s="352"/>
      <c r="V41" s="351"/>
      <c r="W41" s="352"/>
      <c r="X41" s="383"/>
      <c r="Y41" s="352"/>
      <c r="Z41" s="349">
        <f t="shared" si="0"/>
        <v>0</v>
      </c>
      <c r="AA41" s="13">
        <f t="shared" si="1"/>
        <v>0</v>
      </c>
      <c r="AB41" s="351"/>
      <c r="AC41" s="352"/>
      <c r="AD41" s="351"/>
      <c r="AE41" s="352"/>
      <c r="AF41" s="352"/>
      <c r="AG41" s="352"/>
      <c r="AH41" s="108">
        <f t="shared" si="2"/>
        <v>0</v>
      </c>
      <c r="AI41" s="108" t="str">
        <f>IF('Sch2a-Imp Price by ECM'!C42="Yes", 0, 'Sch2a-Imp Price by ECM'!L42)</f>
        <v/>
      </c>
      <c r="AJ41" s="124" t="str">
        <f t="shared" si="3"/>
        <v/>
      </c>
      <c r="AK41" s="1" t="str">
        <f>IF('Sch2a-Imp Price by ECM'!M42="","",'Sch2a-Imp Price by ECM'!M42)</f>
        <v/>
      </c>
    </row>
    <row r="42" spans="1:37" ht="16.5" thickBot="1">
      <c r="A42" s="72" t="str">
        <f>IF('Sch2a-Imp Price by ECM'!B43="","",'Sch2a-Imp Price by ECM'!B43)</f>
        <v/>
      </c>
      <c r="B42" s="139" t="str">
        <f>IF('Sch2a-Imp Price by ECM'!D43="","",'Sch2a-Imp Price by ECM'!D43)</f>
        <v/>
      </c>
      <c r="C42" s="358" t="str">
        <f>IF('Sch2a-Imp Price by ECM'!G43="","",'Sch2a-Imp Price by ECM'!G43)</f>
        <v/>
      </c>
      <c r="D42" s="471"/>
      <c r="E42" s="350"/>
      <c r="F42" s="350"/>
      <c r="G42" s="350"/>
      <c r="H42" s="350"/>
      <c r="I42" s="242"/>
      <c r="J42" s="350"/>
      <c r="K42" s="350"/>
      <c r="L42" s="241"/>
      <c r="M42" s="241"/>
      <c r="N42" s="241"/>
      <c r="O42" s="235"/>
      <c r="P42" s="350"/>
      <c r="Q42" s="241"/>
      <c r="R42" s="351"/>
      <c r="S42" s="241"/>
      <c r="T42" s="351"/>
      <c r="U42" s="352"/>
      <c r="V42" s="351"/>
      <c r="W42" s="352"/>
      <c r="X42" s="383"/>
      <c r="Y42" s="352"/>
      <c r="Z42" s="349">
        <f t="shared" si="0"/>
        <v>0</v>
      </c>
      <c r="AA42" s="13">
        <f t="shared" si="1"/>
        <v>0</v>
      </c>
      <c r="AB42" s="351"/>
      <c r="AC42" s="352"/>
      <c r="AD42" s="351"/>
      <c r="AE42" s="352"/>
      <c r="AF42" s="352"/>
      <c r="AG42" s="352"/>
      <c r="AH42" s="108">
        <f t="shared" si="2"/>
        <v>0</v>
      </c>
      <c r="AI42" s="108" t="str">
        <f>IF('Sch2a-Imp Price by ECM'!C43="Yes", 0, 'Sch2a-Imp Price by ECM'!L43)</f>
        <v/>
      </c>
      <c r="AJ42" s="124" t="str">
        <f t="shared" si="3"/>
        <v/>
      </c>
      <c r="AK42" s="1" t="str">
        <f>IF('Sch2a-Imp Price by ECM'!M43="","",'Sch2a-Imp Price by ECM'!M43)</f>
        <v/>
      </c>
    </row>
    <row r="43" spans="1:37" ht="16.5" thickBot="1">
      <c r="A43" s="72" t="str">
        <f>IF('Sch2a-Imp Price by ECM'!B44="","",'Sch2a-Imp Price by ECM'!B44)</f>
        <v/>
      </c>
      <c r="B43" s="139" t="str">
        <f>IF('Sch2a-Imp Price by ECM'!D44="","",'Sch2a-Imp Price by ECM'!D44)</f>
        <v/>
      </c>
      <c r="C43" s="358" t="str">
        <f>IF('Sch2a-Imp Price by ECM'!G44="","",'Sch2a-Imp Price by ECM'!G44)</f>
        <v/>
      </c>
      <c r="D43" s="471"/>
      <c r="E43" s="350"/>
      <c r="F43" s="350"/>
      <c r="G43" s="350"/>
      <c r="H43" s="350"/>
      <c r="I43" s="242"/>
      <c r="J43" s="350"/>
      <c r="K43" s="350"/>
      <c r="L43" s="241"/>
      <c r="M43" s="241"/>
      <c r="N43" s="241"/>
      <c r="O43" s="235"/>
      <c r="P43" s="350"/>
      <c r="Q43" s="241"/>
      <c r="R43" s="351"/>
      <c r="S43" s="241"/>
      <c r="T43" s="351"/>
      <c r="U43" s="352"/>
      <c r="V43" s="351"/>
      <c r="W43" s="352"/>
      <c r="X43" s="383"/>
      <c r="Y43" s="352"/>
      <c r="Z43" s="349">
        <f t="shared" si="0"/>
        <v>0</v>
      </c>
      <c r="AA43" s="13">
        <f t="shared" si="1"/>
        <v>0</v>
      </c>
      <c r="AB43" s="351"/>
      <c r="AC43" s="352"/>
      <c r="AD43" s="351"/>
      <c r="AE43" s="352"/>
      <c r="AF43" s="352"/>
      <c r="AG43" s="352"/>
      <c r="AH43" s="108">
        <f t="shared" si="2"/>
        <v>0</v>
      </c>
      <c r="AI43" s="108" t="str">
        <f>IF('Sch2a-Imp Price by ECM'!C44="Yes", 0, 'Sch2a-Imp Price by ECM'!L44)</f>
        <v/>
      </c>
      <c r="AJ43" s="124" t="str">
        <f t="shared" si="3"/>
        <v/>
      </c>
      <c r="AK43" s="1" t="str">
        <f>IF('Sch2a-Imp Price by ECM'!M44="","",'Sch2a-Imp Price by ECM'!M44)</f>
        <v/>
      </c>
    </row>
    <row r="44" spans="1:37" ht="16.5" thickBot="1">
      <c r="A44" s="72" t="str">
        <f>IF('Sch2a-Imp Price by ECM'!B45="","",'Sch2a-Imp Price by ECM'!B45)</f>
        <v/>
      </c>
      <c r="B44" s="139" t="str">
        <f>IF('Sch2a-Imp Price by ECM'!D45="","",'Sch2a-Imp Price by ECM'!D45)</f>
        <v/>
      </c>
      <c r="C44" s="358" t="str">
        <f>IF('Sch2a-Imp Price by ECM'!G45="","",'Sch2a-Imp Price by ECM'!G45)</f>
        <v/>
      </c>
      <c r="D44" s="471"/>
      <c r="E44" s="350"/>
      <c r="F44" s="350"/>
      <c r="G44" s="350"/>
      <c r="H44" s="350"/>
      <c r="I44" s="242"/>
      <c r="J44" s="350"/>
      <c r="K44" s="350"/>
      <c r="L44" s="241"/>
      <c r="M44" s="241"/>
      <c r="N44" s="241"/>
      <c r="O44" s="235"/>
      <c r="P44" s="350"/>
      <c r="Q44" s="241"/>
      <c r="R44" s="351"/>
      <c r="S44" s="241"/>
      <c r="T44" s="351"/>
      <c r="U44" s="352"/>
      <c r="V44" s="351"/>
      <c r="W44" s="352"/>
      <c r="X44" s="383"/>
      <c r="Y44" s="352"/>
      <c r="Z44" s="349">
        <f t="shared" si="0"/>
        <v>0</v>
      </c>
      <c r="AA44" s="13">
        <f t="shared" si="1"/>
        <v>0</v>
      </c>
      <c r="AB44" s="351"/>
      <c r="AC44" s="352"/>
      <c r="AD44" s="351"/>
      <c r="AE44" s="352"/>
      <c r="AF44" s="352"/>
      <c r="AG44" s="352"/>
      <c r="AH44" s="108">
        <f t="shared" si="2"/>
        <v>0</v>
      </c>
      <c r="AI44" s="108" t="str">
        <f>IF('Sch2a-Imp Price by ECM'!C45="Yes", 0, 'Sch2a-Imp Price by ECM'!L45)</f>
        <v/>
      </c>
      <c r="AJ44" s="124" t="str">
        <f t="shared" si="3"/>
        <v/>
      </c>
      <c r="AK44" s="1" t="str">
        <f>IF('Sch2a-Imp Price by ECM'!M45="","",'Sch2a-Imp Price by ECM'!M45)</f>
        <v/>
      </c>
    </row>
    <row r="45" spans="1:37" ht="16.5" thickBot="1">
      <c r="A45" s="72" t="str">
        <f>IF('Sch2a-Imp Price by ECM'!B46="","",'Sch2a-Imp Price by ECM'!B46)</f>
        <v/>
      </c>
      <c r="B45" s="139" t="str">
        <f>IF('Sch2a-Imp Price by ECM'!D46="","",'Sch2a-Imp Price by ECM'!D46)</f>
        <v/>
      </c>
      <c r="C45" s="358" t="str">
        <f>IF('Sch2a-Imp Price by ECM'!G46="","",'Sch2a-Imp Price by ECM'!G46)</f>
        <v/>
      </c>
      <c r="D45" s="471"/>
      <c r="E45" s="350"/>
      <c r="F45" s="350"/>
      <c r="G45" s="350"/>
      <c r="H45" s="350"/>
      <c r="I45" s="242"/>
      <c r="J45" s="350"/>
      <c r="K45" s="350"/>
      <c r="L45" s="241"/>
      <c r="M45" s="241"/>
      <c r="N45" s="241"/>
      <c r="O45" s="235"/>
      <c r="P45" s="350"/>
      <c r="Q45" s="241"/>
      <c r="R45" s="351"/>
      <c r="S45" s="241"/>
      <c r="T45" s="351"/>
      <c r="U45" s="352"/>
      <c r="V45" s="351"/>
      <c r="W45" s="352"/>
      <c r="X45" s="383"/>
      <c r="Y45" s="352"/>
      <c r="Z45" s="349">
        <f t="shared" si="0"/>
        <v>0</v>
      </c>
      <c r="AA45" s="13">
        <f t="shared" si="1"/>
        <v>0</v>
      </c>
      <c r="AB45" s="351"/>
      <c r="AC45" s="352"/>
      <c r="AD45" s="351"/>
      <c r="AE45" s="352"/>
      <c r="AF45" s="352"/>
      <c r="AG45" s="352"/>
      <c r="AH45" s="108">
        <f t="shared" si="2"/>
        <v>0</v>
      </c>
      <c r="AI45" s="108" t="str">
        <f>IF('Sch2a-Imp Price by ECM'!C46="Yes", 0, 'Sch2a-Imp Price by ECM'!L46)</f>
        <v/>
      </c>
      <c r="AJ45" s="124" t="str">
        <f t="shared" si="3"/>
        <v/>
      </c>
      <c r="AK45" s="1" t="str">
        <f>IF('Sch2a-Imp Price by ECM'!M46="","",'Sch2a-Imp Price by ECM'!M46)</f>
        <v/>
      </c>
    </row>
    <row r="46" spans="1:37" ht="16.5" thickBot="1">
      <c r="A46" s="72" t="str">
        <f>IF('Sch2a-Imp Price by ECM'!B47="","",'Sch2a-Imp Price by ECM'!B47)</f>
        <v/>
      </c>
      <c r="B46" s="139" t="str">
        <f>IF('Sch2a-Imp Price by ECM'!D47="","",'Sch2a-Imp Price by ECM'!D47)</f>
        <v/>
      </c>
      <c r="C46" s="358" t="str">
        <f>IF('Sch2a-Imp Price by ECM'!G47="","",'Sch2a-Imp Price by ECM'!G47)</f>
        <v/>
      </c>
      <c r="D46" s="471"/>
      <c r="E46" s="350"/>
      <c r="F46" s="350"/>
      <c r="G46" s="350"/>
      <c r="H46" s="350"/>
      <c r="I46" s="242"/>
      <c r="J46" s="350"/>
      <c r="K46" s="350"/>
      <c r="L46" s="241"/>
      <c r="M46" s="241"/>
      <c r="N46" s="241"/>
      <c r="O46" s="235"/>
      <c r="P46" s="350"/>
      <c r="Q46" s="241"/>
      <c r="R46" s="351"/>
      <c r="S46" s="241"/>
      <c r="T46" s="351"/>
      <c r="U46" s="352"/>
      <c r="V46" s="351"/>
      <c r="W46" s="352"/>
      <c r="X46" s="383"/>
      <c r="Y46" s="352"/>
      <c r="Z46" s="349">
        <f t="shared" si="0"/>
        <v>0</v>
      </c>
      <c r="AA46" s="13">
        <f t="shared" si="1"/>
        <v>0</v>
      </c>
      <c r="AB46" s="351"/>
      <c r="AC46" s="352"/>
      <c r="AD46" s="351"/>
      <c r="AE46" s="352"/>
      <c r="AF46" s="352"/>
      <c r="AG46" s="352"/>
      <c r="AH46" s="108">
        <f t="shared" si="2"/>
        <v>0</v>
      </c>
      <c r="AI46" s="108" t="str">
        <f>IF('Sch2a-Imp Price by ECM'!C47="Yes", 0, 'Sch2a-Imp Price by ECM'!L47)</f>
        <v/>
      </c>
      <c r="AJ46" s="124" t="str">
        <f t="shared" si="3"/>
        <v/>
      </c>
      <c r="AK46" s="1" t="str">
        <f>IF('Sch2a-Imp Price by ECM'!M47="","",'Sch2a-Imp Price by ECM'!M47)</f>
        <v/>
      </c>
    </row>
    <row r="47" spans="1:37" ht="16.5" thickBot="1">
      <c r="A47" s="72" t="str">
        <f>IF('Sch2a-Imp Price by ECM'!B48="","",'Sch2a-Imp Price by ECM'!B48)</f>
        <v/>
      </c>
      <c r="B47" s="139" t="str">
        <f>IF('Sch2a-Imp Price by ECM'!D48="","",'Sch2a-Imp Price by ECM'!D48)</f>
        <v/>
      </c>
      <c r="C47" s="358" t="str">
        <f>IF('Sch2a-Imp Price by ECM'!G48="","",'Sch2a-Imp Price by ECM'!G48)</f>
        <v/>
      </c>
      <c r="D47" s="471"/>
      <c r="E47" s="350"/>
      <c r="F47" s="350"/>
      <c r="G47" s="350"/>
      <c r="H47" s="350"/>
      <c r="I47" s="242"/>
      <c r="J47" s="350"/>
      <c r="K47" s="350"/>
      <c r="L47" s="241"/>
      <c r="M47" s="241"/>
      <c r="N47" s="241"/>
      <c r="O47" s="235"/>
      <c r="P47" s="350"/>
      <c r="Q47" s="241"/>
      <c r="R47" s="351"/>
      <c r="S47" s="241"/>
      <c r="T47" s="351"/>
      <c r="U47" s="352"/>
      <c r="V47" s="351"/>
      <c r="W47" s="352"/>
      <c r="X47" s="383"/>
      <c r="Y47" s="352"/>
      <c r="Z47" s="349">
        <f t="shared" si="0"/>
        <v>0</v>
      </c>
      <c r="AA47" s="13">
        <f t="shared" si="1"/>
        <v>0</v>
      </c>
      <c r="AB47" s="351"/>
      <c r="AC47" s="352"/>
      <c r="AD47" s="351"/>
      <c r="AE47" s="352"/>
      <c r="AF47" s="352"/>
      <c r="AG47" s="352"/>
      <c r="AH47" s="108">
        <f t="shared" si="2"/>
        <v>0</v>
      </c>
      <c r="AI47" s="108" t="str">
        <f>IF('Sch2a-Imp Price by ECM'!C48="Yes", 0, 'Sch2a-Imp Price by ECM'!L48)</f>
        <v/>
      </c>
      <c r="AJ47" s="124" t="str">
        <f t="shared" si="3"/>
        <v/>
      </c>
      <c r="AK47" s="1" t="str">
        <f>IF('Sch2a-Imp Price by ECM'!M48="","",'Sch2a-Imp Price by ECM'!M48)</f>
        <v/>
      </c>
    </row>
    <row r="48" spans="1:37" ht="16.5" thickBot="1">
      <c r="A48" s="72" t="str">
        <f>IF('Sch2a-Imp Price by ECM'!B49="","",'Sch2a-Imp Price by ECM'!B49)</f>
        <v/>
      </c>
      <c r="B48" s="139" t="str">
        <f>IF('Sch2a-Imp Price by ECM'!D49="","",'Sch2a-Imp Price by ECM'!D49)</f>
        <v/>
      </c>
      <c r="C48" s="358" t="str">
        <f>IF('Sch2a-Imp Price by ECM'!G49="","",'Sch2a-Imp Price by ECM'!G49)</f>
        <v/>
      </c>
      <c r="D48" s="471"/>
      <c r="E48" s="350"/>
      <c r="F48" s="350"/>
      <c r="G48" s="350"/>
      <c r="H48" s="350"/>
      <c r="I48" s="242"/>
      <c r="J48" s="350"/>
      <c r="K48" s="350"/>
      <c r="L48" s="241"/>
      <c r="M48" s="241"/>
      <c r="N48" s="241"/>
      <c r="O48" s="235"/>
      <c r="P48" s="350"/>
      <c r="Q48" s="241"/>
      <c r="R48" s="351"/>
      <c r="S48" s="241"/>
      <c r="T48" s="351"/>
      <c r="U48" s="352"/>
      <c r="V48" s="351"/>
      <c r="W48" s="352"/>
      <c r="X48" s="383"/>
      <c r="Y48" s="352"/>
      <c r="Z48" s="349">
        <f t="shared" si="0"/>
        <v>0</v>
      </c>
      <c r="AA48" s="13">
        <f t="shared" si="1"/>
        <v>0</v>
      </c>
      <c r="AB48" s="351"/>
      <c r="AC48" s="352"/>
      <c r="AD48" s="351"/>
      <c r="AE48" s="352"/>
      <c r="AF48" s="352"/>
      <c r="AG48" s="352"/>
      <c r="AH48" s="108">
        <f t="shared" si="2"/>
        <v>0</v>
      </c>
      <c r="AI48" s="108" t="str">
        <f>IF('Sch2a-Imp Price by ECM'!C49="Yes", 0, 'Sch2a-Imp Price by ECM'!L49)</f>
        <v/>
      </c>
      <c r="AJ48" s="124" t="str">
        <f t="shared" si="3"/>
        <v/>
      </c>
      <c r="AK48" s="1" t="str">
        <f>IF('Sch2a-Imp Price by ECM'!M49="","",'Sch2a-Imp Price by ECM'!M49)</f>
        <v/>
      </c>
    </row>
    <row r="49" spans="1:37" ht="16.5" thickBot="1">
      <c r="A49" s="72" t="str">
        <f>IF('Sch2a-Imp Price by ECM'!B50="","",'Sch2a-Imp Price by ECM'!B50)</f>
        <v/>
      </c>
      <c r="B49" s="139" t="str">
        <f>IF('Sch2a-Imp Price by ECM'!D50="","",'Sch2a-Imp Price by ECM'!D50)</f>
        <v/>
      </c>
      <c r="C49" s="358" t="str">
        <f>IF('Sch2a-Imp Price by ECM'!G50="","",'Sch2a-Imp Price by ECM'!G50)</f>
        <v/>
      </c>
      <c r="D49" s="471"/>
      <c r="E49" s="350"/>
      <c r="F49" s="350"/>
      <c r="G49" s="350"/>
      <c r="H49" s="350"/>
      <c r="I49" s="242"/>
      <c r="J49" s="350"/>
      <c r="K49" s="350"/>
      <c r="L49" s="241"/>
      <c r="M49" s="241"/>
      <c r="N49" s="241"/>
      <c r="O49" s="235"/>
      <c r="P49" s="350"/>
      <c r="Q49" s="241"/>
      <c r="R49" s="351"/>
      <c r="S49" s="241"/>
      <c r="T49" s="351"/>
      <c r="U49" s="352"/>
      <c r="V49" s="351"/>
      <c r="W49" s="352"/>
      <c r="X49" s="383"/>
      <c r="Y49" s="352"/>
      <c r="Z49" s="349">
        <f t="shared" si="0"/>
        <v>0</v>
      </c>
      <c r="AA49" s="13">
        <f t="shared" si="1"/>
        <v>0</v>
      </c>
      <c r="AB49" s="351"/>
      <c r="AC49" s="352"/>
      <c r="AD49" s="351"/>
      <c r="AE49" s="352"/>
      <c r="AF49" s="352"/>
      <c r="AG49" s="352"/>
      <c r="AH49" s="108">
        <f t="shared" si="2"/>
        <v>0</v>
      </c>
      <c r="AI49" s="108" t="str">
        <f>IF('Sch2a-Imp Price by ECM'!C50="Yes", 0, 'Sch2a-Imp Price by ECM'!L50)</f>
        <v/>
      </c>
      <c r="AJ49" s="124" t="str">
        <f t="shared" si="3"/>
        <v/>
      </c>
      <c r="AK49" s="1" t="str">
        <f>IF('Sch2a-Imp Price by ECM'!M50="","",'Sch2a-Imp Price by ECM'!M50)</f>
        <v/>
      </c>
    </row>
    <row r="50" spans="1:37" ht="16.5" thickBot="1">
      <c r="A50" s="72" t="str">
        <f>IF('Sch2a-Imp Price by ECM'!B51="","",'Sch2a-Imp Price by ECM'!B51)</f>
        <v/>
      </c>
      <c r="B50" s="139" t="str">
        <f>IF('Sch2a-Imp Price by ECM'!D51="","",'Sch2a-Imp Price by ECM'!D51)</f>
        <v/>
      </c>
      <c r="C50" s="358" t="str">
        <f>IF('Sch2a-Imp Price by ECM'!G51="","",'Sch2a-Imp Price by ECM'!G51)</f>
        <v/>
      </c>
      <c r="D50" s="471"/>
      <c r="E50" s="350"/>
      <c r="F50" s="350"/>
      <c r="G50" s="350"/>
      <c r="H50" s="350"/>
      <c r="I50" s="242"/>
      <c r="J50" s="350"/>
      <c r="K50" s="350"/>
      <c r="L50" s="241"/>
      <c r="M50" s="241"/>
      <c r="N50" s="241"/>
      <c r="O50" s="235"/>
      <c r="P50" s="350"/>
      <c r="Q50" s="241"/>
      <c r="R50" s="351"/>
      <c r="S50" s="241"/>
      <c r="T50" s="351"/>
      <c r="U50" s="352"/>
      <c r="V50" s="351"/>
      <c r="W50" s="352"/>
      <c r="X50" s="383"/>
      <c r="Y50" s="352"/>
      <c r="Z50" s="349">
        <f t="shared" si="0"/>
        <v>0</v>
      </c>
      <c r="AA50" s="13">
        <f t="shared" si="1"/>
        <v>0</v>
      </c>
      <c r="AB50" s="351"/>
      <c r="AC50" s="352"/>
      <c r="AD50" s="351"/>
      <c r="AE50" s="352"/>
      <c r="AF50" s="352"/>
      <c r="AG50" s="352"/>
      <c r="AH50" s="108">
        <f t="shared" si="2"/>
        <v>0</v>
      </c>
      <c r="AI50" s="108" t="str">
        <f>IF('Sch2a-Imp Price by ECM'!C51="Yes", 0, 'Sch2a-Imp Price by ECM'!L51)</f>
        <v/>
      </c>
      <c r="AJ50" s="124" t="str">
        <f t="shared" si="3"/>
        <v/>
      </c>
      <c r="AK50" s="1" t="str">
        <f>IF('Sch2a-Imp Price by ECM'!M51="","",'Sch2a-Imp Price by ECM'!M51)</f>
        <v/>
      </c>
    </row>
    <row r="51" spans="1:37" ht="16.5" thickBot="1">
      <c r="A51" s="72" t="str">
        <f>IF('Sch2a-Imp Price by ECM'!B52="","",'Sch2a-Imp Price by ECM'!B52)</f>
        <v/>
      </c>
      <c r="B51" s="139" t="str">
        <f>IF('Sch2a-Imp Price by ECM'!D52="","",'Sch2a-Imp Price by ECM'!D52)</f>
        <v/>
      </c>
      <c r="C51" s="358" t="str">
        <f>IF('Sch2a-Imp Price by ECM'!G52="","",'Sch2a-Imp Price by ECM'!G52)</f>
        <v/>
      </c>
      <c r="D51" s="471"/>
      <c r="E51" s="350"/>
      <c r="F51" s="350"/>
      <c r="G51" s="350"/>
      <c r="H51" s="350"/>
      <c r="I51" s="242"/>
      <c r="J51" s="350"/>
      <c r="K51" s="350"/>
      <c r="L51" s="241"/>
      <c r="M51" s="241"/>
      <c r="N51" s="241"/>
      <c r="O51" s="242"/>
      <c r="P51" s="350"/>
      <c r="Q51" s="241"/>
      <c r="R51" s="351"/>
      <c r="S51" s="241"/>
      <c r="T51" s="351"/>
      <c r="U51" s="352"/>
      <c r="V51" s="351"/>
      <c r="W51" s="352"/>
      <c r="X51" s="383"/>
      <c r="Y51" s="352"/>
      <c r="Z51" s="349">
        <f t="shared" si="0"/>
        <v>0</v>
      </c>
      <c r="AA51" s="13">
        <f t="shared" si="1"/>
        <v>0</v>
      </c>
      <c r="AB51" s="351"/>
      <c r="AC51" s="352"/>
      <c r="AD51" s="351"/>
      <c r="AE51" s="352"/>
      <c r="AF51" s="352"/>
      <c r="AG51" s="352"/>
      <c r="AH51" s="108">
        <f t="shared" si="2"/>
        <v>0</v>
      </c>
      <c r="AI51" s="108" t="str">
        <f>IF('Sch2a-Imp Price by ECM'!C52="Yes", 0, 'Sch2a-Imp Price by ECM'!L52)</f>
        <v/>
      </c>
      <c r="AJ51" s="124" t="str">
        <f t="shared" si="3"/>
        <v/>
      </c>
      <c r="AK51" s="1" t="str">
        <f>IF('Sch2a-Imp Price by ECM'!M52="","",'Sch2a-Imp Price by ECM'!M52)</f>
        <v/>
      </c>
    </row>
    <row r="52" spans="1:37" ht="16.5" thickBot="1">
      <c r="A52" s="72" t="str">
        <f>IF('Sch2a-Imp Price by ECM'!B53="","",'Sch2a-Imp Price by ECM'!B53)</f>
        <v/>
      </c>
      <c r="B52" s="139" t="str">
        <f>IF('Sch2a-Imp Price by ECM'!D53="","",'Sch2a-Imp Price by ECM'!D53)</f>
        <v/>
      </c>
      <c r="C52" s="358" t="str">
        <f>IF('Sch2a-Imp Price by ECM'!G53="","",'Sch2a-Imp Price by ECM'!G53)</f>
        <v/>
      </c>
      <c r="D52" s="471"/>
      <c r="E52" s="350"/>
      <c r="F52" s="350"/>
      <c r="G52" s="350"/>
      <c r="H52" s="350"/>
      <c r="I52" s="242"/>
      <c r="J52" s="350"/>
      <c r="K52" s="350"/>
      <c r="L52" s="241"/>
      <c r="M52" s="241"/>
      <c r="N52" s="241"/>
      <c r="O52" s="242"/>
      <c r="P52" s="350"/>
      <c r="Q52" s="241"/>
      <c r="R52" s="351"/>
      <c r="S52" s="241"/>
      <c r="T52" s="351"/>
      <c r="U52" s="352"/>
      <c r="V52" s="351"/>
      <c r="W52" s="352"/>
      <c r="X52" s="383"/>
      <c r="Y52" s="352"/>
      <c r="Z52" s="349">
        <f t="shared" si="0"/>
        <v>0</v>
      </c>
      <c r="AA52" s="13">
        <f t="shared" si="1"/>
        <v>0</v>
      </c>
      <c r="AB52" s="351"/>
      <c r="AC52" s="352"/>
      <c r="AD52" s="351"/>
      <c r="AE52" s="352"/>
      <c r="AF52" s="352"/>
      <c r="AG52" s="352"/>
      <c r="AH52" s="108">
        <f t="shared" si="2"/>
        <v>0</v>
      </c>
      <c r="AI52" s="108" t="str">
        <f>IF('Sch2a-Imp Price by ECM'!C53="Yes", 0, 'Sch2a-Imp Price by ECM'!L53)</f>
        <v/>
      </c>
      <c r="AJ52" s="124" t="str">
        <f t="shared" si="3"/>
        <v/>
      </c>
      <c r="AK52" s="1" t="str">
        <f>IF('Sch2a-Imp Price by ECM'!M53="","",'Sch2a-Imp Price by ECM'!M53)</f>
        <v/>
      </c>
    </row>
    <row r="53" spans="1:37" ht="16.5" thickBot="1">
      <c r="A53" s="72" t="str">
        <f>IF('Sch2a-Imp Price by ECM'!B54="","",'Sch2a-Imp Price by ECM'!B54)</f>
        <v/>
      </c>
      <c r="B53" s="139" t="str">
        <f>IF('Sch2a-Imp Price by ECM'!D54="","",'Sch2a-Imp Price by ECM'!D54)</f>
        <v/>
      </c>
      <c r="C53" s="358" t="str">
        <f>IF('Sch2a-Imp Price by ECM'!G54="","",'Sch2a-Imp Price by ECM'!G54)</f>
        <v/>
      </c>
      <c r="D53" s="471"/>
      <c r="E53" s="350"/>
      <c r="F53" s="350"/>
      <c r="G53" s="350"/>
      <c r="H53" s="350"/>
      <c r="I53" s="242"/>
      <c r="J53" s="350"/>
      <c r="K53" s="350"/>
      <c r="L53" s="241"/>
      <c r="M53" s="241"/>
      <c r="N53" s="241"/>
      <c r="O53" s="242"/>
      <c r="P53" s="350"/>
      <c r="Q53" s="241"/>
      <c r="R53" s="351"/>
      <c r="S53" s="241"/>
      <c r="T53" s="351"/>
      <c r="U53" s="352"/>
      <c r="V53" s="351"/>
      <c r="W53" s="352"/>
      <c r="X53" s="383"/>
      <c r="Y53" s="352"/>
      <c r="Z53" s="349">
        <f t="shared" si="0"/>
        <v>0</v>
      </c>
      <c r="AA53" s="13">
        <f t="shared" si="1"/>
        <v>0</v>
      </c>
      <c r="AB53" s="351"/>
      <c r="AC53" s="352"/>
      <c r="AD53" s="351"/>
      <c r="AE53" s="352"/>
      <c r="AF53" s="352"/>
      <c r="AG53" s="352"/>
      <c r="AH53" s="108">
        <f t="shared" si="2"/>
        <v>0</v>
      </c>
      <c r="AI53" s="108" t="str">
        <f>IF('Sch2a-Imp Price by ECM'!C54="Yes", 0, 'Sch2a-Imp Price by ECM'!L54)</f>
        <v/>
      </c>
      <c r="AJ53" s="124" t="str">
        <f t="shared" si="3"/>
        <v/>
      </c>
      <c r="AK53" s="1" t="str">
        <f>IF('Sch2a-Imp Price by ECM'!M54="","",'Sch2a-Imp Price by ECM'!M54)</f>
        <v/>
      </c>
    </row>
    <row r="54" spans="1:37" ht="16.5" thickBot="1">
      <c r="A54" s="72" t="str">
        <f>IF('Sch2a-Imp Price by ECM'!B55="","",'Sch2a-Imp Price by ECM'!B55)</f>
        <v/>
      </c>
      <c r="B54" s="139" t="str">
        <f>IF('Sch2a-Imp Price by ECM'!D55="","",'Sch2a-Imp Price by ECM'!D55)</f>
        <v/>
      </c>
      <c r="C54" s="358" t="str">
        <f>IF('Sch2a-Imp Price by ECM'!G55="","",'Sch2a-Imp Price by ECM'!G55)</f>
        <v/>
      </c>
      <c r="D54" s="471"/>
      <c r="E54" s="350"/>
      <c r="F54" s="350"/>
      <c r="G54" s="350"/>
      <c r="H54" s="350"/>
      <c r="I54" s="242"/>
      <c r="J54" s="350"/>
      <c r="K54" s="350"/>
      <c r="L54" s="241"/>
      <c r="M54" s="241"/>
      <c r="N54" s="241"/>
      <c r="O54" s="242"/>
      <c r="P54" s="350"/>
      <c r="Q54" s="241"/>
      <c r="R54" s="351"/>
      <c r="S54" s="241"/>
      <c r="T54" s="351"/>
      <c r="U54" s="352"/>
      <c r="V54" s="351"/>
      <c r="W54" s="352"/>
      <c r="X54" s="383"/>
      <c r="Y54" s="352"/>
      <c r="Z54" s="349">
        <f t="shared" si="0"/>
        <v>0</v>
      </c>
      <c r="AA54" s="13">
        <f t="shared" si="1"/>
        <v>0</v>
      </c>
      <c r="AB54" s="351"/>
      <c r="AC54" s="352"/>
      <c r="AD54" s="351"/>
      <c r="AE54" s="352"/>
      <c r="AF54" s="352"/>
      <c r="AG54" s="352"/>
      <c r="AH54" s="108">
        <f t="shared" si="2"/>
        <v>0</v>
      </c>
      <c r="AI54" s="108" t="str">
        <f>IF('Sch2a-Imp Price by ECM'!C55="Yes", 0, 'Sch2a-Imp Price by ECM'!L55)</f>
        <v/>
      </c>
      <c r="AJ54" s="124" t="str">
        <f t="shared" si="3"/>
        <v/>
      </c>
      <c r="AK54" s="1" t="str">
        <f>IF('Sch2a-Imp Price by ECM'!M55="","",'Sch2a-Imp Price by ECM'!M55)</f>
        <v/>
      </c>
    </row>
    <row r="55" spans="1:37" ht="18" customHeight="1" thickBot="1">
      <c r="A55" s="72" t="str">
        <f>IF('Sch2a-Imp Price by ECM'!B56="","",'Sch2a-Imp Price by ECM'!B56)</f>
        <v/>
      </c>
      <c r="B55" s="139" t="str">
        <f>IF('Sch2a-Imp Price by ECM'!D56="","",'Sch2a-Imp Price by ECM'!D56)</f>
        <v/>
      </c>
      <c r="C55" s="358" t="str">
        <f>IF('Sch2a-Imp Price by ECM'!G56="","",'Sch2a-Imp Price by ECM'!G56)</f>
        <v/>
      </c>
      <c r="D55" s="471"/>
      <c r="E55" s="350"/>
      <c r="F55" s="350"/>
      <c r="G55" s="350"/>
      <c r="H55" s="350"/>
      <c r="I55" s="242"/>
      <c r="J55" s="350"/>
      <c r="K55" s="350"/>
      <c r="L55" s="241"/>
      <c r="M55" s="241"/>
      <c r="N55" s="241"/>
      <c r="O55" s="242"/>
      <c r="P55" s="350"/>
      <c r="Q55" s="241"/>
      <c r="R55" s="351"/>
      <c r="S55" s="241"/>
      <c r="T55" s="351"/>
      <c r="U55" s="352"/>
      <c r="V55" s="351"/>
      <c r="W55" s="352"/>
      <c r="X55" s="383"/>
      <c r="Y55" s="352"/>
      <c r="Z55" s="349">
        <f t="shared" si="0"/>
        <v>0</v>
      </c>
      <c r="AA55" s="13">
        <f t="shared" si="1"/>
        <v>0</v>
      </c>
      <c r="AB55" s="351"/>
      <c r="AC55" s="352"/>
      <c r="AD55" s="351"/>
      <c r="AE55" s="352"/>
      <c r="AF55" s="352"/>
      <c r="AG55" s="352"/>
      <c r="AH55" s="108">
        <f t="shared" si="2"/>
        <v>0</v>
      </c>
      <c r="AI55" s="108" t="str">
        <f>IF('Sch2a-Imp Price by ECM'!C56="Yes", 0, 'Sch2a-Imp Price by ECM'!L56)</f>
        <v/>
      </c>
      <c r="AJ55" s="124" t="str">
        <f t="shared" si="3"/>
        <v/>
      </c>
      <c r="AK55" s="1" t="str">
        <f>IF('Sch2a-Imp Price by ECM'!M56="","",'Sch2a-Imp Price by ECM'!M56)</f>
        <v/>
      </c>
    </row>
    <row r="56" spans="1:37" ht="16.5" thickBot="1">
      <c r="A56" s="72" t="str">
        <f>IF('Sch2a-Imp Price by ECM'!B57="","",'Sch2a-Imp Price by ECM'!B57)</f>
        <v/>
      </c>
      <c r="B56" s="139" t="str">
        <f>IF('Sch2a-Imp Price by ECM'!D57="","",'Sch2a-Imp Price by ECM'!D57)</f>
        <v/>
      </c>
      <c r="C56" s="358" t="str">
        <f>IF('Sch2a-Imp Price by ECM'!G57="","",'Sch2a-Imp Price by ECM'!G57)</f>
        <v/>
      </c>
      <c r="D56" s="471"/>
      <c r="E56" s="350"/>
      <c r="F56" s="350"/>
      <c r="G56" s="350"/>
      <c r="H56" s="350"/>
      <c r="I56" s="242"/>
      <c r="J56" s="350"/>
      <c r="K56" s="350"/>
      <c r="L56" s="241"/>
      <c r="M56" s="241"/>
      <c r="N56" s="241"/>
      <c r="O56" s="242"/>
      <c r="P56" s="350"/>
      <c r="Q56" s="241"/>
      <c r="R56" s="351"/>
      <c r="S56" s="241"/>
      <c r="T56" s="351"/>
      <c r="U56" s="352"/>
      <c r="V56" s="351"/>
      <c r="W56" s="352"/>
      <c r="X56" s="383"/>
      <c r="Y56" s="352"/>
      <c r="Z56" s="349">
        <f t="shared" si="0"/>
        <v>0</v>
      </c>
      <c r="AA56" s="13">
        <f t="shared" si="1"/>
        <v>0</v>
      </c>
      <c r="AB56" s="351"/>
      <c r="AC56" s="352"/>
      <c r="AD56" s="351"/>
      <c r="AE56" s="352"/>
      <c r="AF56" s="352"/>
      <c r="AG56" s="352"/>
      <c r="AH56" s="108">
        <f t="shared" si="2"/>
        <v>0</v>
      </c>
      <c r="AI56" s="108" t="str">
        <f>IF('Sch2a-Imp Price by ECM'!C57="Yes", 0, 'Sch2a-Imp Price by ECM'!L57)</f>
        <v/>
      </c>
      <c r="AJ56" s="124" t="str">
        <f t="shared" si="3"/>
        <v/>
      </c>
      <c r="AK56" s="1" t="str">
        <f>IF('Sch2a-Imp Price by ECM'!M57="","",'Sch2a-Imp Price by ECM'!M57)</f>
        <v/>
      </c>
    </row>
    <row r="57" spans="1:37" ht="16.5" thickBot="1">
      <c r="A57" s="72" t="str">
        <f>IF('Sch2a-Imp Price by ECM'!B58="","",'Sch2a-Imp Price by ECM'!B58)</f>
        <v/>
      </c>
      <c r="B57" s="139" t="str">
        <f>IF('Sch2a-Imp Price by ECM'!D58="","",'Sch2a-Imp Price by ECM'!D58)</f>
        <v/>
      </c>
      <c r="C57" s="358" t="str">
        <f>IF('Sch2a-Imp Price by ECM'!G58="","",'Sch2a-Imp Price by ECM'!G58)</f>
        <v/>
      </c>
      <c r="D57" s="471"/>
      <c r="E57" s="350"/>
      <c r="F57" s="350"/>
      <c r="G57" s="350"/>
      <c r="H57" s="350"/>
      <c r="I57" s="242"/>
      <c r="J57" s="350"/>
      <c r="K57" s="350"/>
      <c r="L57" s="241"/>
      <c r="M57" s="241"/>
      <c r="N57" s="241"/>
      <c r="O57" s="242"/>
      <c r="P57" s="350"/>
      <c r="Q57" s="241"/>
      <c r="R57" s="351"/>
      <c r="S57" s="241"/>
      <c r="T57" s="351"/>
      <c r="U57" s="352"/>
      <c r="V57" s="351"/>
      <c r="W57" s="352"/>
      <c r="X57" s="383"/>
      <c r="Y57" s="352"/>
      <c r="Z57" s="349">
        <f t="shared" si="0"/>
        <v>0</v>
      </c>
      <c r="AA57" s="13">
        <f t="shared" si="1"/>
        <v>0</v>
      </c>
      <c r="AB57" s="351"/>
      <c r="AC57" s="352"/>
      <c r="AD57" s="351"/>
      <c r="AE57" s="352"/>
      <c r="AF57" s="352"/>
      <c r="AG57" s="352"/>
      <c r="AH57" s="108">
        <f t="shared" si="2"/>
        <v>0</v>
      </c>
      <c r="AI57" s="108" t="str">
        <f>IF('Sch2a-Imp Price by ECM'!C58="Yes", 0, 'Sch2a-Imp Price by ECM'!L58)</f>
        <v/>
      </c>
      <c r="AJ57" s="124" t="str">
        <f t="shared" si="3"/>
        <v/>
      </c>
      <c r="AK57" s="1" t="str">
        <f>IF('Sch2a-Imp Price by ECM'!M58="","",'Sch2a-Imp Price by ECM'!M58)</f>
        <v/>
      </c>
    </row>
    <row r="58" spans="1:37" ht="16.5" thickBot="1">
      <c r="A58" s="72" t="str">
        <f>IF('Sch2a-Imp Price by ECM'!B59="","",'Sch2a-Imp Price by ECM'!B59)</f>
        <v/>
      </c>
      <c r="B58" s="139" t="str">
        <f>IF('Sch2a-Imp Price by ECM'!D59="","",'Sch2a-Imp Price by ECM'!D59)</f>
        <v/>
      </c>
      <c r="C58" s="358" t="str">
        <f>IF('Sch2a-Imp Price by ECM'!G59="","",'Sch2a-Imp Price by ECM'!G59)</f>
        <v/>
      </c>
      <c r="D58" s="471"/>
      <c r="E58" s="350"/>
      <c r="F58" s="350"/>
      <c r="G58" s="350"/>
      <c r="H58" s="350"/>
      <c r="I58" s="242"/>
      <c r="J58" s="350"/>
      <c r="K58" s="350"/>
      <c r="L58" s="241"/>
      <c r="M58" s="241"/>
      <c r="N58" s="241"/>
      <c r="O58" s="235"/>
      <c r="P58" s="350"/>
      <c r="Q58" s="241"/>
      <c r="R58" s="351"/>
      <c r="S58" s="241"/>
      <c r="T58" s="351"/>
      <c r="U58" s="352"/>
      <c r="V58" s="351"/>
      <c r="W58" s="352"/>
      <c r="X58" s="383"/>
      <c r="Y58" s="352"/>
      <c r="Z58" s="349">
        <f t="shared" si="0"/>
        <v>0</v>
      </c>
      <c r="AA58" s="13">
        <f t="shared" si="1"/>
        <v>0</v>
      </c>
      <c r="AB58" s="351"/>
      <c r="AC58" s="352"/>
      <c r="AD58" s="351"/>
      <c r="AE58" s="352"/>
      <c r="AF58" s="352"/>
      <c r="AG58" s="352"/>
      <c r="AH58" s="108">
        <f t="shared" si="2"/>
        <v>0</v>
      </c>
      <c r="AI58" s="108" t="str">
        <f>IF('Sch2a-Imp Price by ECM'!C59="Yes", 0, 'Sch2a-Imp Price by ECM'!L59)</f>
        <v/>
      </c>
      <c r="AJ58" s="124" t="str">
        <f t="shared" si="3"/>
        <v/>
      </c>
      <c r="AK58" s="1" t="str">
        <f>IF('Sch2a-Imp Price by ECM'!M59="","",'Sch2a-Imp Price by ECM'!M59)</f>
        <v/>
      </c>
    </row>
    <row r="59" spans="1:37" ht="16.5" thickBot="1">
      <c r="A59" s="72" t="str">
        <f>IF('Sch2a-Imp Price by ECM'!B60="","",'Sch2a-Imp Price by ECM'!B60)</f>
        <v/>
      </c>
      <c r="B59" s="139" t="str">
        <f>IF('Sch2a-Imp Price by ECM'!D60="","",'Sch2a-Imp Price by ECM'!D60)</f>
        <v/>
      </c>
      <c r="C59" s="358" t="str">
        <f>IF('Sch2a-Imp Price by ECM'!G60="","",'Sch2a-Imp Price by ECM'!G60)</f>
        <v/>
      </c>
      <c r="D59" s="471"/>
      <c r="E59" s="350"/>
      <c r="F59" s="350"/>
      <c r="G59" s="350"/>
      <c r="H59" s="350"/>
      <c r="I59" s="242"/>
      <c r="J59" s="350"/>
      <c r="K59" s="350"/>
      <c r="L59" s="241"/>
      <c r="M59" s="241"/>
      <c r="N59" s="241"/>
      <c r="O59" s="235"/>
      <c r="P59" s="350"/>
      <c r="Q59" s="241"/>
      <c r="R59" s="351"/>
      <c r="S59" s="241"/>
      <c r="T59" s="351"/>
      <c r="U59" s="352"/>
      <c r="V59" s="351"/>
      <c r="W59" s="352"/>
      <c r="X59" s="383"/>
      <c r="Y59" s="352"/>
      <c r="Z59" s="349">
        <f t="shared" si="0"/>
        <v>0</v>
      </c>
      <c r="AA59" s="13">
        <f t="shared" si="1"/>
        <v>0</v>
      </c>
      <c r="AB59" s="351"/>
      <c r="AC59" s="352"/>
      <c r="AD59" s="351"/>
      <c r="AE59" s="352"/>
      <c r="AF59" s="352"/>
      <c r="AG59" s="352"/>
      <c r="AH59" s="108">
        <f t="shared" si="2"/>
        <v>0</v>
      </c>
      <c r="AI59" s="108" t="str">
        <f>IF('Sch2a-Imp Price by ECM'!C60="Yes", 0, 'Sch2a-Imp Price by ECM'!L60)</f>
        <v/>
      </c>
      <c r="AJ59" s="124" t="str">
        <f t="shared" si="3"/>
        <v/>
      </c>
      <c r="AK59" s="1" t="str">
        <f>IF('Sch2a-Imp Price by ECM'!M60="","",'Sch2a-Imp Price by ECM'!M60)</f>
        <v/>
      </c>
    </row>
    <row r="60" spans="1:37" ht="16.5" thickBot="1">
      <c r="A60" s="72" t="str">
        <f>IF('Sch2a-Imp Price by ECM'!B61="","",'Sch2a-Imp Price by ECM'!B61)</f>
        <v/>
      </c>
      <c r="B60" s="139" t="str">
        <f>IF('Sch2a-Imp Price by ECM'!D61="","",'Sch2a-Imp Price by ECM'!D61)</f>
        <v/>
      </c>
      <c r="C60" s="358" t="str">
        <f>IF('Sch2a-Imp Price by ECM'!G61="","",'Sch2a-Imp Price by ECM'!G61)</f>
        <v/>
      </c>
      <c r="D60" s="471"/>
      <c r="E60" s="350"/>
      <c r="F60" s="350"/>
      <c r="G60" s="350"/>
      <c r="H60" s="350"/>
      <c r="I60" s="242"/>
      <c r="J60" s="350"/>
      <c r="K60" s="350"/>
      <c r="L60" s="241"/>
      <c r="M60" s="241"/>
      <c r="N60" s="241"/>
      <c r="O60" s="235"/>
      <c r="P60" s="350"/>
      <c r="Q60" s="241"/>
      <c r="R60" s="351"/>
      <c r="S60" s="241"/>
      <c r="T60" s="351"/>
      <c r="U60" s="352"/>
      <c r="V60" s="351"/>
      <c r="W60" s="352"/>
      <c r="X60" s="383"/>
      <c r="Y60" s="352"/>
      <c r="Z60" s="349">
        <f t="shared" si="0"/>
        <v>0</v>
      </c>
      <c r="AA60" s="13">
        <f t="shared" si="1"/>
        <v>0</v>
      </c>
      <c r="AB60" s="351"/>
      <c r="AC60" s="352"/>
      <c r="AD60" s="351"/>
      <c r="AE60" s="352"/>
      <c r="AF60" s="352"/>
      <c r="AG60" s="352"/>
      <c r="AH60" s="108">
        <f t="shared" si="2"/>
        <v>0</v>
      </c>
      <c r="AI60" s="108" t="str">
        <f>IF('Sch2a-Imp Price by ECM'!C61="Yes", 0, 'Sch2a-Imp Price by ECM'!L61)</f>
        <v/>
      </c>
      <c r="AJ60" s="124" t="str">
        <f t="shared" si="3"/>
        <v/>
      </c>
      <c r="AK60" s="1" t="str">
        <f>IF('Sch2a-Imp Price by ECM'!M61="","",'Sch2a-Imp Price by ECM'!M61)</f>
        <v/>
      </c>
    </row>
    <row r="61" spans="1:37" ht="16.5" thickBot="1">
      <c r="A61" s="72" t="str">
        <f>IF('Sch2a-Imp Price by ECM'!B62="","",'Sch2a-Imp Price by ECM'!B62)</f>
        <v/>
      </c>
      <c r="B61" s="139" t="str">
        <f>IF('Sch2a-Imp Price by ECM'!D62="","",'Sch2a-Imp Price by ECM'!D62)</f>
        <v/>
      </c>
      <c r="C61" s="358" t="str">
        <f>IF('Sch2a-Imp Price by ECM'!G62="","",'Sch2a-Imp Price by ECM'!G62)</f>
        <v/>
      </c>
      <c r="D61" s="471"/>
      <c r="E61" s="350"/>
      <c r="F61" s="350"/>
      <c r="G61" s="350"/>
      <c r="H61" s="350"/>
      <c r="I61" s="242"/>
      <c r="J61" s="350"/>
      <c r="K61" s="350"/>
      <c r="L61" s="241"/>
      <c r="M61" s="241"/>
      <c r="N61" s="241"/>
      <c r="O61" s="235"/>
      <c r="P61" s="350"/>
      <c r="Q61" s="241"/>
      <c r="R61" s="351"/>
      <c r="S61" s="241"/>
      <c r="T61" s="351"/>
      <c r="U61" s="352"/>
      <c r="V61" s="351"/>
      <c r="W61" s="352"/>
      <c r="X61" s="383"/>
      <c r="Y61" s="352"/>
      <c r="Z61" s="349">
        <f t="shared" si="0"/>
        <v>0</v>
      </c>
      <c r="AA61" s="13">
        <f t="shared" si="1"/>
        <v>0</v>
      </c>
      <c r="AB61" s="351"/>
      <c r="AC61" s="352"/>
      <c r="AD61" s="351"/>
      <c r="AE61" s="352"/>
      <c r="AF61" s="352"/>
      <c r="AG61" s="352"/>
      <c r="AH61" s="108">
        <f t="shared" si="2"/>
        <v>0</v>
      </c>
      <c r="AI61" s="108" t="str">
        <f>IF('Sch2a-Imp Price by ECM'!C62="Yes", 0, 'Sch2a-Imp Price by ECM'!L62)</f>
        <v/>
      </c>
      <c r="AJ61" s="124" t="str">
        <f t="shared" si="3"/>
        <v/>
      </c>
      <c r="AK61" s="1" t="str">
        <f>IF('Sch2a-Imp Price by ECM'!M62="","",'Sch2a-Imp Price by ECM'!M62)</f>
        <v/>
      </c>
    </row>
    <row r="62" spans="1:37" ht="16.5" thickBot="1">
      <c r="A62" s="72" t="str">
        <f>IF('Sch2a-Imp Price by ECM'!B63="","",'Sch2a-Imp Price by ECM'!B63)</f>
        <v/>
      </c>
      <c r="B62" s="139" t="str">
        <f>IF('Sch2a-Imp Price by ECM'!D63="","",'Sch2a-Imp Price by ECM'!D63)</f>
        <v/>
      </c>
      <c r="C62" s="358" t="str">
        <f>IF('Sch2a-Imp Price by ECM'!G63="","",'Sch2a-Imp Price by ECM'!G63)</f>
        <v/>
      </c>
      <c r="D62" s="471"/>
      <c r="E62" s="350"/>
      <c r="F62" s="350"/>
      <c r="G62" s="350"/>
      <c r="H62" s="350"/>
      <c r="I62" s="242"/>
      <c r="J62" s="350"/>
      <c r="K62" s="350"/>
      <c r="L62" s="241"/>
      <c r="M62" s="241"/>
      <c r="N62" s="241"/>
      <c r="O62" s="235"/>
      <c r="P62" s="350"/>
      <c r="Q62" s="241"/>
      <c r="R62" s="351"/>
      <c r="S62" s="241"/>
      <c r="T62" s="351"/>
      <c r="U62" s="352"/>
      <c r="V62" s="351"/>
      <c r="W62" s="352"/>
      <c r="X62" s="383"/>
      <c r="Y62" s="352"/>
      <c r="Z62" s="349">
        <f t="shared" si="0"/>
        <v>0</v>
      </c>
      <c r="AA62" s="13">
        <f t="shared" si="1"/>
        <v>0</v>
      </c>
      <c r="AB62" s="351"/>
      <c r="AC62" s="352"/>
      <c r="AD62" s="351"/>
      <c r="AE62" s="352"/>
      <c r="AF62" s="352"/>
      <c r="AG62" s="352"/>
      <c r="AH62" s="108">
        <f t="shared" si="2"/>
        <v>0</v>
      </c>
      <c r="AI62" s="108" t="str">
        <f>IF('Sch2a-Imp Price by ECM'!C63="Yes", 0, 'Sch2a-Imp Price by ECM'!L63)</f>
        <v/>
      </c>
      <c r="AJ62" s="124" t="str">
        <f t="shared" si="3"/>
        <v/>
      </c>
      <c r="AK62" s="1" t="str">
        <f>IF('Sch2a-Imp Price by ECM'!M63="","",'Sch2a-Imp Price by ECM'!M63)</f>
        <v/>
      </c>
    </row>
    <row r="63" spans="1:37" ht="16.5" thickBot="1">
      <c r="A63" s="72" t="str">
        <f>IF('Sch2a-Imp Price by ECM'!B64="","",'Sch2a-Imp Price by ECM'!B64)</f>
        <v/>
      </c>
      <c r="B63" s="139" t="str">
        <f>IF('Sch2a-Imp Price by ECM'!D64="","",'Sch2a-Imp Price by ECM'!D64)</f>
        <v/>
      </c>
      <c r="C63" s="358" t="str">
        <f>IF('Sch2a-Imp Price by ECM'!G64="","",'Sch2a-Imp Price by ECM'!G64)</f>
        <v/>
      </c>
      <c r="D63" s="471"/>
      <c r="E63" s="350"/>
      <c r="F63" s="350"/>
      <c r="G63" s="350"/>
      <c r="H63" s="350"/>
      <c r="I63" s="242"/>
      <c r="J63" s="350"/>
      <c r="K63" s="350"/>
      <c r="L63" s="241"/>
      <c r="M63" s="241"/>
      <c r="N63" s="241"/>
      <c r="O63" s="235"/>
      <c r="P63" s="350"/>
      <c r="Q63" s="241"/>
      <c r="R63" s="351"/>
      <c r="S63" s="241"/>
      <c r="T63" s="351"/>
      <c r="U63" s="352"/>
      <c r="V63" s="351"/>
      <c r="W63" s="352"/>
      <c r="X63" s="383"/>
      <c r="Y63" s="352"/>
      <c r="Z63" s="349">
        <f t="shared" si="0"/>
        <v>0</v>
      </c>
      <c r="AA63" s="13">
        <f t="shared" si="1"/>
        <v>0</v>
      </c>
      <c r="AB63" s="351"/>
      <c r="AC63" s="352"/>
      <c r="AD63" s="351"/>
      <c r="AE63" s="352"/>
      <c r="AF63" s="352"/>
      <c r="AG63" s="352"/>
      <c r="AH63" s="108">
        <f t="shared" si="2"/>
        <v>0</v>
      </c>
      <c r="AI63" s="108" t="str">
        <f>IF('Sch2a-Imp Price by ECM'!C64="Yes", 0, 'Sch2a-Imp Price by ECM'!L64)</f>
        <v/>
      </c>
      <c r="AJ63" s="124" t="str">
        <f t="shared" si="3"/>
        <v/>
      </c>
      <c r="AK63" s="1" t="str">
        <f>IF('Sch2a-Imp Price by ECM'!M64="","",'Sch2a-Imp Price by ECM'!M64)</f>
        <v/>
      </c>
    </row>
    <row r="64" spans="1:37" ht="16.5" thickBot="1">
      <c r="A64" s="72" t="str">
        <f>IF('Sch2a-Imp Price by ECM'!B65="","",'Sch2a-Imp Price by ECM'!B65)</f>
        <v/>
      </c>
      <c r="B64" s="139" t="str">
        <f>IF('Sch2a-Imp Price by ECM'!D65="","",'Sch2a-Imp Price by ECM'!D65)</f>
        <v/>
      </c>
      <c r="C64" s="358" t="str">
        <f>IF('Sch2a-Imp Price by ECM'!G65="","",'Sch2a-Imp Price by ECM'!G65)</f>
        <v/>
      </c>
      <c r="D64" s="471"/>
      <c r="E64" s="350"/>
      <c r="F64" s="350"/>
      <c r="G64" s="350"/>
      <c r="H64" s="350"/>
      <c r="I64" s="242"/>
      <c r="J64" s="350"/>
      <c r="K64" s="350"/>
      <c r="L64" s="241"/>
      <c r="M64" s="241"/>
      <c r="N64" s="241"/>
      <c r="O64" s="235"/>
      <c r="P64" s="350"/>
      <c r="Q64" s="241"/>
      <c r="R64" s="351"/>
      <c r="S64" s="241"/>
      <c r="T64" s="351"/>
      <c r="U64" s="352"/>
      <c r="V64" s="351"/>
      <c r="W64" s="352"/>
      <c r="X64" s="383"/>
      <c r="Y64" s="352"/>
      <c r="Z64" s="349">
        <f t="shared" si="0"/>
        <v>0</v>
      </c>
      <c r="AA64" s="13">
        <f t="shared" si="1"/>
        <v>0</v>
      </c>
      <c r="AB64" s="351"/>
      <c r="AC64" s="352"/>
      <c r="AD64" s="351"/>
      <c r="AE64" s="352"/>
      <c r="AF64" s="352"/>
      <c r="AG64" s="352"/>
      <c r="AH64" s="108">
        <f t="shared" si="2"/>
        <v>0</v>
      </c>
      <c r="AI64" s="108" t="str">
        <f>IF('Sch2a-Imp Price by ECM'!C65="Yes", 0, 'Sch2a-Imp Price by ECM'!L65)</f>
        <v/>
      </c>
      <c r="AJ64" s="124" t="str">
        <f t="shared" si="3"/>
        <v/>
      </c>
      <c r="AK64" s="1" t="str">
        <f>IF('Sch2a-Imp Price by ECM'!M65="","",'Sch2a-Imp Price by ECM'!M65)</f>
        <v/>
      </c>
    </row>
    <row r="65" spans="1:37" ht="16.5" thickBot="1">
      <c r="A65" s="72" t="str">
        <f>IF('Sch2a-Imp Price by ECM'!B66="","",'Sch2a-Imp Price by ECM'!B66)</f>
        <v/>
      </c>
      <c r="B65" s="139" t="str">
        <f>IF('Sch2a-Imp Price by ECM'!D66="","",'Sch2a-Imp Price by ECM'!D66)</f>
        <v/>
      </c>
      <c r="C65" s="358" t="str">
        <f>IF('Sch2a-Imp Price by ECM'!G66="","",'Sch2a-Imp Price by ECM'!G66)</f>
        <v/>
      </c>
      <c r="D65" s="471"/>
      <c r="E65" s="350"/>
      <c r="F65" s="350"/>
      <c r="G65" s="350"/>
      <c r="H65" s="350"/>
      <c r="I65" s="242"/>
      <c r="J65" s="350"/>
      <c r="K65" s="350"/>
      <c r="L65" s="241"/>
      <c r="M65" s="241"/>
      <c r="N65" s="241"/>
      <c r="O65" s="235"/>
      <c r="P65" s="350"/>
      <c r="Q65" s="241"/>
      <c r="R65" s="351"/>
      <c r="S65" s="241"/>
      <c r="T65" s="351"/>
      <c r="U65" s="352"/>
      <c r="V65" s="351"/>
      <c r="W65" s="352"/>
      <c r="X65" s="383"/>
      <c r="Y65" s="352"/>
      <c r="Z65" s="349">
        <f t="shared" si="0"/>
        <v>0</v>
      </c>
      <c r="AA65" s="13">
        <f t="shared" si="1"/>
        <v>0</v>
      </c>
      <c r="AB65" s="351"/>
      <c r="AC65" s="352"/>
      <c r="AD65" s="351"/>
      <c r="AE65" s="352"/>
      <c r="AF65" s="352"/>
      <c r="AG65" s="352"/>
      <c r="AH65" s="108">
        <f t="shared" si="2"/>
        <v>0</v>
      </c>
      <c r="AI65" s="108" t="str">
        <f>IF('Sch2a-Imp Price by ECM'!C66="Yes", 0, 'Sch2a-Imp Price by ECM'!L66)</f>
        <v/>
      </c>
      <c r="AJ65" s="124" t="str">
        <f t="shared" si="3"/>
        <v/>
      </c>
      <c r="AK65" s="1" t="str">
        <f>IF('Sch2a-Imp Price by ECM'!M66="","",'Sch2a-Imp Price by ECM'!M66)</f>
        <v/>
      </c>
    </row>
    <row r="66" spans="1:37" ht="16.5" thickBot="1">
      <c r="A66" s="72" t="str">
        <f>IF('Sch2a-Imp Price by ECM'!B67="","",'Sch2a-Imp Price by ECM'!B67)</f>
        <v/>
      </c>
      <c r="B66" s="139" t="str">
        <f>IF('Sch2a-Imp Price by ECM'!D67="","",'Sch2a-Imp Price by ECM'!D67)</f>
        <v/>
      </c>
      <c r="C66" s="358" t="str">
        <f>IF('Sch2a-Imp Price by ECM'!G67="","",'Sch2a-Imp Price by ECM'!G67)</f>
        <v/>
      </c>
      <c r="D66" s="471"/>
      <c r="E66" s="350"/>
      <c r="F66" s="350"/>
      <c r="G66" s="350"/>
      <c r="H66" s="350"/>
      <c r="I66" s="242"/>
      <c r="J66" s="350"/>
      <c r="K66" s="350"/>
      <c r="L66" s="241"/>
      <c r="M66" s="241"/>
      <c r="N66" s="241"/>
      <c r="O66" s="235"/>
      <c r="P66" s="350"/>
      <c r="Q66" s="241"/>
      <c r="R66" s="351"/>
      <c r="S66" s="241"/>
      <c r="T66" s="351"/>
      <c r="U66" s="352"/>
      <c r="V66" s="351"/>
      <c r="W66" s="352"/>
      <c r="X66" s="383"/>
      <c r="Y66" s="352"/>
      <c r="Z66" s="349">
        <f t="shared" si="0"/>
        <v>0</v>
      </c>
      <c r="AA66" s="13">
        <f t="shared" si="1"/>
        <v>0</v>
      </c>
      <c r="AB66" s="351"/>
      <c r="AC66" s="352"/>
      <c r="AD66" s="351"/>
      <c r="AE66" s="352"/>
      <c r="AF66" s="352"/>
      <c r="AG66" s="352"/>
      <c r="AH66" s="108">
        <f t="shared" si="2"/>
        <v>0</v>
      </c>
      <c r="AI66" s="108" t="str">
        <f>IF('Sch2a-Imp Price by ECM'!C67="Yes", 0, 'Sch2a-Imp Price by ECM'!L67)</f>
        <v/>
      </c>
      <c r="AJ66" s="124" t="str">
        <f t="shared" si="3"/>
        <v/>
      </c>
      <c r="AK66" s="1" t="str">
        <f>IF('Sch2a-Imp Price by ECM'!M67="","",'Sch2a-Imp Price by ECM'!M67)</f>
        <v/>
      </c>
    </row>
    <row r="67" spans="1:37" ht="16.5" thickBot="1">
      <c r="A67" s="72" t="str">
        <f>IF('Sch2a-Imp Price by ECM'!B68="","",'Sch2a-Imp Price by ECM'!B68)</f>
        <v/>
      </c>
      <c r="B67" s="139" t="str">
        <f>IF('Sch2a-Imp Price by ECM'!D68="","",'Sch2a-Imp Price by ECM'!D68)</f>
        <v/>
      </c>
      <c r="C67" s="358" t="str">
        <f>IF('Sch2a-Imp Price by ECM'!G68="","",'Sch2a-Imp Price by ECM'!G68)</f>
        <v/>
      </c>
      <c r="D67" s="471"/>
      <c r="E67" s="350"/>
      <c r="F67" s="350"/>
      <c r="G67" s="350"/>
      <c r="H67" s="350"/>
      <c r="I67" s="242"/>
      <c r="J67" s="350"/>
      <c r="K67" s="350"/>
      <c r="L67" s="241"/>
      <c r="M67" s="241"/>
      <c r="N67" s="241"/>
      <c r="O67" s="235"/>
      <c r="P67" s="350"/>
      <c r="Q67" s="241"/>
      <c r="R67" s="351"/>
      <c r="S67" s="241"/>
      <c r="T67" s="351"/>
      <c r="U67" s="352"/>
      <c r="V67" s="351"/>
      <c r="W67" s="352"/>
      <c r="X67" s="383"/>
      <c r="Y67" s="352"/>
      <c r="Z67" s="349">
        <f t="shared" si="0"/>
        <v>0</v>
      </c>
      <c r="AA67" s="13">
        <f t="shared" si="1"/>
        <v>0</v>
      </c>
      <c r="AB67" s="351"/>
      <c r="AC67" s="352"/>
      <c r="AD67" s="351"/>
      <c r="AE67" s="352"/>
      <c r="AF67" s="352"/>
      <c r="AG67" s="352"/>
      <c r="AH67" s="108">
        <f t="shared" si="2"/>
        <v>0</v>
      </c>
      <c r="AI67" s="108" t="str">
        <f>IF('Sch2a-Imp Price by ECM'!C68="Yes", 0, 'Sch2a-Imp Price by ECM'!L68)</f>
        <v/>
      </c>
      <c r="AJ67" s="124" t="str">
        <f t="shared" si="3"/>
        <v/>
      </c>
      <c r="AK67" s="1" t="str">
        <f>IF('Sch2a-Imp Price by ECM'!M68="","",'Sch2a-Imp Price by ECM'!M68)</f>
        <v/>
      </c>
    </row>
    <row r="68" spans="1:37" ht="16.5" thickBot="1">
      <c r="A68" s="72" t="str">
        <f>IF('Sch2a-Imp Price by ECM'!B69="","",'Sch2a-Imp Price by ECM'!B69)</f>
        <v/>
      </c>
      <c r="B68" s="139" t="str">
        <f>IF('Sch2a-Imp Price by ECM'!D69="","",'Sch2a-Imp Price by ECM'!D69)</f>
        <v/>
      </c>
      <c r="C68" s="358" t="str">
        <f>IF('Sch2a-Imp Price by ECM'!G69="","",'Sch2a-Imp Price by ECM'!G69)</f>
        <v/>
      </c>
      <c r="D68" s="471"/>
      <c r="E68" s="350"/>
      <c r="F68" s="350"/>
      <c r="G68" s="350"/>
      <c r="H68" s="350"/>
      <c r="I68" s="242"/>
      <c r="J68" s="350"/>
      <c r="K68" s="350"/>
      <c r="L68" s="241"/>
      <c r="M68" s="241"/>
      <c r="N68" s="241"/>
      <c r="O68" s="235"/>
      <c r="P68" s="350"/>
      <c r="Q68" s="241"/>
      <c r="R68" s="351"/>
      <c r="S68" s="241"/>
      <c r="T68" s="351"/>
      <c r="U68" s="352"/>
      <c r="V68" s="351"/>
      <c r="W68" s="352"/>
      <c r="X68" s="383"/>
      <c r="Y68" s="352"/>
      <c r="Z68" s="349">
        <f t="shared" si="0"/>
        <v>0</v>
      </c>
      <c r="AA68" s="13">
        <f t="shared" si="1"/>
        <v>0</v>
      </c>
      <c r="AB68" s="351"/>
      <c r="AC68" s="352"/>
      <c r="AD68" s="351"/>
      <c r="AE68" s="352"/>
      <c r="AF68" s="352"/>
      <c r="AG68" s="352"/>
      <c r="AH68" s="108">
        <f t="shared" si="2"/>
        <v>0</v>
      </c>
      <c r="AI68" s="108" t="str">
        <f>IF('Sch2a-Imp Price by ECM'!C69="Yes", 0, 'Sch2a-Imp Price by ECM'!L69)</f>
        <v/>
      </c>
      <c r="AJ68" s="124" t="str">
        <f t="shared" si="3"/>
        <v/>
      </c>
      <c r="AK68" s="1" t="str">
        <f>IF('Sch2a-Imp Price by ECM'!M69="","",'Sch2a-Imp Price by ECM'!M69)</f>
        <v/>
      </c>
    </row>
    <row r="69" spans="1:37" ht="16.5" thickBot="1">
      <c r="A69" s="72" t="str">
        <f>IF('Sch2a-Imp Price by ECM'!B70="","",'Sch2a-Imp Price by ECM'!B70)</f>
        <v/>
      </c>
      <c r="B69" s="139" t="str">
        <f>IF('Sch2a-Imp Price by ECM'!D70="","",'Sch2a-Imp Price by ECM'!D70)</f>
        <v/>
      </c>
      <c r="C69" s="358" t="str">
        <f>IF('Sch2a-Imp Price by ECM'!G70="","",'Sch2a-Imp Price by ECM'!G70)</f>
        <v/>
      </c>
      <c r="D69" s="471"/>
      <c r="E69" s="350"/>
      <c r="F69" s="350"/>
      <c r="G69" s="350"/>
      <c r="H69" s="350"/>
      <c r="I69" s="242"/>
      <c r="J69" s="350"/>
      <c r="K69" s="350"/>
      <c r="L69" s="241"/>
      <c r="M69" s="241"/>
      <c r="N69" s="241"/>
      <c r="O69" s="235"/>
      <c r="P69" s="350"/>
      <c r="Q69" s="241"/>
      <c r="R69" s="351"/>
      <c r="S69" s="241"/>
      <c r="T69" s="351"/>
      <c r="U69" s="352"/>
      <c r="V69" s="351"/>
      <c r="W69" s="352"/>
      <c r="X69" s="383"/>
      <c r="Y69" s="352"/>
      <c r="Z69" s="349">
        <f t="shared" si="0"/>
        <v>0</v>
      </c>
      <c r="AA69" s="13">
        <f t="shared" si="1"/>
        <v>0</v>
      </c>
      <c r="AB69" s="351"/>
      <c r="AC69" s="352"/>
      <c r="AD69" s="351"/>
      <c r="AE69" s="352"/>
      <c r="AF69" s="352"/>
      <c r="AG69" s="352"/>
      <c r="AH69" s="108">
        <f t="shared" si="2"/>
        <v>0</v>
      </c>
      <c r="AI69" s="108" t="str">
        <f>IF('Sch2a-Imp Price by ECM'!C70="Yes", 0, 'Sch2a-Imp Price by ECM'!L70)</f>
        <v/>
      </c>
      <c r="AJ69" s="124" t="str">
        <f t="shared" si="3"/>
        <v/>
      </c>
      <c r="AK69" s="1" t="str">
        <f>IF('Sch2a-Imp Price by ECM'!M70="","",'Sch2a-Imp Price by ECM'!M70)</f>
        <v/>
      </c>
    </row>
    <row r="70" spans="1:37" ht="16.5" thickBot="1">
      <c r="A70" s="72" t="str">
        <f>IF('Sch2a-Imp Price by ECM'!B71="","",'Sch2a-Imp Price by ECM'!B71)</f>
        <v/>
      </c>
      <c r="B70" s="139" t="str">
        <f>IF('Sch2a-Imp Price by ECM'!D71="","",'Sch2a-Imp Price by ECM'!D71)</f>
        <v/>
      </c>
      <c r="C70" s="358" t="str">
        <f>IF('Sch2a-Imp Price by ECM'!G71="","",'Sch2a-Imp Price by ECM'!G71)</f>
        <v/>
      </c>
      <c r="D70" s="471"/>
      <c r="E70" s="350"/>
      <c r="F70" s="350"/>
      <c r="G70" s="350"/>
      <c r="H70" s="350"/>
      <c r="I70" s="242"/>
      <c r="J70" s="350"/>
      <c r="K70" s="350"/>
      <c r="L70" s="241"/>
      <c r="M70" s="241"/>
      <c r="N70" s="241"/>
      <c r="O70" s="235"/>
      <c r="P70" s="350"/>
      <c r="Q70" s="241"/>
      <c r="R70" s="351"/>
      <c r="S70" s="241"/>
      <c r="T70" s="351"/>
      <c r="U70" s="352"/>
      <c r="V70" s="351"/>
      <c r="W70" s="352"/>
      <c r="X70" s="383"/>
      <c r="Y70" s="352"/>
      <c r="Z70" s="349">
        <f t="shared" si="0"/>
        <v>0</v>
      </c>
      <c r="AA70" s="13">
        <f t="shared" si="1"/>
        <v>0</v>
      </c>
      <c r="AB70" s="351"/>
      <c r="AC70" s="352"/>
      <c r="AD70" s="351"/>
      <c r="AE70" s="352"/>
      <c r="AF70" s="352"/>
      <c r="AG70" s="352"/>
      <c r="AH70" s="108">
        <f t="shared" si="2"/>
        <v>0</v>
      </c>
      <c r="AI70" s="108" t="str">
        <f>IF('Sch2a-Imp Price by ECM'!C71="Yes", 0, 'Sch2a-Imp Price by ECM'!L71)</f>
        <v/>
      </c>
      <c r="AJ70" s="124" t="str">
        <f t="shared" si="3"/>
        <v/>
      </c>
      <c r="AK70" s="1" t="str">
        <f>IF('Sch2a-Imp Price by ECM'!M71="","",'Sch2a-Imp Price by ECM'!M71)</f>
        <v/>
      </c>
    </row>
    <row r="71" spans="1:37" ht="16.5" thickBot="1">
      <c r="A71" s="72" t="str">
        <f>IF('Sch2a-Imp Price by ECM'!B72="","",'Sch2a-Imp Price by ECM'!B72)</f>
        <v/>
      </c>
      <c r="B71" s="139" t="str">
        <f>IF('Sch2a-Imp Price by ECM'!D72="","",'Sch2a-Imp Price by ECM'!D72)</f>
        <v/>
      </c>
      <c r="C71" s="358" t="str">
        <f>IF('Sch2a-Imp Price by ECM'!G72="","",'Sch2a-Imp Price by ECM'!G72)</f>
        <v/>
      </c>
      <c r="D71" s="471"/>
      <c r="E71" s="350"/>
      <c r="F71" s="350"/>
      <c r="G71" s="350"/>
      <c r="H71" s="350"/>
      <c r="I71" s="242"/>
      <c r="J71" s="350"/>
      <c r="K71" s="350"/>
      <c r="L71" s="241"/>
      <c r="M71" s="241"/>
      <c r="N71" s="241"/>
      <c r="O71" s="235"/>
      <c r="P71" s="350"/>
      <c r="Q71" s="241"/>
      <c r="R71" s="351"/>
      <c r="S71" s="241"/>
      <c r="T71" s="351"/>
      <c r="U71" s="352"/>
      <c r="V71" s="351"/>
      <c r="W71" s="352"/>
      <c r="X71" s="383"/>
      <c r="Y71" s="352"/>
      <c r="Z71" s="349">
        <f t="shared" si="0"/>
        <v>0</v>
      </c>
      <c r="AA71" s="13">
        <f t="shared" si="1"/>
        <v>0</v>
      </c>
      <c r="AB71" s="351"/>
      <c r="AC71" s="352"/>
      <c r="AD71" s="351"/>
      <c r="AE71" s="352"/>
      <c r="AF71" s="352"/>
      <c r="AG71" s="352"/>
      <c r="AH71" s="108">
        <f t="shared" si="2"/>
        <v>0</v>
      </c>
      <c r="AI71" s="108" t="str">
        <f>IF('Sch2a-Imp Price by ECM'!C72="Yes", 0, 'Sch2a-Imp Price by ECM'!L72)</f>
        <v/>
      </c>
      <c r="AJ71" s="124" t="str">
        <f t="shared" si="3"/>
        <v/>
      </c>
      <c r="AK71" s="1" t="str">
        <f>IF('Sch2a-Imp Price by ECM'!M72="","",'Sch2a-Imp Price by ECM'!M72)</f>
        <v/>
      </c>
    </row>
    <row r="72" spans="1:37" ht="16.5" thickBot="1">
      <c r="A72" s="72" t="str">
        <f>IF('Sch2a-Imp Price by ECM'!B73="","",'Sch2a-Imp Price by ECM'!B73)</f>
        <v/>
      </c>
      <c r="B72" s="139" t="str">
        <f>IF('Sch2a-Imp Price by ECM'!D73="","",'Sch2a-Imp Price by ECM'!D73)</f>
        <v/>
      </c>
      <c r="C72" s="358" t="str">
        <f>IF('Sch2a-Imp Price by ECM'!G73="","",'Sch2a-Imp Price by ECM'!G73)</f>
        <v/>
      </c>
      <c r="D72" s="471"/>
      <c r="E72" s="350"/>
      <c r="F72" s="350"/>
      <c r="G72" s="350"/>
      <c r="H72" s="350"/>
      <c r="I72" s="242"/>
      <c r="J72" s="350"/>
      <c r="K72" s="350"/>
      <c r="L72" s="241"/>
      <c r="M72" s="241"/>
      <c r="N72" s="241"/>
      <c r="O72" s="242"/>
      <c r="P72" s="350"/>
      <c r="Q72" s="241"/>
      <c r="R72" s="351"/>
      <c r="S72" s="241"/>
      <c r="T72" s="351"/>
      <c r="U72" s="352"/>
      <c r="V72" s="351"/>
      <c r="W72" s="352"/>
      <c r="X72" s="383"/>
      <c r="Y72" s="352"/>
      <c r="Z72" s="349">
        <f t="shared" si="0"/>
        <v>0</v>
      </c>
      <c r="AA72" s="13">
        <f t="shared" si="1"/>
        <v>0</v>
      </c>
      <c r="AB72" s="351"/>
      <c r="AC72" s="352"/>
      <c r="AD72" s="351"/>
      <c r="AE72" s="352"/>
      <c r="AF72" s="352"/>
      <c r="AG72" s="352"/>
      <c r="AH72" s="108">
        <f t="shared" si="2"/>
        <v>0</v>
      </c>
      <c r="AI72" s="108" t="str">
        <f>IF('Sch2a-Imp Price by ECM'!C73="Yes", 0, 'Sch2a-Imp Price by ECM'!L73)</f>
        <v/>
      </c>
      <c r="AJ72" s="124" t="str">
        <f t="shared" si="3"/>
        <v/>
      </c>
      <c r="AK72" s="1" t="str">
        <f>IF('Sch2a-Imp Price by ECM'!M73="","",'Sch2a-Imp Price by ECM'!M73)</f>
        <v/>
      </c>
    </row>
    <row r="73" spans="1:37" ht="16.5" thickBot="1">
      <c r="A73" s="72" t="str">
        <f>IF('Sch2a-Imp Price by ECM'!B74="","",'Sch2a-Imp Price by ECM'!B74)</f>
        <v/>
      </c>
      <c r="B73" s="139" t="str">
        <f>IF('Sch2a-Imp Price by ECM'!D74="","",'Sch2a-Imp Price by ECM'!D74)</f>
        <v/>
      </c>
      <c r="C73" s="358" t="str">
        <f>IF('Sch2a-Imp Price by ECM'!G74="","",'Sch2a-Imp Price by ECM'!G74)</f>
        <v/>
      </c>
      <c r="D73" s="471"/>
      <c r="E73" s="350"/>
      <c r="F73" s="350"/>
      <c r="G73" s="350"/>
      <c r="H73" s="350"/>
      <c r="I73" s="242"/>
      <c r="J73" s="350"/>
      <c r="K73" s="350"/>
      <c r="L73" s="241"/>
      <c r="M73" s="241"/>
      <c r="N73" s="241"/>
      <c r="O73" s="242"/>
      <c r="P73" s="350"/>
      <c r="Q73" s="241"/>
      <c r="R73" s="351"/>
      <c r="S73" s="241"/>
      <c r="T73" s="351"/>
      <c r="U73" s="352"/>
      <c r="V73" s="351"/>
      <c r="W73" s="352"/>
      <c r="X73" s="383"/>
      <c r="Y73" s="352"/>
      <c r="Z73" s="349">
        <f t="shared" ref="Z73:Z136" si="4">(P73*3412/10^6)+T73+V73+X73</f>
        <v>0</v>
      </c>
      <c r="AA73" s="13">
        <f t="shared" ref="AA73:AA136" si="5">Q73+S73+W73+Y73+U73</f>
        <v>0</v>
      </c>
      <c r="AB73" s="351"/>
      <c r="AC73" s="352"/>
      <c r="AD73" s="351"/>
      <c r="AE73" s="352"/>
      <c r="AF73" s="352"/>
      <c r="AG73" s="352"/>
      <c r="AH73" s="108">
        <f t="shared" ref="AH73:AH136" si="6">AA73+AC73+AF73+AE73+AG73</f>
        <v>0</v>
      </c>
      <c r="AI73" s="108" t="str">
        <f>IF('Sch2a-Imp Price by ECM'!C74="Yes", 0, 'Sch2a-Imp Price by ECM'!L74)</f>
        <v/>
      </c>
      <c r="AJ73" s="124" t="str">
        <f t="shared" ref="AJ73:AJ136" si="7">IF(AI73="","",AI73/AH73)</f>
        <v/>
      </c>
      <c r="AK73" s="1" t="str">
        <f>IF('Sch2a-Imp Price by ECM'!M74="","",'Sch2a-Imp Price by ECM'!M74)</f>
        <v/>
      </c>
    </row>
    <row r="74" spans="1:37" ht="16.5" thickBot="1">
      <c r="A74" s="72" t="str">
        <f>IF('Sch2a-Imp Price by ECM'!B75="","",'Sch2a-Imp Price by ECM'!B75)</f>
        <v/>
      </c>
      <c r="B74" s="139" t="str">
        <f>IF('Sch2a-Imp Price by ECM'!D75="","",'Sch2a-Imp Price by ECM'!D75)</f>
        <v/>
      </c>
      <c r="C74" s="358" t="str">
        <f>IF('Sch2a-Imp Price by ECM'!G75="","",'Sch2a-Imp Price by ECM'!G75)</f>
        <v/>
      </c>
      <c r="D74" s="471"/>
      <c r="E74" s="350"/>
      <c r="F74" s="350"/>
      <c r="G74" s="350"/>
      <c r="H74" s="350"/>
      <c r="I74" s="242"/>
      <c r="J74" s="350"/>
      <c r="K74" s="350"/>
      <c r="L74" s="241"/>
      <c r="M74" s="241"/>
      <c r="N74" s="241"/>
      <c r="O74" s="242"/>
      <c r="P74" s="350"/>
      <c r="Q74" s="241"/>
      <c r="R74" s="351"/>
      <c r="S74" s="241"/>
      <c r="T74" s="351"/>
      <c r="U74" s="352"/>
      <c r="V74" s="351"/>
      <c r="W74" s="352"/>
      <c r="X74" s="383"/>
      <c r="Y74" s="352"/>
      <c r="Z74" s="349">
        <f t="shared" si="4"/>
        <v>0</v>
      </c>
      <c r="AA74" s="13">
        <f t="shared" si="5"/>
        <v>0</v>
      </c>
      <c r="AB74" s="351"/>
      <c r="AC74" s="352"/>
      <c r="AD74" s="351"/>
      <c r="AE74" s="352"/>
      <c r="AF74" s="352"/>
      <c r="AG74" s="352"/>
      <c r="AH74" s="108">
        <f t="shared" si="6"/>
        <v>0</v>
      </c>
      <c r="AI74" s="108" t="str">
        <f>IF('Sch2a-Imp Price by ECM'!C75="Yes", 0, 'Sch2a-Imp Price by ECM'!L75)</f>
        <v/>
      </c>
      <c r="AJ74" s="124" t="str">
        <f t="shared" si="7"/>
        <v/>
      </c>
      <c r="AK74" s="1" t="str">
        <f>IF('Sch2a-Imp Price by ECM'!M75="","",'Sch2a-Imp Price by ECM'!M75)</f>
        <v/>
      </c>
    </row>
    <row r="75" spans="1:37" ht="16.5" thickBot="1">
      <c r="A75" s="72" t="str">
        <f>IF('Sch2a-Imp Price by ECM'!B76="","",'Sch2a-Imp Price by ECM'!B76)</f>
        <v/>
      </c>
      <c r="B75" s="139" t="str">
        <f>IF('Sch2a-Imp Price by ECM'!D76="","",'Sch2a-Imp Price by ECM'!D76)</f>
        <v/>
      </c>
      <c r="C75" s="358" t="str">
        <f>IF('Sch2a-Imp Price by ECM'!G76="","",'Sch2a-Imp Price by ECM'!G76)</f>
        <v/>
      </c>
      <c r="D75" s="471"/>
      <c r="E75" s="350"/>
      <c r="F75" s="350"/>
      <c r="G75" s="350"/>
      <c r="H75" s="350"/>
      <c r="I75" s="242"/>
      <c r="J75" s="350"/>
      <c r="K75" s="350"/>
      <c r="L75" s="241"/>
      <c r="M75" s="241"/>
      <c r="N75" s="241"/>
      <c r="O75" s="242"/>
      <c r="P75" s="350"/>
      <c r="Q75" s="241"/>
      <c r="R75" s="351"/>
      <c r="S75" s="241"/>
      <c r="T75" s="351"/>
      <c r="U75" s="352"/>
      <c r="V75" s="351"/>
      <c r="W75" s="352"/>
      <c r="X75" s="383"/>
      <c r="Y75" s="352"/>
      <c r="Z75" s="349">
        <f t="shared" si="4"/>
        <v>0</v>
      </c>
      <c r="AA75" s="13">
        <f t="shared" si="5"/>
        <v>0</v>
      </c>
      <c r="AB75" s="351"/>
      <c r="AC75" s="352"/>
      <c r="AD75" s="351"/>
      <c r="AE75" s="352"/>
      <c r="AF75" s="352"/>
      <c r="AG75" s="352"/>
      <c r="AH75" s="108">
        <f t="shared" si="6"/>
        <v>0</v>
      </c>
      <c r="AI75" s="108" t="str">
        <f>IF('Sch2a-Imp Price by ECM'!C76="Yes", 0, 'Sch2a-Imp Price by ECM'!L76)</f>
        <v/>
      </c>
      <c r="AJ75" s="124" t="str">
        <f t="shared" si="7"/>
        <v/>
      </c>
      <c r="AK75" s="1" t="str">
        <f>IF('Sch2a-Imp Price by ECM'!M76="","",'Sch2a-Imp Price by ECM'!M76)</f>
        <v/>
      </c>
    </row>
    <row r="76" spans="1:37" ht="18" customHeight="1" thickBot="1">
      <c r="A76" s="72" t="str">
        <f>IF('Sch2a-Imp Price by ECM'!B77="","",'Sch2a-Imp Price by ECM'!B77)</f>
        <v/>
      </c>
      <c r="B76" s="139" t="str">
        <f>IF('Sch2a-Imp Price by ECM'!D77="","",'Sch2a-Imp Price by ECM'!D77)</f>
        <v/>
      </c>
      <c r="C76" s="358" t="str">
        <f>IF('Sch2a-Imp Price by ECM'!G77="","",'Sch2a-Imp Price by ECM'!G77)</f>
        <v/>
      </c>
      <c r="D76" s="471"/>
      <c r="E76" s="350"/>
      <c r="F76" s="350"/>
      <c r="G76" s="350"/>
      <c r="H76" s="350"/>
      <c r="I76" s="242"/>
      <c r="J76" s="350"/>
      <c r="K76" s="350"/>
      <c r="L76" s="241"/>
      <c r="M76" s="241"/>
      <c r="N76" s="241"/>
      <c r="O76" s="242"/>
      <c r="P76" s="350"/>
      <c r="Q76" s="241"/>
      <c r="R76" s="351"/>
      <c r="S76" s="241"/>
      <c r="T76" s="351"/>
      <c r="U76" s="352"/>
      <c r="V76" s="351"/>
      <c r="W76" s="352"/>
      <c r="X76" s="383"/>
      <c r="Y76" s="352"/>
      <c r="Z76" s="349">
        <f t="shared" si="4"/>
        <v>0</v>
      </c>
      <c r="AA76" s="13">
        <f t="shared" si="5"/>
        <v>0</v>
      </c>
      <c r="AB76" s="351"/>
      <c r="AC76" s="352"/>
      <c r="AD76" s="351"/>
      <c r="AE76" s="352"/>
      <c r="AF76" s="352"/>
      <c r="AG76" s="352"/>
      <c r="AH76" s="108">
        <f t="shared" si="6"/>
        <v>0</v>
      </c>
      <c r="AI76" s="108" t="str">
        <f>IF('Sch2a-Imp Price by ECM'!C77="Yes", 0, 'Sch2a-Imp Price by ECM'!L77)</f>
        <v/>
      </c>
      <c r="AJ76" s="124" t="str">
        <f t="shared" si="7"/>
        <v/>
      </c>
      <c r="AK76" s="1" t="str">
        <f>IF('Sch2a-Imp Price by ECM'!M77="","",'Sch2a-Imp Price by ECM'!M77)</f>
        <v/>
      </c>
    </row>
    <row r="77" spans="1:37" ht="16.5" thickBot="1">
      <c r="A77" s="72" t="str">
        <f>IF('Sch2a-Imp Price by ECM'!B78="","",'Sch2a-Imp Price by ECM'!B78)</f>
        <v/>
      </c>
      <c r="B77" s="139" t="str">
        <f>IF('Sch2a-Imp Price by ECM'!D78="","",'Sch2a-Imp Price by ECM'!D78)</f>
        <v/>
      </c>
      <c r="C77" s="358" t="str">
        <f>IF('Sch2a-Imp Price by ECM'!G78="","",'Sch2a-Imp Price by ECM'!G78)</f>
        <v/>
      </c>
      <c r="D77" s="471"/>
      <c r="E77" s="350"/>
      <c r="F77" s="350"/>
      <c r="G77" s="350"/>
      <c r="H77" s="350"/>
      <c r="I77" s="242"/>
      <c r="J77" s="350"/>
      <c r="K77" s="350"/>
      <c r="L77" s="241"/>
      <c r="M77" s="241"/>
      <c r="N77" s="241"/>
      <c r="O77" s="242"/>
      <c r="P77" s="350"/>
      <c r="Q77" s="241"/>
      <c r="R77" s="351"/>
      <c r="S77" s="241"/>
      <c r="T77" s="351"/>
      <c r="U77" s="352"/>
      <c r="V77" s="351"/>
      <c r="W77" s="352"/>
      <c r="X77" s="383"/>
      <c r="Y77" s="352"/>
      <c r="Z77" s="349">
        <f t="shared" si="4"/>
        <v>0</v>
      </c>
      <c r="AA77" s="13">
        <f t="shared" si="5"/>
        <v>0</v>
      </c>
      <c r="AB77" s="351"/>
      <c r="AC77" s="352"/>
      <c r="AD77" s="351"/>
      <c r="AE77" s="352"/>
      <c r="AF77" s="352"/>
      <c r="AG77" s="352"/>
      <c r="AH77" s="108">
        <f t="shared" si="6"/>
        <v>0</v>
      </c>
      <c r="AI77" s="108" t="str">
        <f>IF('Sch2a-Imp Price by ECM'!C78="Yes", 0, 'Sch2a-Imp Price by ECM'!L78)</f>
        <v/>
      </c>
      <c r="AJ77" s="124" t="str">
        <f t="shared" si="7"/>
        <v/>
      </c>
      <c r="AK77" s="1" t="str">
        <f>IF('Sch2a-Imp Price by ECM'!M78="","",'Sch2a-Imp Price by ECM'!M78)</f>
        <v/>
      </c>
    </row>
    <row r="78" spans="1:37" ht="16.5" thickBot="1">
      <c r="A78" s="72" t="str">
        <f>IF('Sch2a-Imp Price by ECM'!B79="","",'Sch2a-Imp Price by ECM'!B79)</f>
        <v/>
      </c>
      <c r="B78" s="139" t="str">
        <f>IF('Sch2a-Imp Price by ECM'!D79="","",'Sch2a-Imp Price by ECM'!D79)</f>
        <v/>
      </c>
      <c r="C78" s="358" t="str">
        <f>IF('Sch2a-Imp Price by ECM'!G79="","",'Sch2a-Imp Price by ECM'!G79)</f>
        <v/>
      </c>
      <c r="D78" s="471"/>
      <c r="E78" s="350"/>
      <c r="F78" s="350"/>
      <c r="G78" s="350"/>
      <c r="H78" s="350"/>
      <c r="I78" s="242"/>
      <c r="J78" s="350"/>
      <c r="K78" s="350"/>
      <c r="L78" s="241"/>
      <c r="M78" s="241"/>
      <c r="N78" s="241"/>
      <c r="O78" s="242"/>
      <c r="P78" s="350"/>
      <c r="Q78" s="241"/>
      <c r="R78" s="351"/>
      <c r="S78" s="241"/>
      <c r="T78" s="351"/>
      <c r="U78" s="352"/>
      <c r="V78" s="351"/>
      <c r="W78" s="352"/>
      <c r="X78" s="383"/>
      <c r="Y78" s="352"/>
      <c r="Z78" s="349">
        <f t="shared" si="4"/>
        <v>0</v>
      </c>
      <c r="AA78" s="13">
        <f t="shared" si="5"/>
        <v>0</v>
      </c>
      <c r="AB78" s="351"/>
      <c r="AC78" s="352"/>
      <c r="AD78" s="351"/>
      <c r="AE78" s="352"/>
      <c r="AF78" s="352"/>
      <c r="AG78" s="352"/>
      <c r="AH78" s="108">
        <f t="shared" si="6"/>
        <v>0</v>
      </c>
      <c r="AI78" s="108" t="str">
        <f>IF('Sch2a-Imp Price by ECM'!C79="Yes", 0, 'Sch2a-Imp Price by ECM'!L79)</f>
        <v/>
      </c>
      <c r="AJ78" s="124" t="str">
        <f t="shared" si="7"/>
        <v/>
      </c>
      <c r="AK78" s="1" t="str">
        <f>IF('Sch2a-Imp Price by ECM'!M79="","",'Sch2a-Imp Price by ECM'!M79)</f>
        <v/>
      </c>
    </row>
    <row r="79" spans="1:37" ht="16.5" thickBot="1">
      <c r="A79" s="72" t="str">
        <f>IF('Sch2a-Imp Price by ECM'!B80="","",'Sch2a-Imp Price by ECM'!B80)</f>
        <v/>
      </c>
      <c r="B79" s="139" t="str">
        <f>IF('Sch2a-Imp Price by ECM'!D80="","",'Sch2a-Imp Price by ECM'!D80)</f>
        <v/>
      </c>
      <c r="C79" s="358" t="str">
        <f>IF('Sch2a-Imp Price by ECM'!G80="","",'Sch2a-Imp Price by ECM'!G80)</f>
        <v/>
      </c>
      <c r="D79" s="471"/>
      <c r="E79" s="350"/>
      <c r="F79" s="350"/>
      <c r="G79" s="350"/>
      <c r="H79" s="350"/>
      <c r="I79" s="242"/>
      <c r="J79" s="350"/>
      <c r="K79" s="350"/>
      <c r="L79" s="241"/>
      <c r="M79" s="241"/>
      <c r="N79" s="241"/>
      <c r="O79" s="235"/>
      <c r="P79" s="350"/>
      <c r="Q79" s="241"/>
      <c r="R79" s="351"/>
      <c r="S79" s="241"/>
      <c r="T79" s="351"/>
      <c r="U79" s="352"/>
      <c r="V79" s="351"/>
      <c r="W79" s="352"/>
      <c r="X79" s="383"/>
      <c r="Y79" s="352"/>
      <c r="Z79" s="349">
        <f t="shared" si="4"/>
        <v>0</v>
      </c>
      <c r="AA79" s="13">
        <f t="shared" si="5"/>
        <v>0</v>
      </c>
      <c r="AB79" s="351"/>
      <c r="AC79" s="352"/>
      <c r="AD79" s="351"/>
      <c r="AE79" s="352"/>
      <c r="AF79" s="352"/>
      <c r="AG79" s="352"/>
      <c r="AH79" s="108">
        <f t="shared" si="6"/>
        <v>0</v>
      </c>
      <c r="AI79" s="108" t="str">
        <f>IF('Sch2a-Imp Price by ECM'!C80="Yes", 0, 'Sch2a-Imp Price by ECM'!L80)</f>
        <v/>
      </c>
      <c r="AJ79" s="124" t="str">
        <f t="shared" si="7"/>
        <v/>
      </c>
      <c r="AK79" s="1" t="str">
        <f>IF('Sch2a-Imp Price by ECM'!M80="","",'Sch2a-Imp Price by ECM'!M80)</f>
        <v/>
      </c>
    </row>
    <row r="80" spans="1:37" ht="16.5" thickBot="1">
      <c r="A80" s="72" t="str">
        <f>IF('Sch2a-Imp Price by ECM'!B81="","",'Sch2a-Imp Price by ECM'!B81)</f>
        <v/>
      </c>
      <c r="B80" s="139" t="str">
        <f>IF('Sch2a-Imp Price by ECM'!D81="","",'Sch2a-Imp Price by ECM'!D81)</f>
        <v/>
      </c>
      <c r="C80" s="358" t="str">
        <f>IF('Sch2a-Imp Price by ECM'!G81="","",'Sch2a-Imp Price by ECM'!G81)</f>
        <v/>
      </c>
      <c r="D80" s="471"/>
      <c r="E80" s="350"/>
      <c r="F80" s="350"/>
      <c r="G80" s="350"/>
      <c r="H80" s="350"/>
      <c r="I80" s="242"/>
      <c r="J80" s="350"/>
      <c r="K80" s="350"/>
      <c r="L80" s="241"/>
      <c r="M80" s="241"/>
      <c r="N80" s="241"/>
      <c r="O80" s="235"/>
      <c r="P80" s="350"/>
      <c r="Q80" s="241"/>
      <c r="R80" s="351"/>
      <c r="S80" s="241"/>
      <c r="T80" s="351"/>
      <c r="U80" s="352"/>
      <c r="V80" s="351"/>
      <c r="W80" s="352"/>
      <c r="X80" s="383"/>
      <c r="Y80" s="352"/>
      <c r="Z80" s="349">
        <f t="shared" si="4"/>
        <v>0</v>
      </c>
      <c r="AA80" s="13">
        <f t="shared" si="5"/>
        <v>0</v>
      </c>
      <c r="AB80" s="351"/>
      <c r="AC80" s="352"/>
      <c r="AD80" s="351"/>
      <c r="AE80" s="352"/>
      <c r="AF80" s="352"/>
      <c r="AG80" s="352"/>
      <c r="AH80" s="108">
        <f t="shared" si="6"/>
        <v>0</v>
      </c>
      <c r="AI80" s="108" t="str">
        <f>IF('Sch2a-Imp Price by ECM'!C81="Yes", 0, 'Sch2a-Imp Price by ECM'!L81)</f>
        <v/>
      </c>
      <c r="AJ80" s="124" t="str">
        <f t="shared" si="7"/>
        <v/>
      </c>
      <c r="AK80" s="1" t="str">
        <f>IF('Sch2a-Imp Price by ECM'!M81="","",'Sch2a-Imp Price by ECM'!M81)</f>
        <v/>
      </c>
    </row>
    <row r="81" spans="1:37" ht="16.5" thickBot="1">
      <c r="A81" s="72" t="str">
        <f>IF('Sch2a-Imp Price by ECM'!B82="","",'Sch2a-Imp Price by ECM'!B82)</f>
        <v/>
      </c>
      <c r="B81" s="139" t="str">
        <f>IF('Sch2a-Imp Price by ECM'!D82="","",'Sch2a-Imp Price by ECM'!D82)</f>
        <v/>
      </c>
      <c r="C81" s="358" t="str">
        <f>IF('Sch2a-Imp Price by ECM'!G82="","",'Sch2a-Imp Price by ECM'!G82)</f>
        <v/>
      </c>
      <c r="D81" s="471"/>
      <c r="E81" s="350"/>
      <c r="F81" s="350"/>
      <c r="G81" s="350"/>
      <c r="H81" s="350"/>
      <c r="I81" s="242"/>
      <c r="J81" s="350"/>
      <c r="K81" s="350"/>
      <c r="L81" s="241"/>
      <c r="M81" s="241"/>
      <c r="N81" s="241"/>
      <c r="O81" s="235"/>
      <c r="P81" s="350"/>
      <c r="Q81" s="241"/>
      <c r="R81" s="351"/>
      <c r="S81" s="241"/>
      <c r="T81" s="351"/>
      <c r="U81" s="352"/>
      <c r="V81" s="351"/>
      <c r="W81" s="352"/>
      <c r="X81" s="383"/>
      <c r="Y81" s="352"/>
      <c r="Z81" s="349">
        <f t="shared" si="4"/>
        <v>0</v>
      </c>
      <c r="AA81" s="13">
        <f t="shared" si="5"/>
        <v>0</v>
      </c>
      <c r="AB81" s="351"/>
      <c r="AC81" s="352"/>
      <c r="AD81" s="351"/>
      <c r="AE81" s="352"/>
      <c r="AF81" s="352"/>
      <c r="AG81" s="352"/>
      <c r="AH81" s="108">
        <f t="shared" si="6"/>
        <v>0</v>
      </c>
      <c r="AI81" s="108" t="str">
        <f>IF('Sch2a-Imp Price by ECM'!C82="Yes", 0, 'Sch2a-Imp Price by ECM'!L82)</f>
        <v/>
      </c>
      <c r="AJ81" s="124" t="str">
        <f t="shared" si="7"/>
        <v/>
      </c>
      <c r="AK81" s="1" t="str">
        <f>IF('Sch2a-Imp Price by ECM'!M82="","",'Sch2a-Imp Price by ECM'!M82)</f>
        <v/>
      </c>
    </row>
    <row r="82" spans="1:37" ht="16.5" thickBot="1">
      <c r="A82" s="72" t="str">
        <f>IF('Sch2a-Imp Price by ECM'!B83="","",'Sch2a-Imp Price by ECM'!B83)</f>
        <v/>
      </c>
      <c r="B82" s="139" t="str">
        <f>IF('Sch2a-Imp Price by ECM'!D83="","",'Sch2a-Imp Price by ECM'!D83)</f>
        <v/>
      </c>
      <c r="C82" s="358" t="str">
        <f>IF('Sch2a-Imp Price by ECM'!G83="","",'Sch2a-Imp Price by ECM'!G83)</f>
        <v/>
      </c>
      <c r="D82" s="471"/>
      <c r="E82" s="350"/>
      <c r="F82" s="350"/>
      <c r="G82" s="350"/>
      <c r="H82" s="350"/>
      <c r="I82" s="242"/>
      <c r="J82" s="350"/>
      <c r="K82" s="350"/>
      <c r="L82" s="241"/>
      <c r="M82" s="241"/>
      <c r="N82" s="241"/>
      <c r="O82" s="235"/>
      <c r="P82" s="350"/>
      <c r="Q82" s="241"/>
      <c r="R82" s="351"/>
      <c r="S82" s="241"/>
      <c r="T82" s="351"/>
      <c r="U82" s="352"/>
      <c r="V82" s="351"/>
      <c r="W82" s="352"/>
      <c r="X82" s="383"/>
      <c r="Y82" s="352"/>
      <c r="Z82" s="349">
        <f t="shared" si="4"/>
        <v>0</v>
      </c>
      <c r="AA82" s="13">
        <f t="shared" si="5"/>
        <v>0</v>
      </c>
      <c r="AB82" s="351"/>
      <c r="AC82" s="352"/>
      <c r="AD82" s="351"/>
      <c r="AE82" s="352"/>
      <c r="AF82" s="352"/>
      <c r="AG82" s="352"/>
      <c r="AH82" s="108">
        <f t="shared" si="6"/>
        <v>0</v>
      </c>
      <c r="AI82" s="108" t="str">
        <f>IF('Sch2a-Imp Price by ECM'!C83="Yes", 0, 'Sch2a-Imp Price by ECM'!L83)</f>
        <v/>
      </c>
      <c r="AJ82" s="124" t="str">
        <f t="shared" si="7"/>
        <v/>
      </c>
      <c r="AK82" s="1" t="str">
        <f>IF('Sch2a-Imp Price by ECM'!M83="","",'Sch2a-Imp Price by ECM'!M83)</f>
        <v/>
      </c>
    </row>
    <row r="83" spans="1:37" ht="16.5" thickBot="1">
      <c r="A83" s="72" t="str">
        <f>IF('Sch2a-Imp Price by ECM'!B84="","",'Sch2a-Imp Price by ECM'!B84)</f>
        <v/>
      </c>
      <c r="B83" s="139" t="str">
        <f>IF('Sch2a-Imp Price by ECM'!D84="","",'Sch2a-Imp Price by ECM'!D84)</f>
        <v/>
      </c>
      <c r="C83" s="358" t="str">
        <f>IF('Sch2a-Imp Price by ECM'!G84="","",'Sch2a-Imp Price by ECM'!G84)</f>
        <v/>
      </c>
      <c r="D83" s="471"/>
      <c r="E83" s="350"/>
      <c r="F83" s="350"/>
      <c r="G83" s="350"/>
      <c r="H83" s="350"/>
      <c r="I83" s="242"/>
      <c r="J83" s="350"/>
      <c r="K83" s="350"/>
      <c r="L83" s="241"/>
      <c r="M83" s="241"/>
      <c r="N83" s="241"/>
      <c r="O83" s="235"/>
      <c r="P83" s="350"/>
      <c r="Q83" s="241"/>
      <c r="R83" s="351"/>
      <c r="S83" s="241"/>
      <c r="T83" s="351"/>
      <c r="U83" s="352"/>
      <c r="V83" s="351"/>
      <c r="W83" s="352"/>
      <c r="X83" s="383"/>
      <c r="Y83" s="352"/>
      <c r="Z83" s="349">
        <f t="shared" si="4"/>
        <v>0</v>
      </c>
      <c r="AA83" s="13">
        <f t="shared" si="5"/>
        <v>0</v>
      </c>
      <c r="AB83" s="351"/>
      <c r="AC83" s="352"/>
      <c r="AD83" s="351"/>
      <c r="AE83" s="352"/>
      <c r="AF83" s="352"/>
      <c r="AG83" s="352"/>
      <c r="AH83" s="108">
        <f t="shared" si="6"/>
        <v>0</v>
      </c>
      <c r="AI83" s="108" t="str">
        <f>IF('Sch2a-Imp Price by ECM'!C84="Yes", 0, 'Sch2a-Imp Price by ECM'!L84)</f>
        <v/>
      </c>
      <c r="AJ83" s="124" t="str">
        <f t="shared" si="7"/>
        <v/>
      </c>
      <c r="AK83" s="1" t="str">
        <f>IF('Sch2a-Imp Price by ECM'!M84="","",'Sch2a-Imp Price by ECM'!M84)</f>
        <v/>
      </c>
    </row>
    <row r="84" spans="1:37" ht="16.5" thickBot="1">
      <c r="A84" s="72" t="str">
        <f>IF('Sch2a-Imp Price by ECM'!B85="","",'Sch2a-Imp Price by ECM'!B85)</f>
        <v/>
      </c>
      <c r="B84" s="139" t="str">
        <f>IF('Sch2a-Imp Price by ECM'!D85="","",'Sch2a-Imp Price by ECM'!D85)</f>
        <v/>
      </c>
      <c r="C84" s="358" t="str">
        <f>IF('Sch2a-Imp Price by ECM'!G85="","",'Sch2a-Imp Price by ECM'!G85)</f>
        <v/>
      </c>
      <c r="D84" s="471"/>
      <c r="E84" s="350"/>
      <c r="F84" s="350"/>
      <c r="G84" s="350"/>
      <c r="H84" s="350"/>
      <c r="I84" s="242"/>
      <c r="J84" s="350"/>
      <c r="K84" s="350"/>
      <c r="L84" s="241"/>
      <c r="M84" s="241"/>
      <c r="N84" s="241"/>
      <c r="O84" s="235"/>
      <c r="P84" s="350"/>
      <c r="Q84" s="241"/>
      <c r="R84" s="351"/>
      <c r="S84" s="241"/>
      <c r="T84" s="351"/>
      <c r="U84" s="352"/>
      <c r="V84" s="351"/>
      <c r="W84" s="352"/>
      <c r="X84" s="383"/>
      <c r="Y84" s="352"/>
      <c r="Z84" s="349">
        <f t="shared" si="4"/>
        <v>0</v>
      </c>
      <c r="AA84" s="13">
        <f t="shared" si="5"/>
        <v>0</v>
      </c>
      <c r="AB84" s="351"/>
      <c r="AC84" s="352"/>
      <c r="AD84" s="351"/>
      <c r="AE84" s="352"/>
      <c r="AF84" s="352"/>
      <c r="AG84" s="352"/>
      <c r="AH84" s="108">
        <f t="shared" si="6"/>
        <v>0</v>
      </c>
      <c r="AI84" s="108" t="str">
        <f>IF('Sch2a-Imp Price by ECM'!C85="Yes", 0, 'Sch2a-Imp Price by ECM'!L85)</f>
        <v/>
      </c>
      <c r="AJ84" s="124" t="str">
        <f t="shared" si="7"/>
        <v/>
      </c>
      <c r="AK84" s="1" t="str">
        <f>IF('Sch2a-Imp Price by ECM'!M85="","",'Sch2a-Imp Price by ECM'!M85)</f>
        <v/>
      </c>
    </row>
    <row r="85" spans="1:37" ht="16.5" thickBot="1">
      <c r="A85" s="72" t="str">
        <f>IF('Sch2a-Imp Price by ECM'!B86="","",'Sch2a-Imp Price by ECM'!B86)</f>
        <v/>
      </c>
      <c r="B85" s="139" t="str">
        <f>IF('Sch2a-Imp Price by ECM'!D86="","",'Sch2a-Imp Price by ECM'!D86)</f>
        <v/>
      </c>
      <c r="C85" s="358" t="str">
        <f>IF('Sch2a-Imp Price by ECM'!G86="","",'Sch2a-Imp Price by ECM'!G86)</f>
        <v/>
      </c>
      <c r="D85" s="471"/>
      <c r="E85" s="350"/>
      <c r="F85" s="350"/>
      <c r="G85" s="350"/>
      <c r="H85" s="350"/>
      <c r="I85" s="242"/>
      <c r="J85" s="350"/>
      <c r="K85" s="350"/>
      <c r="L85" s="241"/>
      <c r="M85" s="241"/>
      <c r="N85" s="241"/>
      <c r="O85" s="235"/>
      <c r="P85" s="350"/>
      <c r="Q85" s="241"/>
      <c r="R85" s="351"/>
      <c r="S85" s="241"/>
      <c r="T85" s="351"/>
      <c r="U85" s="352"/>
      <c r="V85" s="351"/>
      <c r="W85" s="352"/>
      <c r="X85" s="383"/>
      <c r="Y85" s="352"/>
      <c r="Z85" s="349">
        <f t="shared" si="4"/>
        <v>0</v>
      </c>
      <c r="AA85" s="13">
        <f t="shared" si="5"/>
        <v>0</v>
      </c>
      <c r="AB85" s="351"/>
      <c r="AC85" s="352"/>
      <c r="AD85" s="351"/>
      <c r="AE85" s="352"/>
      <c r="AF85" s="352"/>
      <c r="AG85" s="352"/>
      <c r="AH85" s="108">
        <f t="shared" si="6"/>
        <v>0</v>
      </c>
      <c r="AI85" s="108" t="str">
        <f>IF('Sch2a-Imp Price by ECM'!C86="Yes", 0, 'Sch2a-Imp Price by ECM'!L86)</f>
        <v/>
      </c>
      <c r="AJ85" s="124" t="str">
        <f t="shared" si="7"/>
        <v/>
      </c>
      <c r="AK85" s="1" t="str">
        <f>IF('Sch2a-Imp Price by ECM'!M86="","",'Sch2a-Imp Price by ECM'!M86)</f>
        <v/>
      </c>
    </row>
    <row r="86" spans="1:37" ht="16.5" thickBot="1">
      <c r="A86" s="72" t="str">
        <f>IF('Sch2a-Imp Price by ECM'!B87="","",'Sch2a-Imp Price by ECM'!B87)</f>
        <v/>
      </c>
      <c r="B86" s="139" t="str">
        <f>IF('Sch2a-Imp Price by ECM'!D87="","",'Sch2a-Imp Price by ECM'!D87)</f>
        <v/>
      </c>
      <c r="C86" s="358" t="str">
        <f>IF('Sch2a-Imp Price by ECM'!G87="","",'Sch2a-Imp Price by ECM'!G87)</f>
        <v/>
      </c>
      <c r="D86" s="471"/>
      <c r="E86" s="350"/>
      <c r="F86" s="350"/>
      <c r="G86" s="350"/>
      <c r="H86" s="350"/>
      <c r="I86" s="242"/>
      <c r="J86" s="350"/>
      <c r="K86" s="350"/>
      <c r="L86" s="241"/>
      <c r="M86" s="241"/>
      <c r="N86" s="241"/>
      <c r="O86" s="235"/>
      <c r="P86" s="350"/>
      <c r="Q86" s="241"/>
      <c r="R86" s="351"/>
      <c r="S86" s="241"/>
      <c r="T86" s="351"/>
      <c r="U86" s="352"/>
      <c r="V86" s="351"/>
      <c r="W86" s="352"/>
      <c r="X86" s="383"/>
      <c r="Y86" s="352"/>
      <c r="Z86" s="349">
        <f t="shared" si="4"/>
        <v>0</v>
      </c>
      <c r="AA86" s="13">
        <f t="shared" si="5"/>
        <v>0</v>
      </c>
      <c r="AB86" s="351"/>
      <c r="AC86" s="352"/>
      <c r="AD86" s="351"/>
      <c r="AE86" s="352"/>
      <c r="AF86" s="352"/>
      <c r="AG86" s="352"/>
      <c r="AH86" s="108">
        <f t="shared" si="6"/>
        <v>0</v>
      </c>
      <c r="AI86" s="108" t="str">
        <f>IF('Sch2a-Imp Price by ECM'!C87="Yes", 0, 'Sch2a-Imp Price by ECM'!L87)</f>
        <v/>
      </c>
      <c r="AJ86" s="124" t="str">
        <f t="shared" si="7"/>
        <v/>
      </c>
      <c r="AK86" s="1" t="str">
        <f>IF('Sch2a-Imp Price by ECM'!M87="","",'Sch2a-Imp Price by ECM'!M87)</f>
        <v/>
      </c>
    </row>
    <row r="87" spans="1:37" ht="16.5" thickBot="1">
      <c r="A87" s="72" t="str">
        <f>IF('Sch2a-Imp Price by ECM'!B88="","",'Sch2a-Imp Price by ECM'!B88)</f>
        <v/>
      </c>
      <c r="B87" s="139" t="str">
        <f>IF('Sch2a-Imp Price by ECM'!D88="","",'Sch2a-Imp Price by ECM'!D88)</f>
        <v/>
      </c>
      <c r="C87" s="358" t="str">
        <f>IF('Sch2a-Imp Price by ECM'!G88="","",'Sch2a-Imp Price by ECM'!G88)</f>
        <v/>
      </c>
      <c r="D87" s="471"/>
      <c r="E87" s="350"/>
      <c r="F87" s="350"/>
      <c r="G87" s="350"/>
      <c r="H87" s="350"/>
      <c r="I87" s="242"/>
      <c r="J87" s="350"/>
      <c r="K87" s="350"/>
      <c r="L87" s="241"/>
      <c r="M87" s="241"/>
      <c r="N87" s="241"/>
      <c r="O87" s="235"/>
      <c r="P87" s="350"/>
      <c r="Q87" s="241"/>
      <c r="R87" s="351"/>
      <c r="S87" s="241"/>
      <c r="T87" s="351"/>
      <c r="U87" s="352"/>
      <c r="V87" s="351"/>
      <c r="W87" s="352"/>
      <c r="X87" s="383"/>
      <c r="Y87" s="352"/>
      <c r="Z87" s="349">
        <f t="shared" si="4"/>
        <v>0</v>
      </c>
      <c r="AA87" s="13">
        <f t="shared" si="5"/>
        <v>0</v>
      </c>
      <c r="AB87" s="351"/>
      <c r="AC87" s="352"/>
      <c r="AD87" s="351"/>
      <c r="AE87" s="352"/>
      <c r="AF87" s="352"/>
      <c r="AG87" s="352"/>
      <c r="AH87" s="108">
        <f t="shared" si="6"/>
        <v>0</v>
      </c>
      <c r="AI87" s="108" t="str">
        <f>IF('Sch2a-Imp Price by ECM'!C88="Yes", 0, 'Sch2a-Imp Price by ECM'!L88)</f>
        <v/>
      </c>
      <c r="AJ87" s="124" t="str">
        <f t="shared" si="7"/>
        <v/>
      </c>
      <c r="AK87" s="1" t="str">
        <f>IF('Sch2a-Imp Price by ECM'!M88="","",'Sch2a-Imp Price by ECM'!M88)</f>
        <v/>
      </c>
    </row>
    <row r="88" spans="1:37" ht="16.5" thickBot="1">
      <c r="A88" s="72" t="str">
        <f>IF('Sch2a-Imp Price by ECM'!B89="","",'Sch2a-Imp Price by ECM'!B89)</f>
        <v/>
      </c>
      <c r="B88" s="139" t="str">
        <f>IF('Sch2a-Imp Price by ECM'!D89="","",'Sch2a-Imp Price by ECM'!D89)</f>
        <v/>
      </c>
      <c r="C88" s="358" t="str">
        <f>IF('Sch2a-Imp Price by ECM'!G89="","",'Sch2a-Imp Price by ECM'!G89)</f>
        <v/>
      </c>
      <c r="D88" s="471"/>
      <c r="E88" s="350"/>
      <c r="F88" s="350"/>
      <c r="G88" s="350"/>
      <c r="H88" s="350"/>
      <c r="I88" s="242"/>
      <c r="J88" s="350"/>
      <c r="K88" s="350"/>
      <c r="L88" s="241"/>
      <c r="M88" s="241"/>
      <c r="N88" s="241"/>
      <c r="O88" s="235"/>
      <c r="P88" s="350"/>
      <c r="Q88" s="241"/>
      <c r="R88" s="351"/>
      <c r="S88" s="241"/>
      <c r="T88" s="351"/>
      <c r="U88" s="352"/>
      <c r="V88" s="351"/>
      <c r="W88" s="352"/>
      <c r="X88" s="383"/>
      <c r="Y88" s="352"/>
      <c r="Z88" s="349">
        <f t="shared" si="4"/>
        <v>0</v>
      </c>
      <c r="AA88" s="13">
        <f t="shared" si="5"/>
        <v>0</v>
      </c>
      <c r="AB88" s="351"/>
      <c r="AC88" s="352"/>
      <c r="AD88" s="351"/>
      <c r="AE88" s="352"/>
      <c r="AF88" s="352"/>
      <c r="AG88" s="352"/>
      <c r="AH88" s="108">
        <f t="shared" si="6"/>
        <v>0</v>
      </c>
      <c r="AI88" s="108" t="str">
        <f>IF('Sch2a-Imp Price by ECM'!C89="Yes", 0, 'Sch2a-Imp Price by ECM'!L89)</f>
        <v/>
      </c>
      <c r="AJ88" s="124" t="str">
        <f t="shared" si="7"/>
        <v/>
      </c>
      <c r="AK88" s="1" t="str">
        <f>IF('Sch2a-Imp Price by ECM'!M89="","",'Sch2a-Imp Price by ECM'!M89)</f>
        <v/>
      </c>
    </row>
    <row r="89" spans="1:37" ht="16.5" thickBot="1">
      <c r="A89" s="72" t="str">
        <f>IF('Sch2a-Imp Price by ECM'!B90="","",'Sch2a-Imp Price by ECM'!B90)</f>
        <v/>
      </c>
      <c r="B89" s="139" t="str">
        <f>IF('Sch2a-Imp Price by ECM'!D90="","",'Sch2a-Imp Price by ECM'!D90)</f>
        <v/>
      </c>
      <c r="C89" s="358" t="str">
        <f>IF('Sch2a-Imp Price by ECM'!G90="","",'Sch2a-Imp Price by ECM'!G90)</f>
        <v/>
      </c>
      <c r="D89" s="471"/>
      <c r="E89" s="350"/>
      <c r="F89" s="350"/>
      <c r="G89" s="350"/>
      <c r="H89" s="350"/>
      <c r="I89" s="242"/>
      <c r="J89" s="350"/>
      <c r="K89" s="350"/>
      <c r="L89" s="241"/>
      <c r="M89" s="241"/>
      <c r="N89" s="241"/>
      <c r="O89" s="235"/>
      <c r="P89" s="350"/>
      <c r="Q89" s="241"/>
      <c r="R89" s="351"/>
      <c r="S89" s="241"/>
      <c r="T89" s="351"/>
      <c r="U89" s="352"/>
      <c r="V89" s="351"/>
      <c r="W89" s="352"/>
      <c r="X89" s="383"/>
      <c r="Y89" s="352"/>
      <c r="Z89" s="349">
        <f t="shared" si="4"/>
        <v>0</v>
      </c>
      <c r="AA89" s="13">
        <f t="shared" si="5"/>
        <v>0</v>
      </c>
      <c r="AB89" s="351"/>
      <c r="AC89" s="352"/>
      <c r="AD89" s="351"/>
      <c r="AE89" s="352"/>
      <c r="AF89" s="352"/>
      <c r="AG89" s="352"/>
      <c r="AH89" s="108">
        <f t="shared" si="6"/>
        <v>0</v>
      </c>
      <c r="AI89" s="108" t="str">
        <f>IF('Sch2a-Imp Price by ECM'!C90="Yes", 0, 'Sch2a-Imp Price by ECM'!L90)</f>
        <v/>
      </c>
      <c r="AJ89" s="124" t="str">
        <f t="shared" si="7"/>
        <v/>
      </c>
      <c r="AK89" s="1" t="str">
        <f>IF('Sch2a-Imp Price by ECM'!M90="","",'Sch2a-Imp Price by ECM'!M90)</f>
        <v/>
      </c>
    </row>
    <row r="90" spans="1:37" ht="16.5" thickBot="1">
      <c r="A90" s="72" t="str">
        <f>IF('Sch2a-Imp Price by ECM'!B91="","",'Sch2a-Imp Price by ECM'!B91)</f>
        <v/>
      </c>
      <c r="B90" s="139" t="str">
        <f>IF('Sch2a-Imp Price by ECM'!D91="","",'Sch2a-Imp Price by ECM'!D91)</f>
        <v/>
      </c>
      <c r="C90" s="358" t="str">
        <f>IF('Sch2a-Imp Price by ECM'!G91="","",'Sch2a-Imp Price by ECM'!G91)</f>
        <v/>
      </c>
      <c r="D90" s="471"/>
      <c r="E90" s="350"/>
      <c r="F90" s="350"/>
      <c r="G90" s="350"/>
      <c r="H90" s="350"/>
      <c r="I90" s="242"/>
      <c r="J90" s="350"/>
      <c r="K90" s="350"/>
      <c r="L90" s="241"/>
      <c r="M90" s="241"/>
      <c r="N90" s="241"/>
      <c r="O90" s="235"/>
      <c r="P90" s="350"/>
      <c r="Q90" s="241"/>
      <c r="R90" s="351"/>
      <c r="S90" s="241"/>
      <c r="T90" s="351"/>
      <c r="U90" s="352"/>
      <c r="V90" s="351"/>
      <c r="W90" s="352"/>
      <c r="X90" s="383"/>
      <c r="Y90" s="352"/>
      <c r="Z90" s="349">
        <f t="shared" si="4"/>
        <v>0</v>
      </c>
      <c r="AA90" s="13">
        <f t="shared" si="5"/>
        <v>0</v>
      </c>
      <c r="AB90" s="351"/>
      <c r="AC90" s="352"/>
      <c r="AD90" s="351"/>
      <c r="AE90" s="352"/>
      <c r="AF90" s="352"/>
      <c r="AG90" s="352"/>
      <c r="AH90" s="108">
        <f t="shared" si="6"/>
        <v>0</v>
      </c>
      <c r="AI90" s="108" t="str">
        <f>IF('Sch2a-Imp Price by ECM'!C91="Yes", 0, 'Sch2a-Imp Price by ECM'!L91)</f>
        <v/>
      </c>
      <c r="AJ90" s="124" t="str">
        <f t="shared" si="7"/>
        <v/>
      </c>
      <c r="AK90" s="1" t="str">
        <f>IF('Sch2a-Imp Price by ECM'!M91="","",'Sch2a-Imp Price by ECM'!M91)</f>
        <v/>
      </c>
    </row>
    <row r="91" spans="1:37" ht="16.5" thickBot="1">
      <c r="A91" s="72" t="str">
        <f>IF('Sch2a-Imp Price by ECM'!B92="","",'Sch2a-Imp Price by ECM'!B92)</f>
        <v/>
      </c>
      <c r="B91" s="139" t="str">
        <f>IF('Sch2a-Imp Price by ECM'!D92="","",'Sch2a-Imp Price by ECM'!D92)</f>
        <v/>
      </c>
      <c r="C91" s="358" t="str">
        <f>IF('Sch2a-Imp Price by ECM'!G92="","",'Sch2a-Imp Price by ECM'!G92)</f>
        <v/>
      </c>
      <c r="D91" s="471"/>
      <c r="E91" s="350"/>
      <c r="F91" s="350"/>
      <c r="G91" s="350"/>
      <c r="H91" s="350"/>
      <c r="I91" s="242"/>
      <c r="J91" s="350"/>
      <c r="K91" s="350"/>
      <c r="L91" s="241"/>
      <c r="M91" s="241"/>
      <c r="N91" s="241"/>
      <c r="O91" s="235"/>
      <c r="P91" s="350"/>
      <c r="Q91" s="241"/>
      <c r="R91" s="351"/>
      <c r="S91" s="241"/>
      <c r="T91" s="351"/>
      <c r="U91" s="352"/>
      <c r="V91" s="351"/>
      <c r="W91" s="352"/>
      <c r="X91" s="383"/>
      <c r="Y91" s="352"/>
      <c r="Z91" s="349">
        <f t="shared" si="4"/>
        <v>0</v>
      </c>
      <c r="AA91" s="13">
        <f t="shared" si="5"/>
        <v>0</v>
      </c>
      <c r="AB91" s="351"/>
      <c r="AC91" s="352"/>
      <c r="AD91" s="351"/>
      <c r="AE91" s="352"/>
      <c r="AF91" s="352"/>
      <c r="AG91" s="352"/>
      <c r="AH91" s="108">
        <f t="shared" si="6"/>
        <v>0</v>
      </c>
      <c r="AI91" s="108" t="str">
        <f>IF('Sch2a-Imp Price by ECM'!C92="Yes", 0, 'Sch2a-Imp Price by ECM'!L92)</f>
        <v/>
      </c>
      <c r="AJ91" s="124" t="str">
        <f t="shared" si="7"/>
        <v/>
      </c>
      <c r="AK91" s="1" t="str">
        <f>IF('Sch2a-Imp Price by ECM'!M92="","",'Sch2a-Imp Price by ECM'!M92)</f>
        <v/>
      </c>
    </row>
    <row r="92" spans="1:37" ht="16.5" thickBot="1">
      <c r="A92" s="72" t="str">
        <f>IF('Sch2a-Imp Price by ECM'!B93="","",'Sch2a-Imp Price by ECM'!B93)</f>
        <v/>
      </c>
      <c r="B92" s="139" t="str">
        <f>IF('Sch2a-Imp Price by ECM'!D93="","",'Sch2a-Imp Price by ECM'!D93)</f>
        <v/>
      </c>
      <c r="C92" s="358" t="str">
        <f>IF('Sch2a-Imp Price by ECM'!G93="","",'Sch2a-Imp Price by ECM'!G93)</f>
        <v/>
      </c>
      <c r="D92" s="471"/>
      <c r="E92" s="350"/>
      <c r="F92" s="350"/>
      <c r="G92" s="350"/>
      <c r="H92" s="350"/>
      <c r="I92" s="242"/>
      <c r="J92" s="350"/>
      <c r="K92" s="350"/>
      <c r="L92" s="241"/>
      <c r="M92" s="241"/>
      <c r="N92" s="241"/>
      <c r="O92" s="235"/>
      <c r="P92" s="350"/>
      <c r="Q92" s="241"/>
      <c r="R92" s="351"/>
      <c r="S92" s="241"/>
      <c r="T92" s="351"/>
      <c r="U92" s="352"/>
      <c r="V92" s="351"/>
      <c r="W92" s="352"/>
      <c r="X92" s="383"/>
      <c r="Y92" s="352"/>
      <c r="Z92" s="349">
        <f t="shared" si="4"/>
        <v>0</v>
      </c>
      <c r="AA92" s="13">
        <f t="shared" si="5"/>
        <v>0</v>
      </c>
      <c r="AB92" s="351"/>
      <c r="AC92" s="352"/>
      <c r="AD92" s="351"/>
      <c r="AE92" s="352"/>
      <c r="AF92" s="352"/>
      <c r="AG92" s="352"/>
      <c r="AH92" s="108">
        <f t="shared" si="6"/>
        <v>0</v>
      </c>
      <c r="AI92" s="108" t="str">
        <f>IF('Sch2a-Imp Price by ECM'!C93="Yes", 0, 'Sch2a-Imp Price by ECM'!L93)</f>
        <v/>
      </c>
      <c r="AJ92" s="124" t="str">
        <f t="shared" si="7"/>
        <v/>
      </c>
      <c r="AK92" s="1" t="str">
        <f>IF('Sch2a-Imp Price by ECM'!M93="","",'Sch2a-Imp Price by ECM'!M93)</f>
        <v/>
      </c>
    </row>
    <row r="93" spans="1:37" ht="16.5" thickBot="1">
      <c r="A93" s="72" t="str">
        <f>IF('Sch2a-Imp Price by ECM'!B94="","",'Sch2a-Imp Price by ECM'!B94)</f>
        <v/>
      </c>
      <c r="B93" s="139" t="str">
        <f>IF('Sch2a-Imp Price by ECM'!D94="","",'Sch2a-Imp Price by ECM'!D94)</f>
        <v/>
      </c>
      <c r="C93" s="358" t="str">
        <f>IF('Sch2a-Imp Price by ECM'!G94="","",'Sch2a-Imp Price by ECM'!G94)</f>
        <v/>
      </c>
      <c r="D93" s="471"/>
      <c r="E93" s="350"/>
      <c r="F93" s="350"/>
      <c r="G93" s="350"/>
      <c r="H93" s="350"/>
      <c r="I93" s="242"/>
      <c r="J93" s="350"/>
      <c r="K93" s="350"/>
      <c r="L93" s="241"/>
      <c r="M93" s="241"/>
      <c r="N93" s="241"/>
      <c r="O93" s="242"/>
      <c r="P93" s="350"/>
      <c r="Q93" s="241"/>
      <c r="R93" s="351"/>
      <c r="S93" s="241"/>
      <c r="T93" s="351"/>
      <c r="U93" s="352"/>
      <c r="V93" s="351"/>
      <c r="W93" s="352"/>
      <c r="X93" s="383"/>
      <c r="Y93" s="352"/>
      <c r="Z93" s="349">
        <f t="shared" si="4"/>
        <v>0</v>
      </c>
      <c r="AA93" s="13">
        <f t="shared" si="5"/>
        <v>0</v>
      </c>
      <c r="AB93" s="351"/>
      <c r="AC93" s="352"/>
      <c r="AD93" s="351"/>
      <c r="AE93" s="352"/>
      <c r="AF93" s="352"/>
      <c r="AG93" s="352"/>
      <c r="AH93" s="108">
        <f t="shared" si="6"/>
        <v>0</v>
      </c>
      <c r="AI93" s="108" t="str">
        <f>IF('Sch2a-Imp Price by ECM'!C94="Yes", 0, 'Sch2a-Imp Price by ECM'!L94)</f>
        <v/>
      </c>
      <c r="AJ93" s="124" t="str">
        <f t="shared" si="7"/>
        <v/>
      </c>
      <c r="AK93" s="1" t="str">
        <f>IF('Sch2a-Imp Price by ECM'!M94="","",'Sch2a-Imp Price by ECM'!M94)</f>
        <v/>
      </c>
    </row>
    <row r="94" spans="1:37" ht="16.5" thickBot="1">
      <c r="A94" s="72" t="str">
        <f>IF('Sch2a-Imp Price by ECM'!B95="","",'Sch2a-Imp Price by ECM'!B95)</f>
        <v/>
      </c>
      <c r="B94" s="139" t="str">
        <f>IF('Sch2a-Imp Price by ECM'!D95="","",'Sch2a-Imp Price by ECM'!D95)</f>
        <v/>
      </c>
      <c r="C94" s="358" t="str">
        <f>IF('Sch2a-Imp Price by ECM'!G95="","",'Sch2a-Imp Price by ECM'!G95)</f>
        <v/>
      </c>
      <c r="D94" s="471"/>
      <c r="E94" s="350"/>
      <c r="F94" s="350"/>
      <c r="G94" s="350"/>
      <c r="H94" s="350"/>
      <c r="I94" s="242"/>
      <c r="J94" s="350"/>
      <c r="K94" s="350"/>
      <c r="L94" s="241"/>
      <c r="M94" s="241"/>
      <c r="N94" s="241"/>
      <c r="O94" s="242"/>
      <c r="P94" s="350"/>
      <c r="Q94" s="241"/>
      <c r="R94" s="351"/>
      <c r="S94" s="241"/>
      <c r="T94" s="351"/>
      <c r="U94" s="352"/>
      <c r="V94" s="351"/>
      <c r="W94" s="352"/>
      <c r="X94" s="383"/>
      <c r="Y94" s="352"/>
      <c r="Z94" s="349">
        <f t="shared" si="4"/>
        <v>0</v>
      </c>
      <c r="AA94" s="13">
        <f t="shared" si="5"/>
        <v>0</v>
      </c>
      <c r="AB94" s="351"/>
      <c r="AC94" s="352"/>
      <c r="AD94" s="351"/>
      <c r="AE94" s="352"/>
      <c r="AF94" s="352"/>
      <c r="AG94" s="352"/>
      <c r="AH94" s="108">
        <f t="shared" si="6"/>
        <v>0</v>
      </c>
      <c r="AI94" s="108" t="str">
        <f>IF('Sch2a-Imp Price by ECM'!C95="Yes", 0, 'Sch2a-Imp Price by ECM'!L95)</f>
        <v/>
      </c>
      <c r="AJ94" s="124" t="str">
        <f t="shared" si="7"/>
        <v/>
      </c>
      <c r="AK94" s="1" t="str">
        <f>IF('Sch2a-Imp Price by ECM'!M95="","",'Sch2a-Imp Price by ECM'!M95)</f>
        <v/>
      </c>
    </row>
    <row r="95" spans="1:37" ht="16.5" thickBot="1">
      <c r="A95" s="72" t="str">
        <f>IF('Sch2a-Imp Price by ECM'!B96="","",'Sch2a-Imp Price by ECM'!B96)</f>
        <v/>
      </c>
      <c r="B95" s="139" t="str">
        <f>IF('Sch2a-Imp Price by ECM'!D96="","",'Sch2a-Imp Price by ECM'!D96)</f>
        <v/>
      </c>
      <c r="C95" s="358" t="str">
        <f>IF('Sch2a-Imp Price by ECM'!G96="","",'Sch2a-Imp Price by ECM'!G96)</f>
        <v/>
      </c>
      <c r="D95" s="471"/>
      <c r="E95" s="350"/>
      <c r="F95" s="350"/>
      <c r="G95" s="350"/>
      <c r="H95" s="350"/>
      <c r="I95" s="242"/>
      <c r="J95" s="350"/>
      <c r="K95" s="350"/>
      <c r="L95" s="241"/>
      <c r="M95" s="241"/>
      <c r="N95" s="241"/>
      <c r="O95" s="242"/>
      <c r="P95" s="350"/>
      <c r="Q95" s="241"/>
      <c r="R95" s="351"/>
      <c r="S95" s="241"/>
      <c r="T95" s="351"/>
      <c r="U95" s="352"/>
      <c r="V95" s="351"/>
      <c r="W95" s="352"/>
      <c r="X95" s="383"/>
      <c r="Y95" s="352"/>
      <c r="Z95" s="349">
        <f t="shared" si="4"/>
        <v>0</v>
      </c>
      <c r="AA95" s="13">
        <f t="shared" si="5"/>
        <v>0</v>
      </c>
      <c r="AB95" s="351"/>
      <c r="AC95" s="352"/>
      <c r="AD95" s="351"/>
      <c r="AE95" s="352"/>
      <c r="AF95" s="352"/>
      <c r="AG95" s="352"/>
      <c r="AH95" s="108">
        <f t="shared" si="6"/>
        <v>0</v>
      </c>
      <c r="AI95" s="108" t="str">
        <f>IF('Sch2a-Imp Price by ECM'!C96="Yes", 0, 'Sch2a-Imp Price by ECM'!L96)</f>
        <v/>
      </c>
      <c r="AJ95" s="124" t="str">
        <f t="shared" si="7"/>
        <v/>
      </c>
      <c r="AK95" s="1" t="str">
        <f>IF('Sch2a-Imp Price by ECM'!M96="","",'Sch2a-Imp Price by ECM'!M96)</f>
        <v/>
      </c>
    </row>
    <row r="96" spans="1:37" ht="16.5" thickBot="1">
      <c r="A96" s="72" t="str">
        <f>IF('Sch2a-Imp Price by ECM'!B97="","",'Sch2a-Imp Price by ECM'!B97)</f>
        <v/>
      </c>
      <c r="B96" s="139" t="str">
        <f>IF('Sch2a-Imp Price by ECM'!D97="","",'Sch2a-Imp Price by ECM'!D97)</f>
        <v/>
      </c>
      <c r="C96" s="358" t="str">
        <f>IF('Sch2a-Imp Price by ECM'!G97="","",'Sch2a-Imp Price by ECM'!G97)</f>
        <v/>
      </c>
      <c r="D96" s="471"/>
      <c r="E96" s="350"/>
      <c r="F96" s="350"/>
      <c r="G96" s="350"/>
      <c r="H96" s="350"/>
      <c r="I96" s="242"/>
      <c r="J96" s="350"/>
      <c r="K96" s="350"/>
      <c r="L96" s="241"/>
      <c r="M96" s="241"/>
      <c r="N96" s="241"/>
      <c r="O96" s="242"/>
      <c r="P96" s="350"/>
      <c r="Q96" s="241"/>
      <c r="R96" s="351"/>
      <c r="S96" s="241"/>
      <c r="T96" s="351"/>
      <c r="U96" s="352"/>
      <c r="V96" s="351"/>
      <c r="W96" s="352"/>
      <c r="X96" s="383"/>
      <c r="Y96" s="352"/>
      <c r="Z96" s="349">
        <f t="shared" si="4"/>
        <v>0</v>
      </c>
      <c r="AA96" s="13">
        <f t="shared" si="5"/>
        <v>0</v>
      </c>
      <c r="AB96" s="351"/>
      <c r="AC96" s="352"/>
      <c r="AD96" s="351"/>
      <c r="AE96" s="352"/>
      <c r="AF96" s="352"/>
      <c r="AG96" s="352"/>
      <c r="AH96" s="108">
        <f t="shared" si="6"/>
        <v>0</v>
      </c>
      <c r="AI96" s="108" t="str">
        <f>IF('Sch2a-Imp Price by ECM'!C97="Yes", 0, 'Sch2a-Imp Price by ECM'!L97)</f>
        <v/>
      </c>
      <c r="AJ96" s="124" t="str">
        <f t="shared" si="7"/>
        <v/>
      </c>
      <c r="AK96" s="1" t="str">
        <f>IF('Sch2a-Imp Price by ECM'!M97="","",'Sch2a-Imp Price by ECM'!M97)</f>
        <v/>
      </c>
    </row>
    <row r="97" spans="1:37" ht="18" customHeight="1" thickBot="1">
      <c r="A97" s="72" t="str">
        <f>IF('Sch2a-Imp Price by ECM'!B98="","",'Sch2a-Imp Price by ECM'!B98)</f>
        <v/>
      </c>
      <c r="B97" s="139" t="str">
        <f>IF('Sch2a-Imp Price by ECM'!D98="","",'Sch2a-Imp Price by ECM'!D98)</f>
        <v/>
      </c>
      <c r="C97" s="358" t="str">
        <f>IF('Sch2a-Imp Price by ECM'!G98="","",'Sch2a-Imp Price by ECM'!G98)</f>
        <v/>
      </c>
      <c r="D97" s="471"/>
      <c r="E97" s="350"/>
      <c r="F97" s="350"/>
      <c r="G97" s="350"/>
      <c r="H97" s="350"/>
      <c r="I97" s="242"/>
      <c r="J97" s="350"/>
      <c r="K97" s="350"/>
      <c r="L97" s="241"/>
      <c r="M97" s="241"/>
      <c r="N97" s="241"/>
      <c r="O97" s="242"/>
      <c r="P97" s="350"/>
      <c r="Q97" s="241"/>
      <c r="R97" s="351"/>
      <c r="S97" s="241"/>
      <c r="T97" s="351"/>
      <c r="U97" s="352"/>
      <c r="V97" s="351"/>
      <c r="W97" s="352"/>
      <c r="X97" s="383"/>
      <c r="Y97" s="352"/>
      <c r="Z97" s="349">
        <f t="shared" si="4"/>
        <v>0</v>
      </c>
      <c r="AA97" s="13">
        <f t="shared" si="5"/>
        <v>0</v>
      </c>
      <c r="AB97" s="351"/>
      <c r="AC97" s="352"/>
      <c r="AD97" s="351"/>
      <c r="AE97" s="352"/>
      <c r="AF97" s="352"/>
      <c r="AG97" s="352"/>
      <c r="AH97" s="108">
        <f t="shared" si="6"/>
        <v>0</v>
      </c>
      <c r="AI97" s="108" t="str">
        <f>IF('Sch2a-Imp Price by ECM'!C98="Yes", 0, 'Sch2a-Imp Price by ECM'!L98)</f>
        <v/>
      </c>
      <c r="AJ97" s="124" t="str">
        <f t="shared" si="7"/>
        <v/>
      </c>
      <c r="AK97" s="1" t="str">
        <f>IF('Sch2a-Imp Price by ECM'!M98="","",'Sch2a-Imp Price by ECM'!M98)</f>
        <v/>
      </c>
    </row>
    <row r="98" spans="1:37" ht="16.5" thickBot="1">
      <c r="A98" s="72" t="str">
        <f>IF('Sch2a-Imp Price by ECM'!B99="","",'Sch2a-Imp Price by ECM'!B99)</f>
        <v/>
      </c>
      <c r="B98" s="139" t="str">
        <f>IF('Sch2a-Imp Price by ECM'!D99="","",'Sch2a-Imp Price by ECM'!D99)</f>
        <v/>
      </c>
      <c r="C98" s="358" t="str">
        <f>IF('Sch2a-Imp Price by ECM'!G99="","",'Sch2a-Imp Price by ECM'!G99)</f>
        <v/>
      </c>
      <c r="D98" s="471"/>
      <c r="E98" s="350"/>
      <c r="F98" s="350"/>
      <c r="G98" s="350"/>
      <c r="H98" s="350"/>
      <c r="I98" s="242"/>
      <c r="J98" s="350"/>
      <c r="K98" s="350"/>
      <c r="L98" s="241"/>
      <c r="M98" s="241"/>
      <c r="N98" s="241"/>
      <c r="O98" s="242"/>
      <c r="P98" s="350"/>
      <c r="Q98" s="241"/>
      <c r="R98" s="351"/>
      <c r="S98" s="241"/>
      <c r="T98" s="351"/>
      <c r="U98" s="352"/>
      <c r="V98" s="351"/>
      <c r="W98" s="352"/>
      <c r="X98" s="383"/>
      <c r="Y98" s="352"/>
      <c r="Z98" s="349">
        <f t="shared" si="4"/>
        <v>0</v>
      </c>
      <c r="AA98" s="13">
        <f t="shared" si="5"/>
        <v>0</v>
      </c>
      <c r="AB98" s="351"/>
      <c r="AC98" s="352"/>
      <c r="AD98" s="351"/>
      <c r="AE98" s="352"/>
      <c r="AF98" s="352"/>
      <c r="AG98" s="352"/>
      <c r="AH98" s="108">
        <f t="shared" si="6"/>
        <v>0</v>
      </c>
      <c r="AI98" s="108" t="str">
        <f>IF('Sch2a-Imp Price by ECM'!C99="Yes", 0, 'Sch2a-Imp Price by ECM'!L99)</f>
        <v/>
      </c>
      <c r="AJ98" s="124" t="str">
        <f t="shared" si="7"/>
        <v/>
      </c>
      <c r="AK98" s="1" t="str">
        <f>IF('Sch2a-Imp Price by ECM'!M99="","",'Sch2a-Imp Price by ECM'!M99)</f>
        <v/>
      </c>
    </row>
    <row r="99" spans="1:37" ht="16.5" thickBot="1">
      <c r="A99" s="72" t="str">
        <f>IF('Sch2a-Imp Price by ECM'!B100="","",'Sch2a-Imp Price by ECM'!B100)</f>
        <v/>
      </c>
      <c r="B99" s="139" t="str">
        <f>IF('Sch2a-Imp Price by ECM'!D100="","",'Sch2a-Imp Price by ECM'!D100)</f>
        <v/>
      </c>
      <c r="C99" s="358" t="str">
        <f>IF('Sch2a-Imp Price by ECM'!G100="","",'Sch2a-Imp Price by ECM'!G100)</f>
        <v/>
      </c>
      <c r="D99" s="471"/>
      <c r="E99" s="350"/>
      <c r="F99" s="350"/>
      <c r="G99" s="350"/>
      <c r="H99" s="350"/>
      <c r="I99" s="242"/>
      <c r="J99" s="350"/>
      <c r="K99" s="350"/>
      <c r="L99" s="241"/>
      <c r="M99" s="241"/>
      <c r="N99" s="241"/>
      <c r="O99" s="242"/>
      <c r="P99" s="350"/>
      <c r="Q99" s="241"/>
      <c r="R99" s="351"/>
      <c r="S99" s="241"/>
      <c r="T99" s="351"/>
      <c r="U99" s="352"/>
      <c r="V99" s="351"/>
      <c r="W99" s="352"/>
      <c r="X99" s="383"/>
      <c r="Y99" s="352"/>
      <c r="Z99" s="349">
        <f t="shared" si="4"/>
        <v>0</v>
      </c>
      <c r="AA99" s="13">
        <f t="shared" si="5"/>
        <v>0</v>
      </c>
      <c r="AB99" s="351"/>
      <c r="AC99" s="352"/>
      <c r="AD99" s="351"/>
      <c r="AE99" s="352"/>
      <c r="AF99" s="352"/>
      <c r="AG99" s="352"/>
      <c r="AH99" s="108">
        <f t="shared" si="6"/>
        <v>0</v>
      </c>
      <c r="AI99" s="108" t="str">
        <f>IF('Sch2a-Imp Price by ECM'!C100="Yes", 0, 'Sch2a-Imp Price by ECM'!L100)</f>
        <v/>
      </c>
      <c r="AJ99" s="124" t="str">
        <f t="shared" si="7"/>
        <v/>
      </c>
      <c r="AK99" s="1" t="str">
        <f>IF('Sch2a-Imp Price by ECM'!M100="","",'Sch2a-Imp Price by ECM'!M100)</f>
        <v/>
      </c>
    </row>
    <row r="100" spans="1:37" ht="16.5" thickBot="1">
      <c r="A100" s="72" t="str">
        <f>IF('Sch2a-Imp Price by ECM'!B101="","",'Sch2a-Imp Price by ECM'!B101)</f>
        <v/>
      </c>
      <c r="B100" s="139" t="str">
        <f>IF('Sch2a-Imp Price by ECM'!D101="","",'Sch2a-Imp Price by ECM'!D101)</f>
        <v/>
      </c>
      <c r="C100" s="358" t="str">
        <f>IF('Sch2a-Imp Price by ECM'!G101="","",'Sch2a-Imp Price by ECM'!G101)</f>
        <v/>
      </c>
      <c r="D100" s="471"/>
      <c r="E100" s="350"/>
      <c r="F100" s="350"/>
      <c r="G100" s="350"/>
      <c r="H100" s="350"/>
      <c r="I100" s="242"/>
      <c r="J100" s="350"/>
      <c r="K100" s="350"/>
      <c r="L100" s="241"/>
      <c r="M100" s="241"/>
      <c r="N100" s="241"/>
      <c r="O100" s="235"/>
      <c r="P100" s="350"/>
      <c r="Q100" s="241"/>
      <c r="R100" s="351"/>
      <c r="S100" s="241"/>
      <c r="T100" s="351"/>
      <c r="U100" s="352"/>
      <c r="V100" s="351"/>
      <c r="W100" s="352"/>
      <c r="X100" s="383"/>
      <c r="Y100" s="352"/>
      <c r="Z100" s="349">
        <f t="shared" si="4"/>
        <v>0</v>
      </c>
      <c r="AA100" s="13">
        <f t="shared" si="5"/>
        <v>0</v>
      </c>
      <c r="AB100" s="351"/>
      <c r="AC100" s="352"/>
      <c r="AD100" s="351"/>
      <c r="AE100" s="352"/>
      <c r="AF100" s="352"/>
      <c r="AG100" s="352"/>
      <c r="AH100" s="108">
        <f t="shared" si="6"/>
        <v>0</v>
      </c>
      <c r="AI100" s="108" t="str">
        <f>IF('Sch2a-Imp Price by ECM'!C101="Yes", 0, 'Sch2a-Imp Price by ECM'!L101)</f>
        <v/>
      </c>
      <c r="AJ100" s="124" t="str">
        <f t="shared" si="7"/>
        <v/>
      </c>
      <c r="AK100" s="1" t="str">
        <f>IF('Sch2a-Imp Price by ECM'!M101="","",'Sch2a-Imp Price by ECM'!M101)</f>
        <v/>
      </c>
    </row>
    <row r="101" spans="1:37" ht="16.5" thickBot="1">
      <c r="A101" s="72" t="str">
        <f>IF('Sch2a-Imp Price by ECM'!B102="","",'Sch2a-Imp Price by ECM'!B102)</f>
        <v/>
      </c>
      <c r="B101" s="139" t="str">
        <f>IF('Sch2a-Imp Price by ECM'!D102="","",'Sch2a-Imp Price by ECM'!D102)</f>
        <v/>
      </c>
      <c r="C101" s="358" t="str">
        <f>IF('Sch2a-Imp Price by ECM'!G102="","",'Sch2a-Imp Price by ECM'!G102)</f>
        <v/>
      </c>
      <c r="D101" s="471"/>
      <c r="E101" s="350"/>
      <c r="F101" s="350"/>
      <c r="G101" s="350"/>
      <c r="H101" s="350"/>
      <c r="I101" s="242"/>
      <c r="J101" s="350"/>
      <c r="K101" s="350"/>
      <c r="L101" s="241"/>
      <c r="M101" s="241"/>
      <c r="N101" s="241"/>
      <c r="O101" s="235"/>
      <c r="P101" s="350"/>
      <c r="Q101" s="241"/>
      <c r="R101" s="351"/>
      <c r="S101" s="241"/>
      <c r="T101" s="351"/>
      <c r="U101" s="352"/>
      <c r="V101" s="351"/>
      <c r="W101" s="352"/>
      <c r="X101" s="383"/>
      <c r="Y101" s="352"/>
      <c r="Z101" s="349">
        <f t="shared" si="4"/>
        <v>0</v>
      </c>
      <c r="AA101" s="13">
        <f t="shared" si="5"/>
        <v>0</v>
      </c>
      <c r="AB101" s="351"/>
      <c r="AC101" s="352"/>
      <c r="AD101" s="351"/>
      <c r="AE101" s="352"/>
      <c r="AF101" s="352"/>
      <c r="AG101" s="352"/>
      <c r="AH101" s="108">
        <f t="shared" si="6"/>
        <v>0</v>
      </c>
      <c r="AI101" s="108" t="str">
        <f>IF('Sch2a-Imp Price by ECM'!C102="Yes", 0, 'Sch2a-Imp Price by ECM'!L102)</f>
        <v/>
      </c>
      <c r="AJ101" s="124" t="str">
        <f t="shared" si="7"/>
        <v/>
      </c>
      <c r="AK101" s="1" t="str">
        <f>IF('Sch2a-Imp Price by ECM'!M102="","",'Sch2a-Imp Price by ECM'!M102)</f>
        <v/>
      </c>
    </row>
    <row r="102" spans="1:37" ht="16.5" thickBot="1">
      <c r="A102" s="72" t="str">
        <f>IF('Sch2a-Imp Price by ECM'!B103="","",'Sch2a-Imp Price by ECM'!B103)</f>
        <v/>
      </c>
      <c r="B102" s="139" t="str">
        <f>IF('Sch2a-Imp Price by ECM'!D103="","",'Sch2a-Imp Price by ECM'!D103)</f>
        <v/>
      </c>
      <c r="C102" s="358" t="str">
        <f>IF('Sch2a-Imp Price by ECM'!G103="","",'Sch2a-Imp Price by ECM'!G103)</f>
        <v/>
      </c>
      <c r="D102" s="471"/>
      <c r="E102" s="350"/>
      <c r="F102" s="350"/>
      <c r="G102" s="350"/>
      <c r="H102" s="350"/>
      <c r="I102" s="242"/>
      <c r="J102" s="350"/>
      <c r="K102" s="350"/>
      <c r="L102" s="241"/>
      <c r="M102" s="241"/>
      <c r="N102" s="241"/>
      <c r="O102" s="235"/>
      <c r="P102" s="350"/>
      <c r="Q102" s="241"/>
      <c r="R102" s="351"/>
      <c r="S102" s="241"/>
      <c r="T102" s="351"/>
      <c r="U102" s="352"/>
      <c r="V102" s="351"/>
      <c r="W102" s="352"/>
      <c r="X102" s="383"/>
      <c r="Y102" s="352"/>
      <c r="Z102" s="349">
        <f t="shared" si="4"/>
        <v>0</v>
      </c>
      <c r="AA102" s="13">
        <f t="shared" si="5"/>
        <v>0</v>
      </c>
      <c r="AB102" s="351"/>
      <c r="AC102" s="352"/>
      <c r="AD102" s="351"/>
      <c r="AE102" s="352"/>
      <c r="AF102" s="352"/>
      <c r="AG102" s="352"/>
      <c r="AH102" s="108">
        <f t="shared" si="6"/>
        <v>0</v>
      </c>
      <c r="AI102" s="108" t="str">
        <f>IF('Sch2a-Imp Price by ECM'!C103="Yes", 0, 'Sch2a-Imp Price by ECM'!L103)</f>
        <v/>
      </c>
      <c r="AJ102" s="124" t="str">
        <f t="shared" si="7"/>
        <v/>
      </c>
      <c r="AK102" s="1" t="str">
        <f>IF('Sch2a-Imp Price by ECM'!M103="","",'Sch2a-Imp Price by ECM'!M103)</f>
        <v/>
      </c>
    </row>
    <row r="103" spans="1:37" ht="16.5" thickBot="1">
      <c r="A103" s="72" t="str">
        <f>IF('Sch2a-Imp Price by ECM'!B104="","",'Sch2a-Imp Price by ECM'!B104)</f>
        <v/>
      </c>
      <c r="B103" s="139" t="str">
        <f>IF('Sch2a-Imp Price by ECM'!D104="","",'Sch2a-Imp Price by ECM'!D104)</f>
        <v/>
      </c>
      <c r="C103" s="358" t="str">
        <f>IF('Sch2a-Imp Price by ECM'!G104="","",'Sch2a-Imp Price by ECM'!G104)</f>
        <v/>
      </c>
      <c r="D103" s="471"/>
      <c r="E103" s="350"/>
      <c r="F103" s="350"/>
      <c r="G103" s="350"/>
      <c r="H103" s="350"/>
      <c r="I103" s="242"/>
      <c r="J103" s="350"/>
      <c r="K103" s="350"/>
      <c r="L103" s="241"/>
      <c r="M103" s="241"/>
      <c r="N103" s="241"/>
      <c r="O103" s="235"/>
      <c r="P103" s="350"/>
      <c r="Q103" s="241"/>
      <c r="R103" s="351"/>
      <c r="S103" s="241"/>
      <c r="T103" s="351"/>
      <c r="U103" s="352"/>
      <c r="V103" s="351"/>
      <c r="W103" s="352"/>
      <c r="X103" s="383"/>
      <c r="Y103" s="352"/>
      <c r="Z103" s="349">
        <f t="shared" si="4"/>
        <v>0</v>
      </c>
      <c r="AA103" s="13">
        <f t="shared" si="5"/>
        <v>0</v>
      </c>
      <c r="AB103" s="351"/>
      <c r="AC103" s="352"/>
      <c r="AD103" s="351"/>
      <c r="AE103" s="352"/>
      <c r="AF103" s="352"/>
      <c r="AG103" s="352"/>
      <c r="AH103" s="108">
        <f t="shared" si="6"/>
        <v>0</v>
      </c>
      <c r="AI103" s="108" t="str">
        <f>IF('Sch2a-Imp Price by ECM'!C104="Yes", 0, 'Sch2a-Imp Price by ECM'!L104)</f>
        <v/>
      </c>
      <c r="AJ103" s="124" t="str">
        <f t="shared" si="7"/>
        <v/>
      </c>
      <c r="AK103" s="1" t="str">
        <f>IF('Sch2a-Imp Price by ECM'!M104="","",'Sch2a-Imp Price by ECM'!M104)</f>
        <v/>
      </c>
    </row>
    <row r="104" spans="1:37" ht="16.5" thickBot="1">
      <c r="A104" s="72" t="str">
        <f>IF('Sch2a-Imp Price by ECM'!B105="","",'Sch2a-Imp Price by ECM'!B105)</f>
        <v/>
      </c>
      <c r="B104" s="139" t="str">
        <f>IF('Sch2a-Imp Price by ECM'!D105="","",'Sch2a-Imp Price by ECM'!D105)</f>
        <v/>
      </c>
      <c r="C104" s="358" t="str">
        <f>IF('Sch2a-Imp Price by ECM'!G105="","",'Sch2a-Imp Price by ECM'!G105)</f>
        <v/>
      </c>
      <c r="D104" s="471"/>
      <c r="E104" s="350"/>
      <c r="F104" s="350"/>
      <c r="G104" s="350"/>
      <c r="H104" s="350"/>
      <c r="I104" s="242"/>
      <c r="J104" s="350"/>
      <c r="K104" s="350"/>
      <c r="L104" s="241"/>
      <c r="M104" s="241"/>
      <c r="N104" s="241"/>
      <c r="O104" s="235"/>
      <c r="P104" s="350"/>
      <c r="Q104" s="241"/>
      <c r="R104" s="351"/>
      <c r="S104" s="241"/>
      <c r="T104" s="351"/>
      <c r="U104" s="352"/>
      <c r="V104" s="351"/>
      <c r="W104" s="352"/>
      <c r="X104" s="383"/>
      <c r="Y104" s="352"/>
      <c r="Z104" s="349">
        <f t="shared" si="4"/>
        <v>0</v>
      </c>
      <c r="AA104" s="13">
        <f t="shared" si="5"/>
        <v>0</v>
      </c>
      <c r="AB104" s="351"/>
      <c r="AC104" s="352"/>
      <c r="AD104" s="351"/>
      <c r="AE104" s="352"/>
      <c r="AF104" s="352"/>
      <c r="AG104" s="352"/>
      <c r="AH104" s="108">
        <f t="shared" si="6"/>
        <v>0</v>
      </c>
      <c r="AI104" s="108" t="str">
        <f>IF('Sch2a-Imp Price by ECM'!C105="Yes", 0, 'Sch2a-Imp Price by ECM'!L105)</f>
        <v/>
      </c>
      <c r="AJ104" s="124" t="str">
        <f t="shared" si="7"/>
        <v/>
      </c>
      <c r="AK104" s="1" t="str">
        <f>IF('Sch2a-Imp Price by ECM'!M105="","",'Sch2a-Imp Price by ECM'!M105)</f>
        <v/>
      </c>
    </row>
    <row r="105" spans="1:37" ht="16.5" thickBot="1">
      <c r="A105" s="72" t="str">
        <f>IF('Sch2a-Imp Price by ECM'!B106="","",'Sch2a-Imp Price by ECM'!B106)</f>
        <v/>
      </c>
      <c r="B105" s="139" t="str">
        <f>IF('Sch2a-Imp Price by ECM'!D106="","",'Sch2a-Imp Price by ECM'!D106)</f>
        <v/>
      </c>
      <c r="C105" s="358" t="str">
        <f>IF('Sch2a-Imp Price by ECM'!G106="","",'Sch2a-Imp Price by ECM'!G106)</f>
        <v/>
      </c>
      <c r="D105" s="471"/>
      <c r="E105" s="350"/>
      <c r="F105" s="350"/>
      <c r="G105" s="350"/>
      <c r="H105" s="350"/>
      <c r="I105" s="242"/>
      <c r="J105" s="350"/>
      <c r="K105" s="350"/>
      <c r="L105" s="241"/>
      <c r="M105" s="241"/>
      <c r="N105" s="241"/>
      <c r="O105" s="235"/>
      <c r="P105" s="350"/>
      <c r="Q105" s="241"/>
      <c r="R105" s="351"/>
      <c r="S105" s="241"/>
      <c r="T105" s="351"/>
      <c r="U105" s="352"/>
      <c r="V105" s="351"/>
      <c r="W105" s="352"/>
      <c r="X105" s="383"/>
      <c r="Y105" s="352"/>
      <c r="Z105" s="349">
        <f t="shared" si="4"/>
        <v>0</v>
      </c>
      <c r="AA105" s="13">
        <f t="shared" si="5"/>
        <v>0</v>
      </c>
      <c r="AB105" s="351"/>
      <c r="AC105" s="352"/>
      <c r="AD105" s="351"/>
      <c r="AE105" s="352"/>
      <c r="AF105" s="352"/>
      <c r="AG105" s="352"/>
      <c r="AH105" s="108">
        <f t="shared" si="6"/>
        <v>0</v>
      </c>
      <c r="AI105" s="108" t="str">
        <f>IF('Sch2a-Imp Price by ECM'!C106="Yes", 0, 'Sch2a-Imp Price by ECM'!L106)</f>
        <v/>
      </c>
      <c r="AJ105" s="124" t="str">
        <f t="shared" si="7"/>
        <v/>
      </c>
      <c r="AK105" s="1" t="str">
        <f>IF('Sch2a-Imp Price by ECM'!M106="","",'Sch2a-Imp Price by ECM'!M106)</f>
        <v/>
      </c>
    </row>
    <row r="106" spans="1:37" ht="16.5" thickBot="1">
      <c r="A106" s="72" t="str">
        <f>IF('Sch2a-Imp Price by ECM'!B107="","",'Sch2a-Imp Price by ECM'!B107)</f>
        <v/>
      </c>
      <c r="B106" s="139" t="str">
        <f>IF('Sch2a-Imp Price by ECM'!D107="","",'Sch2a-Imp Price by ECM'!D107)</f>
        <v/>
      </c>
      <c r="C106" s="358" t="str">
        <f>IF('Sch2a-Imp Price by ECM'!G107="","",'Sch2a-Imp Price by ECM'!G107)</f>
        <v/>
      </c>
      <c r="D106" s="471"/>
      <c r="E106" s="350"/>
      <c r="F106" s="350"/>
      <c r="G106" s="350"/>
      <c r="H106" s="350"/>
      <c r="I106" s="242"/>
      <c r="J106" s="350"/>
      <c r="K106" s="350"/>
      <c r="L106" s="241"/>
      <c r="M106" s="241"/>
      <c r="N106" s="241"/>
      <c r="O106" s="235"/>
      <c r="P106" s="350"/>
      <c r="Q106" s="241"/>
      <c r="R106" s="351"/>
      <c r="S106" s="241"/>
      <c r="T106" s="351"/>
      <c r="U106" s="352"/>
      <c r="V106" s="351"/>
      <c r="W106" s="352"/>
      <c r="X106" s="383"/>
      <c r="Y106" s="352"/>
      <c r="Z106" s="349">
        <f t="shared" si="4"/>
        <v>0</v>
      </c>
      <c r="AA106" s="13">
        <f t="shared" si="5"/>
        <v>0</v>
      </c>
      <c r="AB106" s="351"/>
      <c r="AC106" s="352"/>
      <c r="AD106" s="351"/>
      <c r="AE106" s="352"/>
      <c r="AF106" s="352"/>
      <c r="AG106" s="352"/>
      <c r="AH106" s="108">
        <f t="shared" si="6"/>
        <v>0</v>
      </c>
      <c r="AI106" s="108" t="str">
        <f>IF('Sch2a-Imp Price by ECM'!C107="Yes", 0, 'Sch2a-Imp Price by ECM'!L107)</f>
        <v/>
      </c>
      <c r="AJ106" s="124" t="str">
        <f t="shared" si="7"/>
        <v/>
      </c>
      <c r="AK106" s="1" t="str">
        <f>IF('Sch2a-Imp Price by ECM'!M107="","",'Sch2a-Imp Price by ECM'!M107)</f>
        <v/>
      </c>
    </row>
    <row r="107" spans="1:37" ht="16.5" thickBot="1">
      <c r="A107" s="72" t="str">
        <f>IF('Sch2a-Imp Price by ECM'!B108="","",'Sch2a-Imp Price by ECM'!B108)</f>
        <v/>
      </c>
      <c r="B107" s="139" t="str">
        <f>IF('Sch2a-Imp Price by ECM'!D108="","",'Sch2a-Imp Price by ECM'!D108)</f>
        <v/>
      </c>
      <c r="C107" s="358" t="str">
        <f>IF('Sch2a-Imp Price by ECM'!G108="","",'Sch2a-Imp Price by ECM'!G108)</f>
        <v/>
      </c>
      <c r="D107" s="471"/>
      <c r="E107" s="350"/>
      <c r="F107" s="350"/>
      <c r="G107" s="350"/>
      <c r="H107" s="350"/>
      <c r="I107" s="242"/>
      <c r="J107" s="350"/>
      <c r="K107" s="350"/>
      <c r="L107" s="241"/>
      <c r="M107" s="241"/>
      <c r="N107" s="241"/>
      <c r="O107" s="235"/>
      <c r="P107" s="350"/>
      <c r="Q107" s="241"/>
      <c r="R107" s="351"/>
      <c r="S107" s="241"/>
      <c r="T107" s="351"/>
      <c r="U107" s="352"/>
      <c r="V107" s="351"/>
      <c r="W107" s="352"/>
      <c r="X107" s="383"/>
      <c r="Y107" s="352"/>
      <c r="Z107" s="349">
        <f t="shared" si="4"/>
        <v>0</v>
      </c>
      <c r="AA107" s="13">
        <f t="shared" si="5"/>
        <v>0</v>
      </c>
      <c r="AB107" s="351"/>
      <c r="AC107" s="352"/>
      <c r="AD107" s="351"/>
      <c r="AE107" s="352"/>
      <c r="AF107" s="352"/>
      <c r="AG107" s="352"/>
      <c r="AH107" s="108">
        <f t="shared" si="6"/>
        <v>0</v>
      </c>
      <c r="AI107" s="108" t="str">
        <f>IF('Sch2a-Imp Price by ECM'!C108="Yes", 0, 'Sch2a-Imp Price by ECM'!L108)</f>
        <v/>
      </c>
      <c r="AJ107" s="124" t="str">
        <f t="shared" si="7"/>
        <v/>
      </c>
      <c r="AK107" s="1" t="str">
        <f>IF('Sch2a-Imp Price by ECM'!M108="","",'Sch2a-Imp Price by ECM'!M108)</f>
        <v/>
      </c>
    </row>
    <row r="108" spans="1:37" ht="16.5" thickBot="1">
      <c r="A108" s="72" t="str">
        <f>IF('Sch2a-Imp Price by ECM'!B109="","",'Sch2a-Imp Price by ECM'!B109)</f>
        <v/>
      </c>
      <c r="B108" s="139" t="str">
        <f>IF('Sch2a-Imp Price by ECM'!D109="","",'Sch2a-Imp Price by ECM'!D109)</f>
        <v/>
      </c>
      <c r="C108" s="358" t="str">
        <f>IF('Sch2a-Imp Price by ECM'!G109="","",'Sch2a-Imp Price by ECM'!G109)</f>
        <v/>
      </c>
      <c r="D108" s="471"/>
      <c r="E108" s="350"/>
      <c r="F108" s="350"/>
      <c r="G108" s="350"/>
      <c r="H108" s="350"/>
      <c r="I108" s="242"/>
      <c r="J108" s="350"/>
      <c r="K108" s="350"/>
      <c r="L108" s="241"/>
      <c r="M108" s="241"/>
      <c r="N108" s="241"/>
      <c r="O108" s="235"/>
      <c r="P108" s="350"/>
      <c r="Q108" s="241"/>
      <c r="R108" s="351"/>
      <c r="S108" s="241"/>
      <c r="T108" s="351"/>
      <c r="U108" s="352"/>
      <c r="V108" s="351"/>
      <c r="W108" s="352"/>
      <c r="X108" s="383"/>
      <c r="Y108" s="352"/>
      <c r="Z108" s="349">
        <f t="shared" si="4"/>
        <v>0</v>
      </c>
      <c r="AA108" s="13">
        <f t="shared" si="5"/>
        <v>0</v>
      </c>
      <c r="AB108" s="351"/>
      <c r="AC108" s="352"/>
      <c r="AD108" s="351"/>
      <c r="AE108" s="352"/>
      <c r="AF108" s="352"/>
      <c r="AG108" s="352"/>
      <c r="AH108" s="108">
        <f t="shared" si="6"/>
        <v>0</v>
      </c>
      <c r="AI108" s="108" t="str">
        <f>IF('Sch2a-Imp Price by ECM'!C109="Yes", 0, 'Sch2a-Imp Price by ECM'!L109)</f>
        <v/>
      </c>
      <c r="AJ108" s="124" t="str">
        <f t="shared" si="7"/>
        <v/>
      </c>
      <c r="AK108" s="1" t="str">
        <f>IF('Sch2a-Imp Price by ECM'!M109="","",'Sch2a-Imp Price by ECM'!M109)</f>
        <v/>
      </c>
    </row>
    <row r="109" spans="1:37" ht="16.5" thickBot="1">
      <c r="A109" s="72" t="str">
        <f>IF('Sch2a-Imp Price by ECM'!B110="","",'Sch2a-Imp Price by ECM'!B110)</f>
        <v/>
      </c>
      <c r="B109" s="139" t="str">
        <f>IF('Sch2a-Imp Price by ECM'!D110="","",'Sch2a-Imp Price by ECM'!D110)</f>
        <v/>
      </c>
      <c r="C109" s="358" t="str">
        <f>IF('Sch2a-Imp Price by ECM'!G110="","",'Sch2a-Imp Price by ECM'!G110)</f>
        <v/>
      </c>
      <c r="D109" s="471"/>
      <c r="E109" s="350"/>
      <c r="F109" s="350"/>
      <c r="G109" s="350"/>
      <c r="H109" s="350"/>
      <c r="I109" s="242"/>
      <c r="J109" s="350"/>
      <c r="K109" s="350"/>
      <c r="L109" s="241"/>
      <c r="M109" s="241"/>
      <c r="N109" s="241"/>
      <c r="O109" s="235"/>
      <c r="P109" s="350"/>
      <c r="Q109" s="241"/>
      <c r="R109" s="351"/>
      <c r="S109" s="241"/>
      <c r="T109" s="351"/>
      <c r="U109" s="352"/>
      <c r="V109" s="351"/>
      <c r="W109" s="352"/>
      <c r="X109" s="383"/>
      <c r="Y109" s="352"/>
      <c r="Z109" s="349">
        <f t="shared" si="4"/>
        <v>0</v>
      </c>
      <c r="AA109" s="13">
        <f t="shared" si="5"/>
        <v>0</v>
      </c>
      <c r="AB109" s="351"/>
      <c r="AC109" s="352"/>
      <c r="AD109" s="351"/>
      <c r="AE109" s="352"/>
      <c r="AF109" s="352"/>
      <c r="AG109" s="352"/>
      <c r="AH109" s="108">
        <f t="shared" si="6"/>
        <v>0</v>
      </c>
      <c r="AI109" s="108" t="str">
        <f>IF('Sch2a-Imp Price by ECM'!C110="Yes", 0, 'Sch2a-Imp Price by ECM'!L110)</f>
        <v/>
      </c>
      <c r="AJ109" s="124" t="str">
        <f t="shared" si="7"/>
        <v/>
      </c>
      <c r="AK109" s="1" t="str">
        <f>IF('Sch2a-Imp Price by ECM'!M110="","",'Sch2a-Imp Price by ECM'!M110)</f>
        <v/>
      </c>
    </row>
    <row r="110" spans="1:37" ht="16.5" thickBot="1">
      <c r="A110" s="72" t="str">
        <f>IF('Sch2a-Imp Price by ECM'!B111="","",'Sch2a-Imp Price by ECM'!B111)</f>
        <v/>
      </c>
      <c r="B110" s="139" t="str">
        <f>IF('Sch2a-Imp Price by ECM'!D111="","",'Sch2a-Imp Price by ECM'!D111)</f>
        <v/>
      </c>
      <c r="C110" s="358" t="str">
        <f>IF('Sch2a-Imp Price by ECM'!G111="","",'Sch2a-Imp Price by ECM'!G111)</f>
        <v/>
      </c>
      <c r="D110" s="471"/>
      <c r="E110" s="350"/>
      <c r="F110" s="350"/>
      <c r="G110" s="350"/>
      <c r="H110" s="350"/>
      <c r="I110" s="242"/>
      <c r="J110" s="350"/>
      <c r="K110" s="350"/>
      <c r="L110" s="241"/>
      <c r="M110" s="241"/>
      <c r="N110" s="241"/>
      <c r="O110" s="235"/>
      <c r="P110" s="350"/>
      <c r="Q110" s="241"/>
      <c r="R110" s="351"/>
      <c r="S110" s="241"/>
      <c r="T110" s="351"/>
      <c r="U110" s="352"/>
      <c r="V110" s="351"/>
      <c r="W110" s="352"/>
      <c r="X110" s="383"/>
      <c r="Y110" s="352"/>
      <c r="Z110" s="349">
        <f t="shared" si="4"/>
        <v>0</v>
      </c>
      <c r="AA110" s="13">
        <f t="shared" si="5"/>
        <v>0</v>
      </c>
      <c r="AB110" s="351"/>
      <c r="AC110" s="352"/>
      <c r="AD110" s="351"/>
      <c r="AE110" s="352"/>
      <c r="AF110" s="352"/>
      <c r="AG110" s="352"/>
      <c r="AH110" s="108">
        <f t="shared" si="6"/>
        <v>0</v>
      </c>
      <c r="AI110" s="108" t="str">
        <f>IF('Sch2a-Imp Price by ECM'!C111="Yes", 0, 'Sch2a-Imp Price by ECM'!L111)</f>
        <v/>
      </c>
      <c r="AJ110" s="124" t="str">
        <f t="shared" si="7"/>
        <v/>
      </c>
      <c r="AK110" s="1" t="str">
        <f>IF('Sch2a-Imp Price by ECM'!M111="","",'Sch2a-Imp Price by ECM'!M111)</f>
        <v/>
      </c>
    </row>
    <row r="111" spans="1:37" ht="16.5" thickBot="1">
      <c r="A111" s="72" t="str">
        <f>IF('Sch2a-Imp Price by ECM'!B112="","",'Sch2a-Imp Price by ECM'!B112)</f>
        <v/>
      </c>
      <c r="B111" s="139" t="str">
        <f>IF('Sch2a-Imp Price by ECM'!D112="","",'Sch2a-Imp Price by ECM'!D112)</f>
        <v/>
      </c>
      <c r="C111" s="358" t="str">
        <f>IF('Sch2a-Imp Price by ECM'!G112="","",'Sch2a-Imp Price by ECM'!G112)</f>
        <v/>
      </c>
      <c r="D111" s="471"/>
      <c r="E111" s="350"/>
      <c r="F111" s="350"/>
      <c r="G111" s="350"/>
      <c r="H111" s="350"/>
      <c r="I111" s="242"/>
      <c r="J111" s="350"/>
      <c r="K111" s="350"/>
      <c r="L111" s="241"/>
      <c r="M111" s="241"/>
      <c r="N111" s="241"/>
      <c r="O111" s="235"/>
      <c r="P111" s="350"/>
      <c r="Q111" s="241"/>
      <c r="R111" s="351"/>
      <c r="S111" s="241"/>
      <c r="T111" s="351"/>
      <c r="U111" s="352"/>
      <c r="V111" s="351"/>
      <c r="W111" s="352"/>
      <c r="X111" s="383"/>
      <c r="Y111" s="352"/>
      <c r="Z111" s="349">
        <f t="shared" si="4"/>
        <v>0</v>
      </c>
      <c r="AA111" s="13">
        <f t="shared" si="5"/>
        <v>0</v>
      </c>
      <c r="AB111" s="351"/>
      <c r="AC111" s="352"/>
      <c r="AD111" s="351"/>
      <c r="AE111" s="352"/>
      <c r="AF111" s="352"/>
      <c r="AG111" s="352"/>
      <c r="AH111" s="108">
        <f t="shared" si="6"/>
        <v>0</v>
      </c>
      <c r="AI111" s="108" t="str">
        <f>IF('Sch2a-Imp Price by ECM'!C112="Yes", 0, 'Sch2a-Imp Price by ECM'!L112)</f>
        <v/>
      </c>
      <c r="AJ111" s="124" t="str">
        <f t="shared" si="7"/>
        <v/>
      </c>
      <c r="AK111" s="1" t="str">
        <f>IF('Sch2a-Imp Price by ECM'!M112="","",'Sch2a-Imp Price by ECM'!M112)</f>
        <v/>
      </c>
    </row>
    <row r="112" spans="1:37" ht="16.5" thickBot="1">
      <c r="A112" s="72" t="str">
        <f>IF('Sch2a-Imp Price by ECM'!B113="","",'Sch2a-Imp Price by ECM'!B113)</f>
        <v/>
      </c>
      <c r="B112" s="139" t="str">
        <f>IF('Sch2a-Imp Price by ECM'!D113="","",'Sch2a-Imp Price by ECM'!D113)</f>
        <v/>
      </c>
      <c r="C112" s="358" t="str">
        <f>IF('Sch2a-Imp Price by ECM'!G113="","",'Sch2a-Imp Price by ECM'!G113)</f>
        <v/>
      </c>
      <c r="D112" s="471"/>
      <c r="E112" s="350"/>
      <c r="F112" s="350"/>
      <c r="G112" s="350"/>
      <c r="H112" s="350"/>
      <c r="I112" s="242"/>
      <c r="J112" s="350"/>
      <c r="K112" s="350"/>
      <c r="L112" s="241"/>
      <c r="M112" s="241"/>
      <c r="N112" s="241"/>
      <c r="O112" s="235"/>
      <c r="P112" s="350"/>
      <c r="Q112" s="241"/>
      <c r="R112" s="351"/>
      <c r="S112" s="241"/>
      <c r="T112" s="351"/>
      <c r="U112" s="352"/>
      <c r="V112" s="351"/>
      <c r="W112" s="352"/>
      <c r="X112" s="383"/>
      <c r="Y112" s="352"/>
      <c r="Z112" s="349">
        <f t="shared" si="4"/>
        <v>0</v>
      </c>
      <c r="AA112" s="13">
        <f t="shared" si="5"/>
        <v>0</v>
      </c>
      <c r="AB112" s="351"/>
      <c r="AC112" s="352"/>
      <c r="AD112" s="351"/>
      <c r="AE112" s="352"/>
      <c r="AF112" s="352"/>
      <c r="AG112" s="352"/>
      <c r="AH112" s="108">
        <f t="shared" si="6"/>
        <v>0</v>
      </c>
      <c r="AI112" s="108" t="str">
        <f>IF('Sch2a-Imp Price by ECM'!C113="Yes", 0, 'Sch2a-Imp Price by ECM'!L113)</f>
        <v/>
      </c>
      <c r="AJ112" s="124" t="str">
        <f t="shared" si="7"/>
        <v/>
      </c>
      <c r="AK112" s="1" t="str">
        <f>IF('Sch2a-Imp Price by ECM'!M113="","",'Sch2a-Imp Price by ECM'!M113)</f>
        <v/>
      </c>
    </row>
    <row r="113" spans="1:37" ht="16.5" thickBot="1">
      <c r="A113" s="72" t="str">
        <f>IF('Sch2a-Imp Price by ECM'!B114="","",'Sch2a-Imp Price by ECM'!B114)</f>
        <v/>
      </c>
      <c r="B113" s="139" t="str">
        <f>IF('Sch2a-Imp Price by ECM'!D114="","",'Sch2a-Imp Price by ECM'!D114)</f>
        <v/>
      </c>
      <c r="C113" s="358" t="str">
        <f>IF('Sch2a-Imp Price by ECM'!G114="","",'Sch2a-Imp Price by ECM'!G114)</f>
        <v/>
      </c>
      <c r="D113" s="471"/>
      <c r="E113" s="350"/>
      <c r="F113" s="350"/>
      <c r="G113" s="350"/>
      <c r="H113" s="350"/>
      <c r="I113" s="242"/>
      <c r="J113" s="350"/>
      <c r="K113" s="350"/>
      <c r="L113" s="241"/>
      <c r="M113" s="241"/>
      <c r="N113" s="241"/>
      <c r="O113" s="235"/>
      <c r="P113" s="350"/>
      <c r="Q113" s="241"/>
      <c r="R113" s="351"/>
      <c r="S113" s="241"/>
      <c r="T113" s="351"/>
      <c r="U113" s="352"/>
      <c r="V113" s="351"/>
      <c r="W113" s="352"/>
      <c r="X113" s="383"/>
      <c r="Y113" s="352"/>
      <c r="Z113" s="349">
        <f t="shared" si="4"/>
        <v>0</v>
      </c>
      <c r="AA113" s="13">
        <f t="shared" si="5"/>
        <v>0</v>
      </c>
      <c r="AB113" s="351"/>
      <c r="AC113" s="352"/>
      <c r="AD113" s="351"/>
      <c r="AE113" s="352"/>
      <c r="AF113" s="352"/>
      <c r="AG113" s="352"/>
      <c r="AH113" s="108">
        <f t="shared" si="6"/>
        <v>0</v>
      </c>
      <c r="AI113" s="108" t="str">
        <f>IF('Sch2a-Imp Price by ECM'!C114="Yes", 0, 'Sch2a-Imp Price by ECM'!L114)</f>
        <v/>
      </c>
      <c r="AJ113" s="124" t="str">
        <f t="shared" si="7"/>
        <v/>
      </c>
      <c r="AK113" s="1" t="str">
        <f>IF('Sch2a-Imp Price by ECM'!M114="","",'Sch2a-Imp Price by ECM'!M114)</f>
        <v/>
      </c>
    </row>
    <row r="114" spans="1:37" ht="16.5" thickBot="1">
      <c r="A114" s="72" t="str">
        <f>IF('Sch2a-Imp Price by ECM'!B115="","",'Sch2a-Imp Price by ECM'!B115)</f>
        <v/>
      </c>
      <c r="B114" s="139" t="str">
        <f>IF('Sch2a-Imp Price by ECM'!D115="","",'Sch2a-Imp Price by ECM'!D115)</f>
        <v/>
      </c>
      <c r="C114" s="358" t="str">
        <f>IF('Sch2a-Imp Price by ECM'!G115="","",'Sch2a-Imp Price by ECM'!G115)</f>
        <v/>
      </c>
      <c r="D114" s="471"/>
      <c r="E114" s="350"/>
      <c r="F114" s="350"/>
      <c r="G114" s="350"/>
      <c r="H114" s="350"/>
      <c r="I114" s="242"/>
      <c r="J114" s="350"/>
      <c r="K114" s="350"/>
      <c r="L114" s="241"/>
      <c r="M114" s="241"/>
      <c r="N114" s="241"/>
      <c r="O114" s="242"/>
      <c r="P114" s="350"/>
      <c r="Q114" s="241"/>
      <c r="R114" s="351"/>
      <c r="S114" s="241"/>
      <c r="T114" s="351"/>
      <c r="U114" s="352"/>
      <c r="V114" s="351"/>
      <c r="W114" s="352"/>
      <c r="X114" s="383"/>
      <c r="Y114" s="352"/>
      <c r="Z114" s="349">
        <f t="shared" si="4"/>
        <v>0</v>
      </c>
      <c r="AA114" s="13">
        <f t="shared" si="5"/>
        <v>0</v>
      </c>
      <c r="AB114" s="351"/>
      <c r="AC114" s="352"/>
      <c r="AD114" s="351"/>
      <c r="AE114" s="352"/>
      <c r="AF114" s="352"/>
      <c r="AG114" s="352"/>
      <c r="AH114" s="108">
        <f t="shared" si="6"/>
        <v>0</v>
      </c>
      <c r="AI114" s="108" t="str">
        <f>IF('Sch2a-Imp Price by ECM'!C115="Yes", 0, 'Sch2a-Imp Price by ECM'!L115)</f>
        <v/>
      </c>
      <c r="AJ114" s="124" t="str">
        <f t="shared" si="7"/>
        <v/>
      </c>
      <c r="AK114" s="1" t="str">
        <f>IF('Sch2a-Imp Price by ECM'!M115="","",'Sch2a-Imp Price by ECM'!M115)</f>
        <v/>
      </c>
    </row>
    <row r="115" spans="1:37" ht="16.5" thickBot="1">
      <c r="A115" s="72" t="str">
        <f>IF('Sch2a-Imp Price by ECM'!B116="","",'Sch2a-Imp Price by ECM'!B116)</f>
        <v/>
      </c>
      <c r="B115" s="139" t="str">
        <f>IF('Sch2a-Imp Price by ECM'!D116="","",'Sch2a-Imp Price by ECM'!D116)</f>
        <v/>
      </c>
      <c r="C115" s="358" t="str">
        <f>IF('Sch2a-Imp Price by ECM'!G116="","",'Sch2a-Imp Price by ECM'!G116)</f>
        <v/>
      </c>
      <c r="D115" s="471"/>
      <c r="E115" s="350"/>
      <c r="F115" s="350"/>
      <c r="G115" s="350"/>
      <c r="H115" s="350"/>
      <c r="I115" s="242"/>
      <c r="J115" s="350"/>
      <c r="K115" s="350"/>
      <c r="L115" s="241"/>
      <c r="M115" s="241"/>
      <c r="N115" s="241"/>
      <c r="O115" s="242"/>
      <c r="P115" s="350"/>
      <c r="Q115" s="241"/>
      <c r="R115" s="351"/>
      <c r="S115" s="241"/>
      <c r="T115" s="351"/>
      <c r="U115" s="352"/>
      <c r="V115" s="351"/>
      <c r="W115" s="352"/>
      <c r="X115" s="383"/>
      <c r="Y115" s="352"/>
      <c r="Z115" s="349">
        <f t="shared" si="4"/>
        <v>0</v>
      </c>
      <c r="AA115" s="13">
        <f t="shared" si="5"/>
        <v>0</v>
      </c>
      <c r="AB115" s="351"/>
      <c r="AC115" s="352"/>
      <c r="AD115" s="351"/>
      <c r="AE115" s="352"/>
      <c r="AF115" s="352"/>
      <c r="AG115" s="352"/>
      <c r="AH115" s="108">
        <f t="shared" si="6"/>
        <v>0</v>
      </c>
      <c r="AI115" s="108" t="str">
        <f>IF('Sch2a-Imp Price by ECM'!C116="Yes", 0, 'Sch2a-Imp Price by ECM'!L116)</f>
        <v/>
      </c>
      <c r="AJ115" s="124" t="str">
        <f t="shared" si="7"/>
        <v/>
      </c>
      <c r="AK115" s="1" t="str">
        <f>IF('Sch2a-Imp Price by ECM'!M116="","",'Sch2a-Imp Price by ECM'!M116)</f>
        <v/>
      </c>
    </row>
    <row r="116" spans="1:37" ht="16.5" thickBot="1">
      <c r="A116" s="72" t="str">
        <f>IF('Sch2a-Imp Price by ECM'!B117="","",'Sch2a-Imp Price by ECM'!B117)</f>
        <v/>
      </c>
      <c r="B116" s="139" t="str">
        <f>IF('Sch2a-Imp Price by ECM'!D117="","",'Sch2a-Imp Price by ECM'!D117)</f>
        <v/>
      </c>
      <c r="C116" s="358" t="str">
        <f>IF('Sch2a-Imp Price by ECM'!G117="","",'Sch2a-Imp Price by ECM'!G117)</f>
        <v/>
      </c>
      <c r="D116" s="471"/>
      <c r="E116" s="350"/>
      <c r="F116" s="350"/>
      <c r="G116" s="350"/>
      <c r="H116" s="350"/>
      <c r="I116" s="242"/>
      <c r="J116" s="350"/>
      <c r="K116" s="350"/>
      <c r="L116" s="241"/>
      <c r="M116" s="241"/>
      <c r="N116" s="241"/>
      <c r="O116" s="242"/>
      <c r="P116" s="350"/>
      <c r="Q116" s="241"/>
      <c r="R116" s="351"/>
      <c r="S116" s="241"/>
      <c r="T116" s="351"/>
      <c r="U116" s="352"/>
      <c r="V116" s="351"/>
      <c r="W116" s="352"/>
      <c r="X116" s="383"/>
      <c r="Y116" s="352"/>
      <c r="Z116" s="349">
        <f t="shared" si="4"/>
        <v>0</v>
      </c>
      <c r="AA116" s="13">
        <f t="shared" si="5"/>
        <v>0</v>
      </c>
      <c r="AB116" s="351"/>
      <c r="AC116" s="352"/>
      <c r="AD116" s="351"/>
      <c r="AE116" s="352"/>
      <c r="AF116" s="352"/>
      <c r="AG116" s="352"/>
      <c r="AH116" s="108">
        <f t="shared" si="6"/>
        <v>0</v>
      </c>
      <c r="AI116" s="108" t="str">
        <f>IF('Sch2a-Imp Price by ECM'!C117="Yes", 0, 'Sch2a-Imp Price by ECM'!L117)</f>
        <v/>
      </c>
      <c r="AJ116" s="124" t="str">
        <f t="shared" si="7"/>
        <v/>
      </c>
      <c r="AK116" s="1" t="str">
        <f>IF('Sch2a-Imp Price by ECM'!M117="","",'Sch2a-Imp Price by ECM'!M117)</f>
        <v/>
      </c>
    </row>
    <row r="117" spans="1:37" ht="16.5" thickBot="1">
      <c r="A117" s="72" t="str">
        <f>IF('Sch2a-Imp Price by ECM'!B118="","",'Sch2a-Imp Price by ECM'!B118)</f>
        <v/>
      </c>
      <c r="B117" s="139" t="str">
        <f>IF('Sch2a-Imp Price by ECM'!D118="","",'Sch2a-Imp Price by ECM'!D118)</f>
        <v/>
      </c>
      <c r="C117" s="358" t="str">
        <f>IF('Sch2a-Imp Price by ECM'!G118="","",'Sch2a-Imp Price by ECM'!G118)</f>
        <v/>
      </c>
      <c r="D117" s="471"/>
      <c r="E117" s="350"/>
      <c r="F117" s="350"/>
      <c r="G117" s="350"/>
      <c r="H117" s="350"/>
      <c r="I117" s="242"/>
      <c r="J117" s="350"/>
      <c r="K117" s="350"/>
      <c r="L117" s="241"/>
      <c r="M117" s="241"/>
      <c r="N117" s="241"/>
      <c r="O117" s="242"/>
      <c r="P117" s="350"/>
      <c r="Q117" s="241"/>
      <c r="R117" s="351"/>
      <c r="S117" s="241"/>
      <c r="T117" s="351"/>
      <c r="U117" s="352"/>
      <c r="V117" s="351"/>
      <c r="W117" s="352"/>
      <c r="X117" s="383"/>
      <c r="Y117" s="352"/>
      <c r="Z117" s="349">
        <f t="shared" si="4"/>
        <v>0</v>
      </c>
      <c r="AA117" s="13">
        <f t="shared" si="5"/>
        <v>0</v>
      </c>
      <c r="AB117" s="351"/>
      <c r="AC117" s="352"/>
      <c r="AD117" s="351"/>
      <c r="AE117" s="352"/>
      <c r="AF117" s="352"/>
      <c r="AG117" s="352"/>
      <c r="AH117" s="108">
        <f t="shared" si="6"/>
        <v>0</v>
      </c>
      <c r="AI117" s="108" t="str">
        <f>IF('Sch2a-Imp Price by ECM'!C118="Yes", 0, 'Sch2a-Imp Price by ECM'!L118)</f>
        <v/>
      </c>
      <c r="AJ117" s="124" t="str">
        <f t="shared" si="7"/>
        <v/>
      </c>
      <c r="AK117" s="1" t="str">
        <f>IF('Sch2a-Imp Price by ECM'!M118="","",'Sch2a-Imp Price by ECM'!M118)</f>
        <v/>
      </c>
    </row>
    <row r="118" spans="1:37" ht="18" customHeight="1" thickBot="1">
      <c r="A118" s="72" t="str">
        <f>IF('Sch2a-Imp Price by ECM'!B119="","",'Sch2a-Imp Price by ECM'!B119)</f>
        <v/>
      </c>
      <c r="B118" s="139" t="str">
        <f>IF('Sch2a-Imp Price by ECM'!D119="","",'Sch2a-Imp Price by ECM'!D119)</f>
        <v/>
      </c>
      <c r="C118" s="358" t="str">
        <f>IF('Sch2a-Imp Price by ECM'!G119="","",'Sch2a-Imp Price by ECM'!G119)</f>
        <v/>
      </c>
      <c r="D118" s="471"/>
      <c r="E118" s="350"/>
      <c r="F118" s="350"/>
      <c r="G118" s="350"/>
      <c r="H118" s="350"/>
      <c r="I118" s="242"/>
      <c r="J118" s="350"/>
      <c r="K118" s="350"/>
      <c r="L118" s="241"/>
      <c r="M118" s="241"/>
      <c r="N118" s="241"/>
      <c r="O118" s="242"/>
      <c r="P118" s="350"/>
      <c r="Q118" s="241"/>
      <c r="R118" s="351"/>
      <c r="S118" s="241"/>
      <c r="T118" s="351"/>
      <c r="U118" s="352"/>
      <c r="V118" s="351"/>
      <c r="W118" s="352"/>
      <c r="X118" s="383"/>
      <c r="Y118" s="352"/>
      <c r="Z118" s="349">
        <f t="shared" si="4"/>
        <v>0</v>
      </c>
      <c r="AA118" s="13">
        <f t="shared" si="5"/>
        <v>0</v>
      </c>
      <c r="AB118" s="351"/>
      <c r="AC118" s="352"/>
      <c r="AD118" s="351"/>
      <c r="AE118" s="352"/>
      <c r="AF118" s="352"/>
      <c r="AG118" s="352"/>
      <c r="AH118" s="108">
        <f t="shared" si="6"/>
        <v>0</v>
      </c>
      <c r="AI118" s="108" t="str">
        <f>IF('Sch2a-Imp Price by ECM'!C119="Yes", 0, 'Sch2a-Imp Price by ECM'!L119)</f>
        <v/>
      </c>
      <c r="AJ118" s="124" t="str">
        <f t="shared" si="7"/>
        <v/>
      </c>
      <c r="AK118" s="1" t="str">
        <f>IF('Sch2a-Imp Price by ECM'!M119="","",'Sch2a-Imp Price by ECM'!M119)</f>
        <v/>
      </c>
    </row>
    <row r="119" spans="1:37" ht="16.5" thickBot="1">
      <c r="A119" s="72" t="str">
        <f>IF('Sch2a-Imp Price by ECM'!B120="","",'Sch2a-Imp Price by ECM'!B120)</f>
        <v/>
      </c>
      <c r="B119" s="139" t="str">
        <f>IF('Sch2a-Imp Price by ECM'!D120="","",'Sch2a-Imp Price by ECM'!D120)</f>
        <v/>
      </c>
      <c r="C119" s="358" t="str">
        <f>IF('Sch2a-Imp Price by ECM'!G120="","",'Sch2a-Imp Price by ECM'!G120)</f>
        <v/>
      </c>
      <c r="D119" s="471"/>
      <c r="E119" s="350"/>
      <c r="F119" s="350"/>
      <c r="G119" s="350"/>
      <c r="H119" s="350"/>
      <c r="I119" s="242"/>
      <c r="J119" s="350"/>
      <c r="K119" s="350"/>
      <c r="L119" s="241"/>
      <c r="M119" s="241"/>
      <c r="N119" s="241"/>
      <c r="O119" s="242"/>
      <c r="P119" s="350"/>
      <c r="Q119" s="241"/>
      <c r="R119" s="351"/>
      <c r="S119" s="241"/>
      <c r="T119" s="351"/>
      <c r="U119" s="352"/>
      <c r="V119" s="351"/>
      <c r="W119" s="352"/>
      <c r="X119" s="383"/>
      <c r="Y119" s="352"/>
      <c r="Z119" s="349">
        <f t="shared" si="4"/>
        <v>0</v>
      </c>
      <c r="AA119" s="13">
        <f t="shared" si="5"/>
        <v>0</v>
      </c>
      <c r="AB119" s="351"/>
      <c r="AC119" s="352"/>
      <c r="AD119" s="351"/>
      <c r="AE119" s="352"/>
      <c r="AF119" s="352"/>
      <c r="AG119" s="352"/>
      <c r="AH119" s="108">
        <f t="shared" si="6"/>
        <v>0</v>
      </c>
      <c r="AI119" s="108" t="str">
        <f>IF('Sch2a-Imp Price by ECM'!C120="Yes", 0, 'Sch2a-Imp Price by ECM'!L120)</f>
        <v/>
      </c>
      <c r="AJ119" s="124" t="str">
        <f t="shared" si="7"/>
        <v/>
      </c>
      <c r="AK119" s="1" t="str">
        <f>IF('Sch2a-Imp Price by ECM'!M120="","",'Sch2a-Imp Price by ECM'!M120)</f>
        <v/>
      </c>
    </row>
    <row r="120" spans="1:37" ht="16.5" thickBot="1">
      <c r="A120" s="72" t="str">
        <f>IF('Sch2a-Imp Price by ECM'!B121="","",'Sch2a-Imp Price by ECM'!B121)</f>
        <v/>
      </c>
      <c r="B120" s="139" t="str">
        <f>IF('Sch2a-Imp Price by ECM'!D121="","",'Sch2a-Imp Price by ECM'!D121)</f>
        <v/>
      </c>
      <c r="C120" s="358" t="str">
        <f>IF('Sch2a-Imp Price by ECM'!G121="","",'Sch2a-Imp Price by ECM'!G121)</f>
        <v/>
      </c>
      <c r="D120" s="471"/>
      <c r="E120" s="350"/>
      <c r="F120" s="350"/>
      <c r="G120" s="350"/>
      <c r="H120" s="350"/>
      <c r="I120" s="242"/>
      <c r="J120" s="350"/>
      <c r="K120" s="350"/>
      <c r="L120" s="241"/>
      <c r="M120" s="241"/>
      <c r="N120" s="241"/>
      <c r="O120" s="242"/>
      <c r="P120" s="350"/>
      <c r="Q120" s="241"/>
      <c r="R120" s="351"/>
      <c r="S120" s="241"/>
      <c r="T120" s="351"/>
      <c r="U120" s="352"/>
      <c r="V120" s="351"/>
      <c r="W120" s="352"/>
      <c r="X120" s="383"/>
      <c r="Y120" s="352"/>
      <c r="Z120" s="349">
        <f t="shared" si="4"/>
        <v>0</v>
      </c>
      <c r="AA120" s="13">
        <f t="shared" si="5"/>
        <v>0</v>
      </c>
      <c r="AB120" s="351"/>
      <c r="AC120" s="352"/>
      <c r="AD120" s="351"/>
      <c r="AE120" s="352"/>
      <c r="AF120" s="352"/>
      <c r="AG120" s="352"/>
      <c r="AH120" s="108">
        <f t="shared" si="6"/>
        <v>0</v>
      </c>
      <c r="AI120" s="108" t="str">
        <f>IF('Sch2a-Imp Price by ECM'!C121="Yes", 0, 'Sch2a-Imp Price by ECM'!L121)</f>
        <v/>
      </c>
      <c r="AJ120" s="124" t="str">
        <f t="shared" si="7"/>
        <v/>
      </c>
      <c r="AK120" s="1" t="str">
        <f>IF('Sch2a-Imp Price by ECM'!M121="","",'Sch2a-Imp Price by ECM'!M121)</f>
        <v/>
      </c>
    </row>
    <row r="121" spans="1:37" ht="16.5" thickBot="1">
      <c r="A121" s="72" t="str">
        <f>IF('Sch2a-Imp Price by ECM'!B122="","",'Sch2a-Imp Price by ECM'!B122)</f>
        <v/>
      </c>
      <c r="B121" s="139" t="str">
        <f>IF('Sch2a-Imp Price by ECM'!D122="","",'Sch2a-Imp Price by ECM'!D122)</f>
        <v/>
      </c>
      <c r="C121" s="358" t="str">
        <f>IF('Sch2a-Imp Price by ECM'!G122="","",'Sch2a-Imp Price by ECM'!G122)</f>
        <v/>
      </c>
      <c r="D121" s="471"/>
      <c r="E121" s="350"/>
      <c r="F121" s="350"/>
      <c r="G121" s="350"/>
      <c r="H121" s="350"/>
      <c r="I121" s="242"/>
      <c r="J121" s="350"/>
      <c r="K121" s="350"/>
      <c r="L121" s="241"/>
      <c r="M121" s="241"/>
      <c r="N121" s="241"/>
      <c r="O121" s="235"/>
      <c r="P121" s="350"/>
      <c r="Q121" s="241"/>
      <c r="R121" s="351"/>
      <c r="S121" s="241"/>
      <c r="T121" s="351"/>
      <c r="U121" s="352"/>
      <c r="V121" s="351"/>
      <c r="W121" s="352"/>
      <c r="X121" s="383"/>
      <c r="Y121" s="352"/>
      <c r="Z121" s="349">
        <f t="shared" si="4"/>
        <v>0</v>
      </c>
      <c r="AA121" s="13">
        <f t="shared" si="5"/>
        <v>0</v>
      </c>
      <c r="AB121" s="351"/>
      <c r="AC121" s="352"/>
      <c r="AD121" s="351"/>
      <c r="AE121" s="352"/>
      <c r="AF121" s="352"/>
      <c r="AG121" s="352"/>
      <c r="AH121" s="108">
        <f t="shared" si="6"/>
        <v>0</v>
      </c>
      <c r="AI121" s="108" t="str">
        <f>IF('Sch2a-Imp Price by ECM'!C122="Yes", 0, 'Sch2a-Imp Price by ECM'!L122)</f>
        <v/>
      </c>
      <c r="AJ121" s="124" t="str">
        <f t="shared" si="7"/>
        <v/>
      </c>
      <c r="AK121" s="1" t="str">
        <f>IF('Sch2a-Imp Price by ECM'!M122="","",'Sch2a-Imp Price by ECM'!M122)</f>
        <v/>
      </c>
    </row>
    <row r="122" spans="1:37" ht="16.5" thickBot="1">
      <c r="A122" s="72" t="str">
        <f>IF('Sch2a-Imp Price by ECM'!B123="","",'Sch2a-Imp Price by ECM'!B123)</f>
        <v/>
      </c>
      <c r="B122" s="139" t="str">
        <f>IF('Sch2a-Imp Price by ECM'!D123="","",'Sch2a-Imp Price by ECM'!D123)</f>
        <v/>
      </c>
      <c r="C122" s="358" t="str">
        <f>IF('Sch2a-Imp Price by ECM'!G123="","",'Sch2a-Imp Price by ECM'!G123)</f>
        <v/>
      </c>
      <c r="D122" s="471"/>
      <c r="E122" s="350"/>
      <c r="F122" s="350"/>
      <c r="G122" s="350"/>
      <c r="H122" s="350"/>
      <c r="I122" s="242"/>
      <c r="J122" s="350"/>
      <c r="K122" s="350"/>
      <c r="L122" s="241"/>
      <c r="M122" s="241"/>
      <c r="N122" s="241"/>
      <c r="O122" s="235"/>
      <c r="P122" s="350"/>
      <c r="Q122" s="241"/>
      <c r="R122" s="351"/>
      <c r="S122" s="241"/>
      <c r="T122" s="351"/>
      <c r="U122" s="352"/>
      <c r="V122" s="351"/>
      <c r="W122" s="352"/>
      <c r="X122" s="383"/>
      <c r="Y122" s="352"/>
      <c r="Z122" s="349">
        <f t="shared" si="4"/>
        <v>0</v>
      </c>
      <c r="AA122" s="13">
        <f t="shared" si="5"/>
        <v>0</v>
      </c>
      <c r="AB122" s="351"/>
      <c r="AC122" s="352"/>
      <c r="AD122" s="351"/>
      <c r="AE122" s="352"/>
      <c r="AF122" s="352"/>
      <c r="AG122" s="352"/>
      <c r="AH122" s="108">
        <f t="shared" si="6"/>
        <v>0</v>
      </c>
      <c r="AI122" s="108" t="str">
        <f>IF('Sch2a-Imp Price by ECM'!C123="Yes", 0, 'Sch2a-Imp Price by ECM'!L123)</f>
        <v/>
      </c>
      <c r="AJ122" s="124" t="str">
        <f t="shared" si="7"/>
        <v/>
      </c>
      <c r="AK122" s="1" t="str">
        <f>IF('Sch2a-Imp Price by ECM'!M123="","",'Sch2a-Imp Price by ECM'!M123)</f>
        <v/>
      </c>
    </row>
    <row r="123" spans="1:37" ht="16.5" thickBot="1">
      <c r="A123" s="72" t="str">
        <f>IF('Sch2a-Imp Price by ECM'!B124="","",'Sch2a-Imp Price by ECM'!B124)</f>
        <v/>
      </c>
      <c r="B123" s="139" t="str">
        <f>IF('Sch2a-Imp Price by ECM'!D124="","",'Sch2a-Imp Price by ECM'!D124)</f>
        <v/>
      </c>
      <c r="C123" s="358" t="str">
        <f>IF('Sch2a-Imp Price by ECM'!G124="","",'Sch2a-Imp Price by ECM'!G124)</f>
        <v/>
      </c>
      <c r="D123" s="471"/>
      <c r="E123" s="350"/>
      <c r="F123" s="350"/>
      <c r="G123" s="350"/>
      <c r="H123" s="350"/>
      <c r="I123" s="242"/>
      <c r="J123" s="350"/>
      <c r="K123" s="350"/>
      <c r="L123" s="241"/>
      <c r="M123" s="241"/>
      <c r="N123" s="241"/>
      <c r="O123" s="235"/>
      <c r="P123" s="350"/>
      <c r="Q123" s="241"/>
      <c r="R123" s="351"/>
      <c r="S123" s="241"/>
      <c r="T123" s="351"/>
      <c r="U123" s="352"/>
      <c r="V123" s="351"/>
      <c r="W123" s="352"/>
      <c r="X123" s="383"/>
      <c r="Y123" s="352"/>
      <c r="Z123" s="349">
        <f t="shared" si="4"/>
        <v>0</v>
      </c>
      <c r="AA123" s="13">
        <f t="shared" si="5"/>
        <v>0</v>
      </c>
      <c r="AB123" s="351"/>
      <c r="AC123" s="352"/>
      <c r="AD123" s="351"/>
      <c r="AE123" s="352"/>
      <c r="AF123" s="352"/>
      <c r="AG123" s="352"/>
      <c r="AH123" s="108">
        <f t="shared" si="6"/>
        <v>0</v>
      </c>
      <c r="AI123" s="108" t="str">
        <f>IF('Sch2a-Imp Price by ECM'!C124="Yes", 0, 'Sch2a-Imp Price by ECM'!L124)</f>
        <v/>
      </c>
      <c r="AJ123" s="124" t="str">
        <f t="shared" si="7"/>
        <v/>
      </c>
      <c r="AK123" s="1" t="str">
        <f>IF('Sch2a-Imp Price by ECM'!M124="","",'Sch2a-Imp Price by ECM'!M124)</f>
        <v/>
      </c>
    </row>
    <row r="124" spans="1:37" ht="16.5" thickBot="1">
      <c r="A124" s="72" t="str">
        <f>IF('Sch2a-Imp Price by ECM'!B125="","",'Sch2a-Imp Price by ECM'!B125)</f>
        <v/>
      </c>
      <c r="B124" s="139" t="str">
        <f>IF('Sch2a-Imp Price by ECM'!D125="","",'Sch2a-Imp Price by ECM'!D125)</f>
        <v/>
      </c>
      <c r="C124" s="358" t="str">
        <f>IF('Sch2a-Imp Price by ECM'!G125="","",'Sch2a-Imp Price by ECM'!G125)</f>
        <v/>
      </c>
      <c r="D124" s="471"/>
      <c r="E124" s="350"/>
      <c r="F124" s="350"/>
      <c r="G124" s="350"/>
      <c r="H124" s="350"/>
      <c r="I124" s="242"/>
      <c r="J124" s="350"/>
      <c r="K124" s="350"/>
      <c r="L124" s="241"/>
      <c r="M124" s="241"/>
      <c r="N124" s="241"/>
      <c r="O124" s="235"/>
      <c r="P124" s="350"/>
      <c r="Q124" s="241"/>
      <c r="R124" s="351"/>
      <c r="S124" s="241"/>
      <c r="T124" s="351"/>
      <c r="U124" s="352"/>
      <c r="V124" s="351"/>
      <c r="W124" s="352"/>
      <c r="X124" s="383"/>
      <c r="Y124" s="352"/>
      <c r="Z124" s="349">
        <f t="shared" si="4"/>
        <v>0</v>
      </c>
      <c r="AA124" s="13">
        <f t="shared" si="5"/>
        <v>0</v>
      </c>
      <c r="AB124" s="351"/>
      <c r="AC124" s="352"/>
      <c r="AD124" s="351"/>
      <c r="AE124" s="352"/>
      <c r="AF124" s="352"/>
      <c r="AG124" s="352"/>
      <c r="AH124" s="108">
        <f t="shared" si="6"/>
        <v>0</v>
      </c>
      <c r="AI124" s="108" t="str">
        <f>IF('Sch2a-Imp Price by ECM'!C125="Yes", 0, 'Sch2a-Imp Price by ECM'!L125)</f>
        <v/>
      </c>
      <c r="AJ124" s="124" t="str">
        <f t="shared" si="7"/>
        <v/>
      </c>
      <c r="AK124" s="1" t="str">
        <f>IF('Sch2a-Imp Price by ECM'!M125="","",'Sch2a-Imp Price by ECM'!M125)</f>
        <v/>
      </c>
    </row>
    <row r="125" spans="1:37" ht="16.5" thickBot="1">
      <c r="A125" s="72" t="str">
        <f>IF('Sch2a-Imp Price by ECM'!B126="","",'Sch2a-Imp Price by ECM'!B126)</f>
        <v/>
      </c>
      <c r="B125" s="139" t="str">
        <f>IF('Sch2a-Imp Price by ECM'!D126="","",'Sch2a-Imp Price by ECM'!D126)</f>
        <v/>
      </c>
      <c r="C125" s="358" t="str">
        <f>IF('Sch2a-Imp Price by ECM'!G126="","",'Sch2a-Imp Price by ECM'!G126)</f>
        <v/>
      </c>
      <c r="D125" s="471"/>
      <c r="E125" s="350"/>
      <c r="F125" s="350"/>
      <c r="G125" s="350"/>
      <c r="H125" s="350"/>
      <c r="I125" s="242"/>
      <c r="J125" s="350"/>
      <c r="K125" s="350"/>
      <c r="L125" s="241"/>
      <c r="M125" s="241"/>
      <c r="N125" s="241"/>
      <c r="O125" s="235"/>
      <c r="P125" s="350"/>
      <c r="Q125" s="241"/>
      <c r="R125" s="351"/>
      <c r="S125" s="241"/>
      <c r="T125" s="351"/>
      <c r="U125" s="352"/>
      <c r="V125" s="351"/>
      <c r="W125" s="352"/>
      <c r="X125" s="383"/>
      <c r="Y125" s="352"/>
      <c r="Z125" s="349">
        <f t="shared" si="4"/>
        <v>0</v>
      </c>
      <c r="AA125" s="13">
        <f t="shared" si="5"/>
        <v>0</v>
      </c>
      <c r="AB125" s="351"/>
      <c r="AC125" s="352"/>
      <c r="AD125" s="351"/>
      <c r="AE125" s="352"/>
      <c r="AF125" s="352"/>
      <c r="AG125" s="352"/>
      <c r="AH125" s="108">
        <f t="shared" si="6"/>
        <v>0</v>
      </c>
      <c r="AI125" s="108" t="str">
        <f>IF('Sch2a-Imp Price by ECM'!C126="Yes", 0, 'Sch2a-Imp Price by ECM'!L126)</f>
        <v/>
      </c>
      <c r="AJ125" s="124" t="str">
        <f t="shared" si="7"/>
        <v/>
      </c>
      <c r="AK125" s="1" t="str">
        <f>IF('Sch2a-Imp Price by ECM'!M126="","",'Sch2a-Imp Price by ECM'!M126)</f>
        <v/>
      </c>
    </row>
    <row r="126" spans="1:37" ht="16.5" thickBot="1">
      <c r="A126" s="72" t="str">
        <f>IF('Sch2a-Imp Price by ECM'!B127="","",'Sch2a-Imp Price by ECM'!B127)</f>
        <v/>
      </c>
      <c r="B126" s="139" t="str">
        <f>IF('Sch2a-Imp Price by ECM'!D127="","",'Sch2a-Imp Price by ECM'!D127)</f>
        <v/>
      </c>
      <c r="C126" s="358" t="str">
        <f>IF('Sch2a-Imp Price by ECM'!G127="","",'Sch2a-Imp Price by ECM'!G127)</f>
        <v/>
      </c>
      <c r="D126" s="471"/>
      <c r="E126" s="350"/>
      <c r="F126" s="350"/>
      <c r="G126" s="350"/>
      <c r="H126" s="350"/>
      <c r="I126" s="242"/>
      <c r="J126" s="350"/>
      <c r="K126" s="350"/>
      <c r="L126" s="241"/>
      <c r="M126" s="241"/>
      <c r="N126" s="241"/>
      <c r="O126" s="235"/>
      <c r="P126" s="350"/>
      <c r="Q126" s="241"/>
      <c r="R126" s="351"/>
      <c r="S126" s="241"/>
      <c r="T126" s="351"/>
      <c r="U126" s="352"/>
      <c r="V126" s="351"/>
      <c r="W126" s="352"/>
      <c r="X126" s="383"/>
      <c r="Y126" s="352"/>
      <c r="Z126" s="349">
        <f t="shared" si="4"/>
        <v>0</v>
      </c>
      <c r="AA126" s="13">
        <f t="shared" si="5"/>
        <v>0</v>
      </c>
      <c r="AB126" s="351"/>
      <c r="AC126" s="352"/>
      <c r="AD126" s="351"/>
      <c r="AE126" s="352"/>
      <c r="AF126" s="352"/>
      <c r="AG126" s="352"/>
      <c r="AH126" s="108">
        <f t="shared" si="6"/>
        <v>0</v>
      </c>
      <c r="AI126" s="108" t="str">
        <f>IF('Sch2a-Imp Price by ECM'!C127="Yes", 0, 'Sch2a-Imp Price by ECM'!L127)</f>
        <v/>
      </c>
      <c r="AJ126" s="124" t="str">
        <f t="shared" si="7"/>
        <v/>
      </c>
      <c r="AK126" s="1" t="str">
        <f>IF('Sch2a-Imp Price by ECM'!M127="","",'Sch2a-Imp Price by ECM'!M127)</f>
        <v/>
      </c>
    </row>
    <row r="127" spans="1:37" ht="16.5" thickBot="1">
      <c r="A127" s="72" t="str">
        <f>IF('Sch2a-Imp Price by ECM'!B128="","",'Sch2a-Imp Price by ECM'!B128)</f>
        <v/>
      </c>
      <c r="B127" s="139" t="str">
        <f>IF('Sch2a-Imp Price by ECM'!D128="","",'Sch2a-Imp Price by ECM'!D128)</f>
        <v/>
      </c>
      <c r="C127" s="358" t="str">
        <f>IF('Sch2a-Imp Price by ECM'!G128="","",'Sch2a-Imp Price by ECM'!G128)</f>
        <v/>
      </c>
      <c r="D127" s="471"/>
      <c r="E127" s="350"/>
      <c r="F127" s="350"/>
      <c r="G127" s="350"/>
      <c r="H127" s="350"/>
      <c r="I127" s="242"/>
      <c r="J127" s="350"/>
      <c r="K127" s="350"/>
      <c r="L127" s="241"/>
      <c r="M127" s="241"/>
      <c r="N127" s="241"/>
      <c r="O127" s="235"/>
      <c r="P127" s="350"/>
      <c r="Q127" s="241"/>
      <c r="R127" s="351"/>
      <c r="S127" s="241"/>
      <c r="T127" s="351"/>
      <c r="U127" s="352"/>
      <c r="V127" s="351"/>
      <c r="W127" s="352"/>
      <c r="X127" s="383"/>
      <c r="Y127" s="352"/>
      <c r="Z127" s="349">
        <f t="shared" si="4"/>
        <v>0</v>
      </c>
      <c r="AA127" s="13">
        <f t="shared" si="5"/>
        <v>0</v>
      </c>
      <c r="AB127" s="351"/>
      <c r="AC127" s="352"/>
      <c r="AD127" s="351"/>
      <c r="AE127" s="352"/>
      <c r="AF127" s="352"/>
      <c r="AG127" s="352"/>
      <c r="AH127" s="108">
        <f t="shared" si="6"/>
        <v>0</v>
      </c>
      <c r="AI127" s="108" t="str">
        <f>IF('Sch2a-Imp Price by ECM'!C128="Yes", 0, 'Sch2a-Imp Price by ECM'!L128)</f>
        <v/>
      </c>
      <c r="AJ127" s="124" t="str">
        <f t="shared" si="7"/>
        <v/>
      </c>
      <c r="AK127" s="1" t="str">
        <f>IF('Sch2a-Imp Price by ECM'!M128="","",'Sch2a-Imp Price by ECM'!M128)</f>
        <v/>
      </c>
    </row>
    <row r="128" spans="1:37" ht="16.5" thickBot="1">
      <c r="A128" s="72" t="str">
        <f>IF('Sch2a-Imp Price by ECM'!B129="","",'Sch2a-Imp Price by ECM'!B129)</f>
        <v/>
      </c>
      <c r="B128" s="139" t="str">
        <f>IF('Sch2a-Imp Price by ECM'!D129="","",'Sch2a-Imp Price by ECM'!D129)</f>
        <v/>
      </c>
      <c r="C128" s="358" t="str">
        <f>IF('Sch2a-Imp Price by ECM'!G129="","",'Sch2a-Imp Price by ECM'!G129)</f>
        <v/>
      </c>
      <c r="D128" s="471"/>
      <c r="E128" s="350"/>
      <c r="F128" s="350"/>
      <c r="G128" s="350"/>
      <c r="H128" s="350"/>
      <c r="I128" s="242"/>
      <c r="J128" s="350"/>
      <c r="K128" s="350"/>
      <c r="L128" s="241"/>
      <c r="M128" s="241"/>
      <c r="N128" s="241"/>
      <c r="O128" s="235"/>
      <c r="P128" s="350"/>
      <c r="Q128" s="241"/>
      <c r="R128" s="351"/>
      <c r="S128" s="241"/>
      <c r="T128" s="351"/>
      <c r="U128" s="352"/>
      <c r="V128" s="351"/>
      <c r="W128" s="352"/>
      <c r="X128" s="383"/>
      <c r="Y128" s="352"/>
      <c r="Z128" s="349">
        <f t="shared" si="4"/>
        <v>0</v>
      </c>
      <c r="AA128" s="13">
        <f t="shared" si="5"/>
        <v>0</v>
      </c>
      <c r="AB128" s="351"/>
      <c r="AC128" s="352"/>
      <c r="AD128" s="351"/>
      <c r="AE128" s="352"/>
      <c r="AF128" s="352"/>
      <c r="AG128" s="352"/>
      <c r="AH128" s="108">
        <f t="shared" si="6"/>
        <v>0</v>
      </c>
      <c r="AI128" s="108" t="str">
        <f>IF('Sch2a-Imp Price by ECM'!C129="Yes", 0, 'Sch2a-Imp Price by ECM'!L129)</f>
        <v/>
      </c>
      <c r="AJ128" s="124" t="str">
        <f t="shared" si="7"/>
        <v/>
      </c>
      <c r="AK128" s="1" t="str">
        <f>IF('Sch2a-Imp Price by ECM'!M129="","",'Sch2a-Imp Price by ECM'!M129)</f>
        <v/>
      </c>
    </row>
    <row r="129" spans="1:37" ht="16.5" thickBot="1">
      <c r="A129" s="72" t="str">
        <f>IF('Sch2a-Imp Price by ECM'!B130="","",'Sch2a-Imp Price by ECM'!B130)</f>
        <v/>
      </c>
      <c r="B129" s="139" t="str">
        <f>IF('Sch2a-Imp Price by ECM'!D130="","",'Sch2a-Imp Price by ECM'!D130)</f>
        <v/>
      </c>
      <c r="C129" s="358" t="str">
        <f>IF('Sch2a-Imp Price by ECM'!G130="","",'Sch2a-Imp Price by ECM'!G130)</f>
        <v/>
      </c>
      <c r="D129" s="471"/>
      <c r="E129" s="350"/>
      <c r="F129" s="350"/>
      <c r="G129" s="350"/>
      <c r="H129" s="350"/>
      <c r="I129" s="242"/>
      <c r="J129" s="350"/>
      <c r="K129" s="350"/>
      <c r="L129" s="241"/>
      <c r="M129" s="241"/>
      <c r="N129" s="241"/>
      <c r="O129" s="235"/>
      <c r="P129" s="350"/>
      <c r="Q129" s="241"/>
      <c r="R129" s="351"/>
      <c r="S129" s="241"/>
      <c r="T129" s="351"/>
      <c r="U129" s="352"/>
      <c r="V129" s="351"/>
      <c r="W129" s="352"/>
      <c r="X129" s="383"/>
      <c r="Y129" s="352"/>
      <c r="Z129" s="349">
        <f t="shared" si="4"/>
        <v>0</v>
      </c>
      <c r="AA129" s="13">
        <f t="shared" si="5"/>
        <v>0</v>
      </c>
      <c r="AB129" s="351"/>
      <c r="AC129" s="352"/>
      <c r="AD129" s="351"/>
      <c r="AE129" s="352"/>
      <c r="AF129" s="352"/>
      <c r="AG129" s="352"/>
      <c r="AH129" s="108">
        <f t="shared" si="6"/>
        <v>0</v>
      </c>
      <c r="AI129" s="108" t="str">
        <f>IF('Sch2a-Imp Price by ECM'!C130="Yes", 0, 'Sch2a-Imp Price by ECM'!L130)</f>
        <v/>
      </c>
      <c r="AJ129" s="124" t="str">
        <f t="shared" si="7"/>
        <v/>
      </c>
      <c r="AK129" s="1" t="str">
        <f>IF('Sch2a-Imp Price by ECM'!M130="","",'Sch2a-Imp Price by ECM'!M130)</f>
        <v/>
      </c>
    </row>
    <row r="130" spans="1:37" ht="16.5" thickBot="1">
      <c r="A130" s="72" t="str">
        <f>IF('Sch2a-Imp Price by ECM'!B131="","",'Sch2a-Imp Price by ECM'!B131)</f>
        <v/>
      </c>
      <c r="B130" s="139" t="str">
        <f>IF('Sch2a-Imp Price by ECM'!D131="","",'Sch2a-Imp Price by ECM'!D131)</f>
        <v/>
      </c>
      <c r="C130" s="358" t="str">
        <f>IF('Sch2a-Imp Price by ECM'!G131="","",'Sch2a-Imp Price by ECM'!G131)</f>
        <v/>
      </c>
      <c r="D130" s="471"/>
      <c r="E130" s="350"/>
      <c r="F130" s="350"/>
      <c r="G130" s="350"/>
      <c r="H130" s="350"/>
      <c r="I130" s="242"/>
      <c r="J130" s="350"/>
      <c r="K130" s="350"/>
      <c r="L130" s="241"/>
      <c r="M130" s="241"/>
      <c r="N130" s="241"/>
      <c r="O130" s="235"/>
      <c r="P130" s="350"/>
      <c r="Q130" s="241"/>
      <c r="R130" s="351"/>
      <c r="S130" s="241"/>
      <c r="T130" s="351"/>
      <c r="U130" s="352"/>
      <c r="V130" s="351"/>
      <c r="W130" s="352"/>
      <c r="X130" s="383"/>
      <c r="Y130" s="352"/>
      <c r="Z130" s="349">
        <f t="shared" si="4"/>
        <v>0</v>
      </c>
      <c r="AA130" s="13">
        <f t="shared" si="5"/>
        <v>0</v>
      </c>
      <c r="AB130" s="351"/>
      <c r="AC130" s="352"/>
      <c r="AD130" s="351"/>
      <c r="AE130" s="352"/>
      <c r="AF130" s="352"/>
      <c r="AG130" s="352"/>
      <c r="AH130" s="108">
        <f t="shared" si="6"/>
        <v>0</v>
      </c>
      <c r="AI130" s="108" t="str">
        <f>IF('Sch2a-Imp Price by ECM'!C131="Yes", 0, 'Sch2a-Imp Price by ECM'!L131)</f>
        <v/>
      </c>
      <c r="AJ130" s="124" t="str">
        <f t="shared" si="7"/>
        <v/>
      </c>
      <c r="AK130" s="1" t="str">
        <f>IF('Sch2a-Imp Price by ECM'!M131="","",'Sch2a-Imp Price by ECM'!M131)</f>
        <v/>
      </c>
    </row>
    <row r="131" spans="1:37" ht="16.5" thickBot="1">
      <c r="A131" s="72" t="str">
        <f>IF('Sch2a-Imp Price by ECM'!B132="","",'Sch2a-Imp Price by ECM'!B132)</f>
        <v/>
      </c>
      <c r="B131" s="139" t="str">
        <f>IF('Sch2a-Imp Price by ECM'!D132="","",'Sch2a-Imp Price by ECM'!D132)</f>
        <v/>
      </c>
      <c r="C131" s="358" t="str">
        <f>IF('Sch2a-Imp Price by ECM'!G132="","",'Sch2a-Imp Price by ECM'!G132)</f>
        <v/>
      </c>
      <c r="D131" s="471"/>
      <c r="E131" s="350"/>
      <c r="F131" s="350"/>
      <c r="G131" s="350"/>
      <c r="H131" s="350"/>
      <c r="I131" s="242"/>
      <c r="J131" s="350"/>
      <c r="K131" s="350"/>
      <c r="L131" s="241"/>
      <c r="M131" s="241"/>
      <c r="N131" s="241"/>
      <c r="O131" s="235"/>
      <c r="P131" s="350"/>
      <c r="Q131" s="241"/>
      <c r="R131" s="351"/>
      <c r="S131" s="241"/>
      <c r="T131" s="351"/>
      <c r="U131" s="352"/>
      <c r="V131" s="351"/>
      <c r="W131" s="352"/>
      <c r="X131" s="383"/>
      <c r="Y131" s="352"/>
      <c r="Z131" s="349">
        <f t="shared" si="4"/>
        <v>0</v>
      </c>
      <c r="AA131" s="13">
        <f t="shared" si="5"/>
        <v>0</v>
      </c>
      <c r="AB131" s="351"/>
      <c r="AC131" s="352"/>
      <c r="AD131" s="351"/>
      <c r="AE131" s="352"/>
      <c r="AF131" s="352"/>
      <c r="AG131" s="352"/>
      <c r="AH131" s="108">
        <f t="shared" si="6"/>
        <v>0</v>
      </c>
      <c r="AI131" s="108" t="str">
        <f>IF('Sch2a-Imp Price by ECM'!C132="Yes", 0, 'Sch2a-Imp Price by ECM'!L132)</f>
        <v/>
      </c>
      <c r="AJ131" s="124" t="str">
        <f t="shared" si="7"/>
        <v/>
      </c>
      <c r="AK131" s="1" t="str">
        <f>IF('Sch2a-Imp Price by ECM'!M132="","",'Sch2a-Imp Price by ECM'!M132)</f>
        <v/>
      </c>
    </row>
    <row r="132" spans="1:37" ht="16.5" thickBot="1">
      <c r="A132" s="72" t="str">
        <f>IF('Sch2a-Imp Price by ECM'!B133="","",'Sch2a-Imp Price by ECM'!B133)</f>
        <v/>
      </c>
      <c r="B132" s="139" t="str">
        <f>IF('Sch2a-Imp Price by ECM'!D133="","",'Sch2a-Imp Price by ECM'!D133)</f>
        <v/>
      </c>
      <c r="C132" s="358" t="str">
        <f>IF('Sch2a-Imp Price by ECM'!G133="","",'Sch2a-Imp Price by ECM'!G133)</f>
        <v/>
      </c>
      <c r="D132" s="471"/>
      <c r="E132" s="350"/>
      <c r="F132" s="350"/>
      <c r="G132" s="350"/>
      <c r="H132" s="350"/>
      <c r="I132" s="242"/>
      <c r="J132" s="350"/>
      <c r="K132" s="350"/>
      <c r="L132" s="241"/>
      <c r="M132" s="241"/>
      <c r="N132" s="241"/>
      <c r="O132" s="235"/>
      <c r="P132" s="350"/>
      <c r="Q132" s="241"/>
      <c r="R132" s="351"/>
      <c r="S132" s="241"/>
      <c r="T132" s="351"/>
      <c r="U132" s="352"/>
      <c r="V132" s="351"/>
      <c r="W132" s="352"/>
      <c r="X132" s="383"/>
      <c r="Y132" s="352"/>
      <c r="Z132" s="349">
        <f t="shared" si="4"/>
        <v>0</v>
      </c>
      <c r="AA132" s="13">
        <f t="shared" si="5"/>
        <v>0</v>
      </c>
      <c r="AB132" s="351"/>
      <c r="AC132" s="352"/>
      <c r="AD132" s="351"/>
      <c r="AE132" s="352"/>
      <c r="AF132" s="352"/>
      <c r="AG132" s="352"/>
      <c r="AH132" s="108">
        <f t="shared" si="6"/>
        <v>0</v>
      </c>
      <c r="AI132" s="108" t="str">
        <f>IF('Sch2a-Imp Price by ECM'!C133="Yes", 0, 'Sch2a-Imp Price by ECM'!L133)</f>
        <v/>
      </c>
      <c r="AJ132" s="124" t="str">
        <f t="shared" si="7"/>
        <v/>
      </c>
      <c r="AK132" s="1" t="str">
        <f>IF('Sch2a-Imp Price by ECM'!M133="","",'Sch2a-Imp Price by ECM'!M133)</f>
        <v/>
      </c>
    </row>
    <row r="133" spans="1:37" ht="16.5" thickBot="1">
      <c r="A133" s="72" t="str">
        <f>IF('Sch2a-Imp Price by ECM'!B134="","",'Sch2a-Imp Price by ECM'!B134)</f>
        <v/>
      </c>
      <c r="B133" s="139" t="str">
        <f>IF('Sch2a-Imp Price by ECM'!D134="","",'Sch2a-Imp Price by ECM'!D134)</f>
        <v/>
      </c>
      <c r="C133" s="358" t="str">
        <f>IF('Sch2a-Imp Price by ECM'!G134="","",'Sch2a-Imp Price by ECM'!G134)</f>
        <v/>
      </c>
      <c r="D133" s="471"/>
      <c r="E133" s="350"/>
      <c r="F133" s="350"/>
      <c r="G133" s="350"/>
      <c r="H133" s="350"/>
      <c r="I133" s="242"/>
      <c r="J133" s="350"/>
      <c r="K133" s="350"/>
      <c r="L133" s="241"/>
      <c r="M133" s="241"/>
      <c r="N133" s="241"/>
      <c r="O133" s="235"/>
      <c r="P133" s="350"/>
      <c r="Q133" s="241"/>
      <c r="R133" s="351"/>
      <c r="S133" s="241"/>
      <c r="T133" s="351"/>
      <c r="U133" s="352"/>
      <c r="V133" s="351"/>
      <c r="W133" s="352"/>
      <c r="X133" s="383"/>
      <c r="Y133" s="352"/>
      <c r="Z133" s="349">
        <f t="shared" si="4"/>
        <v>0</v>
      </c>
      <c r="AA133" s="13">
        <f t="shared" si="5"/>
        <v>0</v>
      </c>
      <c r="AB133" s="351"/>
      <c r="AC133" s="352"/>
      <c r="AD133" s="351"/>
      <c r="AE133" s="352"/>
      <c r="AF133" s="352"/>
      <c r="AG133" s="352"/>
      <c r="AH133" s="108">
        <f t="shared" si="6"/>
        <v>0</v>
      </c>
      <c r="AI133" s="108" t="str">
        <f>IF('Sch2a-Imp Price by ECM'!C134="Yes", 0, 'Sch2a-Imp Price by ECM'!L134)</f>
        <v/>
      </c>
      <c r="AJ133" s="124" t="str">
        <f t="shared" si="7"/>
        <v/>
      </c>
      <c r="AK133" s="1" t="str">
        <f>IF('Sch2a-Imp Price by ECM'!M134="","",'Sch2a-Imp Price by ECM'!M134)</f>
        <v/>
      </c>
    </row>
    <row r="134" spans="1:37" ht="16.5" thickBot="1">
      <c r="A134" s="72" t="str">
        <f>IF('Sch2a-Imp Price by ECM'!B135="","",'Sch2a-Imp Price by ECM'!B135)</f>
        <v/>
      </c>
      <c r="B134" s="139" t="str">
        <f>IF('Sch2a-Imp Price by ECM'!D135="","",'Sch2a-Imp Price by ECM'!D135)</f>
        <v/>
      </c>
      <c r="C134" s="358" t="str">
        <f>IF('Sch2a-Imp Price by ECM'!G135="","",'Sch2a-Imp Price by ECM'!G135)</f>
        <v/>
      </c>
      <c r="D134" s="471"/>
      <c r="E134" s="350"/>
      <c r="F134" s="350"/>
      <c r="G134" s="350"/>
      <c r="H134" s="350"/>
      <c r="I134" s="242"/>
      <c r="J134" s="350"/>
      <c r="K134" s="350"/>
      <c r="L134" s="241"/>
      <c r="M134" s="241"/>
      <c r="N134" s="241"/>
      <c r="O134" s="235"/>
      <c r="P134" s="350"/>
      <c r="Q134" s="241"/>
      <c r="R134" s="351"/>
      <c r="S134" s="241"/>
      <c r="T134" s="351"/>
      <c r="U134" s="352"/>
      <c r="V134" s="351"/>
      <c r="W134" s="352"/>
      <c r="X134" s="383"/>
      <c r="Y134" s="352"/>
      <c r="Z134" s="349">
        <f t="shared" si="4"/>
        <v>0</v>
      </c>
      <c r="AA134" s="13">
        <f t="shared" si="5"/>
        <v>0</v>
      </c>
      <c r="AB134" s="351"/>
      <c r="AC134" s="352"/>
      <c r="AD134" s="351"/>
      <c r="AE134" s="352"/>
      <c r="AF134" s="352"/>
      <c r="AG134" s="352"/>
      <c r="AH134" s="108">
        <f t="shared" si="6"/>
        <v>0</v>
      </c>
      <c r="AI134" s="108" t="str">
        <f>IF('Sch2a-Imp Price by ECM'!C135="Yes", 0, 'Sch2a-Imp Price by ECM'!L135)</f>
        <v/>
      </c>
      <c r="AJ134" s="124" t="str">
        <f t="shared" si="7"/>
        <v/>
      </c>
      <c r="AK134" s="1" t="str">
        <f>IF('Sch2a-Imp Price by ECM'!M135="","",'Sch2a-Imp Price by ECM'!M135)</f>
        <v/>
      </c>
    </row>
    <row r="135" spans="1:37" ht="16.5" thickBot="1">
      <c r="A135" s="72" t="str">
        <f>IF('Sch2a-Imp Price by ECM'!B136="","",'Sch2a-Imp Price by ECM'!B136)</f>
        <v/>
      </c>
      <c r="B135" s="139" t="str">
        <f>IF('Sch2a-Imp Price by ECM'!D136="","",'Sch2a-Imp Price by ECM'!D136)</f>
        <v/>
      </c>
      <c r="C135" s="358" t="str">
        <f>IF('Sch2a-Imp Price by ECM'!G136="","",'Sch2a-Imp Price by ECM'!G136)</f>
        <v/>
      </c>
      <c r="D135" s="471"/>
      <c r="E135" s="350"/>
      <c r="F135" s="350"/>
      <c r="G135" s="350"/>
      <c r="H135" s="350"/>
      <c r="I135" s="242"/>
      <c r="J135" s="350"/>
      <c r="K135" s="350"/>
      <c r="L135" s="241"/>
      <c r="M135" s="241"/>
      <c r="N135" s="241"/>
      <c r="O135" s="242"/>
      <c r="P135" s="350"/>
      <c r="Q135" s="241"/>
      <c r="R135" s="351"/>
      <c r="S135" s="241"/>
      <c r="T135" s="351"/>
      <c r="U135" s="352"/>
      <c r="V135" s="351"/>
      <c r="W135" s="352"/>
      <c r="X135" s="383"/>
      <c r="Y135" s="352"/>
      <c r="Z135" s="349">
        <f t="shared" si="4"/>
        <v>0</v>
      </c>
      <c r="AA135" s="13">
        <f t="shared" si="5"/>
        <v>0</v>
      </c>
      <c r="AB135" s="351"/>
      <c r="AC135" s="352"/>
      <c r="AD135" s="351"/>
      <c r="AE135" s="352"/>
      <c r="AF135" s="352"/>
      <c r="AG135" s="352"/>
      <c r="AH135" s="108">
        <f t="shared" si="6"/>
        <v>0</v>
      </c>
      <c r="AI135" s="108" t="str">
        <f>IF('Sch2a-Imp Price by ECM'!C136="Yes", 0, 'Sch2a-Imp Price by ECM'!L136)</f>
        <v/>
      </c>
      <c r="AJ135" s="124" t="str">
        <f t="shared" si="7"/>
        <v/>
      </c>
      <c r="AK135" s="1" t="str">
        <f>IF('Sch2a-Imp Price by ECM'!M136="","",'Sch2a-Imp Price by ECM'!M136)</f>
        <v/>
      </c>
    </row>
    <row r="136" spans="1:37" ht="16.5" thickBot="1">
      <c r="A136" s="72" t="str">
        <f>IF('Sch2a-Imp Price by ECM'!B137="","",'Sch2a-Imp Price by ECM'!B137)</f>
        <v/>
      </c>
      <c r="B136" s="139" t="str">
        <f>IF('Sch2a-Imp Price by ECM'!D137="","",'Sch2a-Imp Price by ECM'!D137)</f>
        <v/>
      </c>
      <c r="C136" s="358" t="str">
        <f>IF('Sch2a-Imp Price by ECM'!G137="","",'Sch2a-Imp Price by ECM'!G137)</f>
        <v/>
      </c>
      <c r="D136" s="471"/>
      <c r="E136" s="350"/>
      <c r="F136" s="350"/>
      <c r="G136" s="350"/>
      <c r="H136" s="350"/>
      <c r="I136" s="242"/>
      <c r="J136" s="350"/>
      <c r="K136" s="350"/>
      <c r="L136" s="241"/>
      <c r="M136" s="241"/>
      <c r="N136" s="241"/>
      <c r="O136" s="242"/>
      <c r="P136" s="350"/>
      <c r="Q136" s="241"/>
      <c r="R136" s="351"/>
      <c r="S136" s="241"/>
      <c r="T136" s="351"/>
      <c r="U136" s="352"/>
      <c r="V136" s="351"/>
      <c r="W136" s="352"/>
      <c r="X136" s="383"/>
      <c r="Y136" s="352"/>
      <c r="Z136" s="349">
        <f t="shared" si="4"/>
        <v>0</v>
      </c>
      <c r="AA136" s="13">
        <f t="shared" si="5"/>
        <v>0</v>
      </c>
      <c r="AB136" s="351"/>
      <c r="AC136" s="352"/>
      <c r="AD136" s="351"/>
      <c r="AE136" s="352"/>
      <c r="AF136" s="352"/>
      <c r="AG136" s="352"/>
      <c r="AH136" s="108">
        <f t="shared" si="6"/>
        <v>0</v>
      </c>
      <c r="AI136" s="108" t="str">
        <f>IF('Sch2a-Imp Price by ECM'!C137="Yes", 0, 'Sch2a-Imp Price by ECM'!L137)</f>
        <v/>
      </c>
      <c r="AJ136" s="124" t="str">
        <f t="shared" si="7"/>
        <v/>
      </c>
      <c r="AK136" s="1" t="str">
        <f>IF('Sch2a-Imp Price by ECM'!M137="","",'Sch2a-Imp Price by ECM'!M137)</f>
        <v/>
      </c>
    </row>
    <row r="137" spans="1:37" ht="16.5" thickBot="1">
      <c r="A137" s="72" t="str">
        <f>IF('Sch2a-Imp Price by ECM'!B138="","",'Sch2a-Imp Price by ECM'!B138)</f>
        <v/>
      </c>
      <c r="B137" s="139" t="str">
        <f>IF('Sch2a-Imp Price by ECM'!D138="","",'Sch2a-Imp Price by ECM'!D138)</f>
        <v/>
      </c>
      <c r="C137" s="358" t="str">
        <f>IF('Sch2a-Imp Price by ECM'!G138="","",'Sch2a-Imp Price by ECM'!G138)</f>
        <v/>
      </c>
      <c r="D137" s="471"/>
      <c r="E137" s="350"/>
      <c r="F137" s="350"/>
      <c r="G137" s="350"/>
      <c r="H137" s="350"/>
      <c r="I137" s="242"/>
      <c r="J137" s="350"/>
      <c r="K137" s="350"/>
      <c r="L137" s="241"/>
      <c r="M137" s="241"/>
      <c r="N137" s="241"/>
      <c r="O137" s="242"/>
      <c r="P137" s="350"/>
      <c r="Q137" s="241"/>
      <c r="R137" s="351"/>
      <c r="S137" s="241"/>
      <c r="T137" s="351"/>
      <c r="U137" s="352"/>
      <c r="V137" s="351"/>
      <c r="W137" s="352"/>
      <c r="X137" s="383"/>
      <c r="Y137" s="352"/>
      <c r="Z137" s="349">
        <f t="shared" ref="Z137:Z200" si="8">(P137*3412/10^6)+T137+V137+X137</f>
        <v>0</v>
      </c>
      <c r="AA137" s="13">
        <f t="shared" ref="AA137:AA200" si="9">Q137+S137+W137+Y137+U137</f>
        <v>0</v>
      </c>
      <c r="AB137" s="351"/>
      <c r="AC137" s="352"/>
      <c r="AD137" s="351"/>
      <c r="AE137" s="352"/>
      <c r="AF137" s="352"/>
      <c r="AG137" s="352"/>
      <c r="AH137" s="108">
        <f t="shared" ref="AH137:AH200" si="10">AA137+AC137+AF137+AE137+AG137</f>
        <v>0</v>
      </c>
      <c r="AI137" s="108" t="str">
        <f>IF('Sch2a-Imp Price by ECM'!C138="Yes", 0, 'Sch2a-Imp Price by ECM'!L138)</f>
        <v/>
      </c>
      <c r="AJ137" s="124" t="str">
        <f t="shared" ref="AJ137:AJ200" si="11">IF(AI137="","",AI137/AH137)</f>
        <v/>
      </c>
      <c r="AK137" s="1" t="str">
        <f>IF('Sch2a-Imp Price by ECM'!M138="","",'Sch2a-Imp Price by ECM'!M138)</f>
        <v/>
      </c>
    </row>
    <row r="138" spans="1:37" ht="16.5" thickBot="1">
      <c r="A138" s="72" t="str">
        <f>IF('Sch2a-Imp Price by ECM'!B139="","",'Sch2a-Imp Price by ECM'!B139)</f>
        <v/>
      </c>
      <c r="B138" s="139" t="str">
        <f>IF('Sch2a-Imp Price by ECM'!D139="","",'Sch2a-Imp Price by ECM'!D139)</f>
        <v/>
      </c>
      <c r="C138" s="358" t="str">
        <f>IF('Sch2a-Imp Price by ECM'!G139="","",'Sch2a-Imp Price by ECM'!G139)</f>
        <v/>
      </c>
      <c r="D138" s="471"/>
      <c r="E138" s="350"/>
      <c r="F138" s="350"/>
      <c r="G138" s="350"/>
      <c r="H138" s="350"/>
      <c r="I138" s="242"/>
      <c r="J138" s="350"/>
      <c r="K138" s="350"/>
      <c r="L138" s="241"/>
      <c r="M138" s="241"/>
      <c r="N138" s="241"/>
      <c r="O138" s="242"/>
      <c r="P138" s="350"/>
      <c r="Q138" s="241"/>
      <c r="R138" s="351"/>
      <c r="S138" s="241"/>
      <c r="T138" s="351"/>
      <c r="U138" s="352"/>
      <c r="V138" s="351"/>
      <c r="W138" s="352"/>
      <c r="X138" s="383"/>
      <c r="Y138" s="352"/>
      <c r="Z138" s="349">
        <f t="shared" si="8"/>
        <v>0</v>
      </c>
      <c r="AA138" s="13">
        <f t="shared" si="9"/>
        <v>0</v>
      </c>
      <c r="AB138" s="351"/>
      <c r="AC138" s="352"/>
      <c r="AD138" s="351"/>
      <c r="AE138" s="352"/>
      <c r="AF138" s="352"/>
      <c r="AG138" s="352"/>
      <c r="AH138" s="108">
        <f t="shared" si="10"/>
        <v>0</v>
      </c>
      <c r="AI138" s="108" t="str">
        <f>IF('Sch2a-Imp Price by ECM'!C139="Yes", 0, 'Sch2a-Imp Price by ECM'!L139)</f>
        <v/>
      </c>
      <c r="AJ138" s="124" t="str">
        <f t="shared" si="11"/>
        <v/>
      </c>
      <c r="AK138" s="1" t="str">
        <f>IF('Sch2a-Imp Price by ECM'!M139="","",'Sch2a-Imp Price by ECM'!M139)</f>
        <v/>
      </c>
    </row>
    <row r="139" spans="1:37" ht="18" customHeight="1" thickBot="1">
      <c r="A139" s="72" t="str">
        <f>IF('Sch2a-Imp Price by ECM'!B140="","",'Sch2a-Imp Price by ECM'!B140)</f>
        <v/>
      </c>
      <c r="B139" s="139" t="str">
        <f>IF('Sch2a-Imp Price by ECM'!D140="","",'Sch2a-Imp Price by ECM'!D140)</f>
        <v/>
      </c>
      <c r="C139" s="358" t="str">
        <f>IF('Sch2a-Imp Price by ECM'!G140="","",'Sch2a-Imp Price by ECM'!G140)</f>
        <v/>
      </c>
      <c r="D139" s="471"/>
      <c r="E139" s="350"/>
      <c r="F139" s="350"/>
      <c r="G139" s="350"/>
      <c r="H139" s="350"/>
      <c r="I139" s="242"/>
      <c r="J139" s="350"/>
      <c r="K139" s="350"/>
      <c r="L139" s="241"/>
      <c r="M139" s="241"/>
      <c r="N139" s="241"/>
      <c r="O139" s="242"/>
      <c r="P139" s="350"/>
      <c r="Q139" s="241"/>
      <c r="R139" s="351"/>
      <c r="S139" s="241"/>
      <c r="T139" s="351"/>
      <c r="U139" s="352"/>
      <c r="V139" s="351"/>
      <c r="W139" s="352"/>
      <c r="X139" s="383"/>
      <c r="Y139" s="352"/>
      <c r="Z139" s="349">
        <f t="shared" si="8"/>
        <v>0</v>
      </c>
      <c r="AA139" s="13">
        <f t="shared" si="9"/>
        <v>0</v>
      </c>
      <c r="AB139" s="351"/>
      <c r="AC139" s="352"/>
      <c r="AD139" s="351"/>
      <c r="AE139" s="352"/>
      <c r="AF139" s="352"/>
      <c r="AG139" s="352"/>
      <c r="AH139" s="108">
        <f t="shared" si="10"/>
        <v>0</v>
      </c>
      <c r="AI139" s="108" t="str">
        <f>IF('Sch2a-Imp Price by ECM'!C140="Yes", 0, 'Sch2a-Imp Price by ECM'!L140)</f>
        <v/>
      </c>
      <c r="AJ139" s="124" t="str">
        <f t="shared" si="11"/>
        <v/>
      </c>
      <c r="AK139" s="1" t="str">
        <f>IF('Sch2a-Imp Price by ECM'!M140="","",'Sch2a-Imp Price by ECM'!M140)</f>
        <v/>
      </c>
    </row>
    <row r="140" spans="1:37" ht="16.5" thickBot="1">
      <c r="A140" s="72" t="str">
        <f>IF('Sch2a-Imp Price by ECM'!B141="","",'Sch2a-Imp Price by ECM'!B141)</f>
        <v/>
      </c>
      <c r="B140" s="139" t="str">
        <f>IF('Sch2a-Imp Price by ECM'!D141="","",'Sch2a-Imp Price by ECM'!D141)</f>
        <v/>
      </c>
      <c r="C140" s="358" t="str">
        <f>IF('Sch2a-Imp Price by ECM'!G141="","",'Sch2a-Imp Price by ECM'!G141)</f>
        <v/>
      </c>
      <c r="D140" s="471"/>
      <c r="E140" s="350"/>
      <c r="F140" s="350"/>
      <c r="G140" s="350"/>
      <c r="H140" s="350"/>
      <c r="I140" s="242"/>
      <c r="J140" s="350"/>
      <c r="K140" s="350"/>
      <c r="L140" s="241"/>
      <c r="M140" s="241"/>
      <c r="N140" s="241"/>
      <c r="O140" s="242"/>
      <c r="P140" s="350"/>
      <c r="Q140" s="241"/>
      <c r="R140" s="351"/>
      <c r="S140" s="241"/>
      <c r="T140" s="351"/>
      <c r="U140" s="352"/>
      <c r="V140" s="351"/>
      <c r="W140" s="352"/>
      <c r="X140" s="383"/>
      <c r="Y140" s="352"/>
      <c r="Z140" s="349">
        <f t="shared" si="8"/>
        <v>0</v>
      </c>
      <c r="AA140" s="13">
        <f t="shared" si="9"/>
        <v>0</v>
      </c>
      <c r="AB140" s="351"/>
      <c r="AC140" s="352"/>
      <c r="AD140" s="351"/>
      <c r="AE140" s="352"/>
      <c r="AF140" s="352"/>
      <c r="AG140" s="352"/>
      <c r="AH140" s="108">
        <f t="shared" si="10"/>
        <v>0</v>
      </c>
      <c r="AI140" s="108" t="str">
        <f>IF('Sch2a-Imp Price by ECM'!C141="Yes", 0, 'Sch2a-Imp Price by ECM'!L141)</f>
        <v/>
      </c>
      <c r="AJ140" s="124" t="str">
        <f t="shared" si="11"/>
        <v/>
      </c>
      <c r="AK140" s="1" t="str">
        <f>IF('Sch2a-Imp Price by ECM'!M141="","",'Sch2a-Imp Price by ECM'!M141)</f>
        <v/>
      </c>
    </row>
    <row r="141" spans="1:37" ht="16.5" thickBot="1">
      <c r="A141" s="72" t="str">
        <f>IF('Sch2a-Imp Price by ECM'!B142="","",'Sch2a-Imp Price by ECM'!B142)</f>
        <v/>
      </c>
      <c r="B141" s="139" t="str">
        <f>IF('Sch2a-Imp Price by ECM'!D142="","",'Sch2a-Imp Price by ECM'!D142)</f>
        <v/>
      </c>
      <c r="C141" s="358" t="str">
        <f>IF('Sch2a-Imp Price by ECM'!G142="","",'Sch2a-Imp Price by ECM'!G142)</f>
        <v/>
      </c>
      <c r="D141" s="471"/>
      <c r="E141" s="350"/>
      <c r="F141" s="350"/>
      <c r="G141" s="350"/>
      <c r="H141" s="350"/>
      <c r="I141" s="242"/>
      <c r="J141" s="350"/>
      <c r="K141" s="350"/>
      <c r="L141" s="241"/>
      <c r="M141" s="241"/>
      <c r="N141" s="241"/>
      <c r="O141" s="242"/>
      <c r="P141" s="350"/>
      <c r="Q141" s="241"/>
      <c r="R141" s="351"/>
      <c r="S141" s="241"/>
      <c r="T141" s="351"/>
      <c r="U141" s="352"/>
      <c r="V141" s="351"/>
      <c r="W141" s="352"/>
      <c r="X141" s="383"/>
      <c r="Y141" s="352"/>
      <c r="Z141" s="349">
        <f t="shared" si="8"/>
        <v>0</v>
      </c>
      <c r="AA141" s="13">
        <f t="shared" si="9"/>
        <v>0</v>
      </c>
      <c r="AB141" s="351"/>
      <c r="AC141" s="352"/>
      <c r="AD141" s="351"/>
      <c r="AE141" s="352"/>
      <c r="AF141" s="352"/>
      <c r="AG141" s="352"/>
      <c r="AH141" s="108">
        <f t="shared" si="10"/>
        <v>0</v>
      </c>
      <c r="AI141" s="108" t="str">
        <f>IF('Sch2a-Imp Price by ECM'!C142="Yes", 0, 'Sch2a-Imp Price by ECM'!L142)</f>
        <v/>
      </c>
      <c r="AJ141" s="124" t="str">
        <f t="shared" si="11"/>
        <v/>
      </c>
      <c r="AK141" s="1" t="str">
        <f>IF('Sch2a-Imp Price by ECM'!M142="","",'Sch2a-Imp Price by ECM'!M142)</f>
        <v/>
      </c>
    </row>
    <row r="142" spans="1:37" ht="16.5" thickBot="1">
      <c r="A142" s="72" t="str">
        <f>IF('Sch2a-Imp Price by ECM'!B143="","",'Sch2a-Imp Price by ECM'!B143)</f>
        <v/>
      </c>
      <c r="B142" s="139" t="str">
        <f>IF('Sch2a-Imp Price by ECM'!D143="","",'Sch2a-Imp Price by ECM'!D143)</f>
        <v/>
      </c>
      <c r="C142" s="358" t="str">
        <f>IF('Sch2a-Imp Price by ECM'!G143="","",'Sch2a-Imp Price by ECM'!G143)</f>
        <v/>
      </c>
      <c r="D142" s="471"/>
      <c r="E142" s="350"/>
      <c r="F142" s="350"/>
      <c r="G142" s="350"/>
      <c r="H142" s="350"/>
      <c r="I142" s="242"/>
      <c r="J142" s="350"/>
      <c r="K142" s="350"/>
      <c r="L142" s="241"/>
      <c r="M142" s="241"/>
      <c r="N142" s="241"/>
      <c r="O142" s="235"/>
      <c r="P142" s="350"/>
      <c r="Q142" s="241"/>
      <c r="R142" s="351"/>
      <c r="S142" s="241"/>
      <c r="T142" s="351"/>
      <c r="U142" s="352"/>
      <c r="V142" s="351"/>
      <c r="W142" s="352"/>
      <c r="X142" s="383"/>
      <c r="Y142" s="352"/>
      <c r="Z142" s="349">
        <f t="shared" si="8"/>
        <v>0</v>
      </c>
      <c r="AA142" s="13">
        <f t="shared" si="9"/>
        <v>0</v>
      </c>
      <c r="AB142" s="351"/>
      <c r="AC142" s="352"/>
      <c r="AD142" s="351"/>
      <c r="AE142" s="352"/>
      <c r="AF142" s="352"/>
      <c r="AG142" s="352"/>
      <c r="AH142" s="108">
        <f t="shared" si="10"/>
        <v>0</v>
      </c>
      <c r="AI142" s="108" t="str">
        <f>IF('Sch2a-Imp Price by ECM'!C143="Yes", 0, 'Sch2a-Imp Price by ECM'!L143)</f>
        <v/>
      </c>
      <c r="AJ142" s="124" t="str">
        <f t="shared" si="11"/>
        <v/>
      </c>
      <c r="AK142" s="1" t="str">
        <f>IF('Sch2a-Imp Price by ECM'!M143="","",'Sch2a-Imp Price by ECM'!M143)</f>
        <v/>
      </c>
    </row>
    <row r="143" spans="1:37" ht="16.5" thickBot="1">
      <c r="A143" s="72" t="str">
        <f>IF('Sch2a-Imp Price by ECM'!B144="","",'Sch2a-Imp Price by ECM'!B144)</f>
        <v/>
      </c>
      <c r="B143" s="139" t="str">
        <f>IF('Sch2a-Imp Price by ECM'!D144="","",'Sch2a-Imp Price by ECM'!D144)</f>
        <v/>
      </c>
      <c r="C143" s="358" t="str">
        <f>IF('Sch2a-Imp Price by ECM'!G144="","",'Sch2a-Imp Price by ECM'!G144)</f>
        <v/>
      </c>
      <c r="D143" s="471"/>
      <c r="E143" s="350"/>
      <c r="F143" s="350"/>
      <c r="G143" s="350"/>
      <c r="H143" s="350"/>
      <c r="I143" s="242"/>
      <c r="J143" s="350"/>
      <c r="K143" s="350"/>
      <c r="L143" s="241"/>
      <c r="M143" s="241"/>
      <c r="N143" s="241"/>
      <c r="O143" s="235"/>
      <c r="P143" s="350"/>
      <c r="Q143" s="241"/>
      <c r="R143" s="351"/>
      <c r="S143" s="241"/>
      <c r="T143" s="351"/>
      <c r="U143" s="352"/>
      <c r="V143" s="351"/>
      <c r="W143" s="352"/>
      <c r="X143" s="383"/>
      <c r="Y143" s="352"/>
      <c r="Z143" s="349">
        <f t="shared" si="8"/>
        <v>0</v>
      </c>
      <c r="AA143" s="13">
        <f t="shared" si="9"/>
        <v>0</v>
      </c>
      <c r="AB143" s="351"/>
      <c r="AC143" s="352"/>
      <c r="AD143" s="351"/>
      <c r="AE143" s="352"/>
      <c r="AF143" s="352"/>
      <c r="AG143" s="352"/>
      <c r="AH143" s="108">
        <f t="shared" si="10"/>
        <v>0</v>
      </c>
      <c r="AI143" s="108" t="str">
        <f>IF('Sch2a-Imp Price by ECM'!C144="Yes", 0, 'Sch2a-Imp Price by ECM'!L144)</f>
        <v/>
      </c>
      <c r="AJ143" s="124" t="str">
        <f t="shared" si="11"/>
        <v/>
      </c>
      <c r="AK143" s="1" t="str">
        <f>IF('Sch2a-Imp Price by ECM'!M144="","",'Sch2a-Imp Price by ECM'!M144)</f>
        <v/>
      </c>
    </row>
    <row r="144" spans="1:37" ht="16.5" thickBot="1">
      <c r="A144" s="72" t="str">
        <f>IF('Sch2a-Imp Price by ECM'!B145="","",'Sch2a-Imp Price by ECM'!B145)</f>
        <v/>
      </c>
      <c r="B144" s="139" t="str">
        <f>IF('Sch2a-Imp Price by ECM'!D145="","",'Sch2a-Imp Price by ECM'!D145)</f>
        <v/>
      </c>
      <c r="C144" s="358" t="str">
        <f>IF('Sch2a-Imp Price by ECM'!G145="","",'Sch2a-Imp Price by ECM'!G145)</f>
        <v/>
      </c>
      <c r="D144" s="471"/>
      <c r="E144" s="350"/>
      <c r="F144" s="350"/>
      <c r="G144" s="350"/>
      <c r="H144" s="350"/>
      <c r="I144" s="242"/>
      <c r="J144" s="350"/>
      <c r="K144" s="350"/>
      <c r="L144" s="241"/>
      <c r="M144" s="241"/>
      <c r="N144" s="241"/>
      <c r="O144" s="235"/>
      <c r="P144" s="350"/>
      <c r="Q144" s="241"/>
      <c r="R144" s="351"/>
      <c r="S144" s="241"/>
      <c r="T144" s="351"/>
      <c r="U144" s="352"/>
      <c r="V144" s="351"/>
      <c r="W144" s="352"/>
      <c r="X144" s="383"/>
      <c r="Y144" s="352"/>
      <c r="Z144" s="349">
        <f t="shared" si="8"/>
        <v>0</v>
      </c>
      <c r="AA144" s="13">
        <f t="shared" si="9"/>
        <v>0</v>
      </c>
      <c r="AB144" s="351"/>
      <c r="AC144" s="352"/>
      <c r="AD144" s="351"/>
      <c r="AE144" s="352"/>
      <c r="AF144" s="352"/>
      <c r="AG144" s="352"/>
      <c r="AH144" s="108">
        <f t="shared" si="10"/>
        <v>0</v>
      </c>
      <c r="AI144" s="108" t="str">
        <f>IF('Sch2a-Imp Price by ECM'!C145="Yes", 0, 'Sch2a-Imp Price by ECM'!L145)</f>
        <v/>
      </c>
      <c r="AJ144" s="124" t="str">
        <f t="shared" si="11"/>
        <v/>
      </c>
      <c r="AK144" s="1" t="str">
        <f>IF('Sch2a-Imp Price by ECM'!M145="","",'Sch2a-Imp Price by ECM'!M145)</f>
        <v/>
      </c>
    </row>
    <row r="145" spans="1:37" ht="16.5" thickBot="1">
      <c r="A145" s="72" t="str">
        <f>IF('Sch2a-Imp Price by ECM'!B146="","",'Sch2a-Imp Price by ECM'!B146)</f>
        <v/>
      </c>
      <c r="B145" s="139" t="str">
        <f>IF('Sch2a-Imp Price by ECM'!D146="","",'Sch2a-Imp Price by ECM'!D146)</f>
        <v/>
      </c>
      <c r="C145" s="358" t="str">
        <f>IF('Sch2a-Imp Price by ECM'!G146="","",'Sch2a-Imp Price by ECM'!G146)</f>
        <v/>
      </c>
      <c r="D145" s="471"/>
      <c r="E145" s="350"/>
      <c r="F145" s="350"/>
      <c r="G145" s="350"/>
      <c r="H145" s="350"/>
      <c r="I145" s="242"/>
      <c r="J145" s="350"/>
      <c r="K145" s="350"/>
      <c r="L145" s="241"/>
      <c r="M145" s="241"/>
      <c r="N145" s="241"/>
      <c r="O145" s="235"/>
      <c r="P145" s="350"/>
      <c r="Q145" s="241"/>
      <c r="R145" s="351"/>
      <c r="S145" s="241"/>
      <c r="T145" s="351"/>
      <c r="U145" s="352"/>
      <c r="V145" s="351"/>
      <c r="W145" s="352"/>
      <c r="X145" s="383"/>
      <c r="Y145" s="352"/>
      <c r="Z145" s="349">
        <f t="shared" si="8"/>
        <v>0</v>
      </c>
      <c r="AA145" s="13">
        <f t="shared" si="9"/>
        <v>0</v>
      </c>
      <c r="AB145" s="351"/>
      <c r="AC145" s="352"/>
      <c r="AD145" s="351"/>
      <c r="AE145" s="352"/>
      <c r="AF145" s="352"/>
      <c r="AG145" s="352"/>
      <c r="AH145" s="108">
        <f t="shared" si="10"/>
        <v>0</v>
      </c>
      <c r="AI145" s="108" t="str">
        <f>IF('Sch2a-Imp Price by ECM'!C146="Yes", 0, 'Sch2a-Imp Price by ECM'!L146)</f>
        <v/>
      </c>
      <c r="AJ145" s="124" t="str">
        <f t="shared" si="11"/>
        <v/>
      </c>
      <c r="AK145" s="1" t="str">
        <f>IF('Sch2a-Imp Price by ECM'!M146="","",'Sch2a-Imp Price by ECM'!M146)</f>
        <v/>
      </c>
    </row>
    <row r="146" spans="1:37" ht="16.5" thickBot="1">
      <c r="A146" s="72" t="str">
        <f>IF('Sch2a-Imp Price by ECM'!B147="","",'Sch2a-Imp Price by ECM'!B147)</f>
        <v/>
      </c>
      <c r="B146" s="139" t="str">
        <f>IF('Sch2a-Imp Price by ECM'!D147="","",'Sch2a-Imp Price by ECM'!D147)</f>
        <v/>
      </c>
      <c r="C146" s="358" t="str">
        <f>IF('Sch2a-Imp Price by ECM'!G147="","",'Sch2a-Imp Price by ECM'!G147)</f>
        <v/>
      </c>
      <c r="D146" s="471"/>
      <c r="E146" s="350"/>
      <c r="F146" s="350"/>
      <c r="G146" s="350"/>
      <c r="H146" s="350"/>
      <c r="I146" s="242"/>
      <c r="J146" s="350"/>
      <c r="K146" s="350"/>
      <c r="L146" s="241"/>
      <c r="M146" s="241"/>
      <c r="N146" s="241"/>
      <c r="O146" s="235"/>
      <c r="P146" s="350"/>
      <c r="Q146" s="241"/>
      <c r="R146" s="351"/>
      <c r="S146" s="241"/>
      <c r="T146" s="351"/>
      <c r="U146" s="352"/>
      <c r="V146" s="351"/>
      <c r="W146" s="352"/>
      <c r="X146" s="383"/>
      <c r="Y146" s="352"/>
      <c r="Z146" s="349">
        <f t="shared" si="8"/>
        <v>0</v>
      </c>
      <c r="AA146" s="13">
        <f t="shared" si="9"/>
        <v>0</v>
      </c>
      <c r="AB146" s="351"/>
      <c r="AC146" s="352"/>
      <c r="AD146" s="351"/>
      <c r="AE146" s="352"/>
      <c r="AF146" s="352"/>
      <c r="AG146" s="352"/>
      <c r="AH146" s="108">
        <f t="shared" si="10"/>
        <v>0</v>
      </c>
      <c r="AI146" s="108" t="str">
        <f>IF('Sch2a-Imp Price by ECM'!C147="Yes", 0, 'Sch2a-Imp Price by ECM'!L147)</f>
        <v/>
      </c>
      <c r="AJ146" s="124" t="str">
        <f t="shared" si="11"/>
        <v/>
      </c>
      <c r="AK146" s="1" t="str">
        <f>IF('Sch2a-Imp Price by ECM'!M147="","",'Sch2a-Imp Price by ECM'!M147)</f>
        <v/>
      </c>
    </row>
    <row r="147" spans="1:37" ht="16.5" thickBot="1">
      <c r="A147" s="72" t="str">
        <f>IF('Sch2a-Imp Price by ECM'!B148="","",'Sch2a-Imp Price by ECM'!B148)</f>
        <v/>
      </c>
      <c r="B147" s="139" t="str">
        <f>IF('Sch2a-Imp Price by ECM'!D148="","",'Sch2a-Imp Price by ECM'!D148)</f>
        <v/>
      </c>
      <c r="C147" s="358" t="str">
        <f>IF('Sch2a-Imp Price by ECM'!G148="","",'Sch2a-Imp Price by ECM'!G148)</f>
        <v/>
      </c>
      <c r="D147" s="471"/>
      <c r="E147" s="350"/>
      <c r="F147" s="350"/>
      <c r="G147" s="350"/>
      <c r="H147" s="350"/>
      <c r="I147" s="242"/>
      <c r="J147" s="350"/>
      <c r="K147" s="350"/>
      <c r="L147" s="241"/>
      <c r="M147" s="241"/>
      <c r="N147" s="241"/>
      <c r="O147" s="235"/>
      <c r="P147" s="350"/>
      <c r="Q147" s="241"/>
      <c r="R147" s="351"/>
      <c r="S147" s="241"/>
      <c r="T147" s="351"/>
      <c r="U147" s="352"/>
      <c r="V147" s="351"/>
      <c r="W147" s="352"/>
      <c r="X147" s="383"/>
      <c r="Y147" s="352"/>
      <c r="Z147" s="349">
        <f t="shared" si="8"/>
        <v>0</v>
      </c>
      <c r="AA147" s="13">
        <f t="shared" si="9"/>
        <v>0</v>
      </c>
      <c r="AB147" s="351"/>
      <c r="AC147" s="352"/>
      <c r="AD147" s="351"/>
      <c r="AE147" s="352"/>
      <c r="AF147" s="352"/>
      <c r="AG147" s="352"/>
      <c r="AH147" s="108">
        <f t="shared" si="10"/>
        <v>0</v>
      </c>
      <c r="AI147" s="108" t="str">
        <f>IF('Sch2a-Imp Price by ECM'!C148="Yes", 0, 'Sch2a-Imp Price by ECM'!L148)</f>
        <v/>
      </c>
      <c r="AJ147" s="124" t="str">
        <f t="shared" si="11"/>
        <v/>
      </c>
      <c r="AK147" s="1" t="str">
        <f>IF('Sch2a-Imp Price by ECM'!M148="","",'Sch2a-Imp Price by ECM'!M148)</f>
        <v/>
      </c>
    </row>
    <row r="148" spans="1:37" ht="16.5" thickBot="1">
      <c r="A148" s="72" t="str">
        <f>IF('Sch2a-Imp Price by ECM'!B149="","",'Sch2a-Imp Price by ECM'!B149)</f>
        <v/>
      </c>
      <c r="B148" s="139" t="str">
        <f>IF('Sch2a-Imp Price by ECM'!D149="","",'Sch2a-Imp Price by ECM'!D149)</f>
        <v/>
      </c>
      <c r="C148" s="358" t="str">
        <f>IF('Sch2a-Imp Price by ECM'!G149="","",'Sch2a-Imp Price by ECM'!G149)</f>
        <v/>
      </c>
      <c r="D148" s="471"/>
      <c r="E148" s="350"/>
      <c r="F148" s="350"/>
      <c r="G148" s="350"/>
      <c r="H148" s="350"/>
      <c r="I148" s="242"/>
      <c r="J148" s="350"/>
      <c r="K148" s="350"/>
      <c r="L148" s="241"/>
      <c r="M148" s="241"/>
      <c r="N148" s="241"/>
      <c r="O148" s="235"/>
      <c r="P148" s="350"/>
      <c r="Q148" s="241"/>
      <c r="R148" s="351"/>
      <c r="S148" s="241"/>
      <c r="T148" s="351"/>
      <c r="U148" s="352"/>
      <c r="V148" s="351"/>
      <c r="W148" s="352"/>
      <c r="X148" s="383"/>
      <c r="Y148" s="352"/>
      <c r="Z148" s="349">
        <f t="shared" si="8"/>
        <v>0</v>
      </c>
      <c r="AA148" s="13">
        <f t="shared" si="9"/>
        <v>0</v>
      </c>
      <c r="AB148" s="351"/>
      <c r="AC148" s="352"/>
      <c r="AD148" s="351"/>
      <c r="AE148" s="352"/>
      <c r="AF148" s="352"/>
      <c r="AG148" s="352"/>
      <c r="AH148" s="108">
        <f t="shared" si="10"/>
        <v>0</v>
      </c>
      <c r="AI148" s="108" t="str">
        <f>IF('Sch2a-Imp Price by ECM'!C149="Yes", 0, 'Sch2a-Imp Price by ECM'!L149)</f>
        <v/>
      </c>
      <c r="AJ148" s="124" t="str">
        <f t="shared" si="11"/>
        <v/>
      </c>
      <c r="AK148" s="1" t="str">
        <f>IF('Sch2a-Imp Price by ECM'!M149="","",'Sch2a-Imp Price by ECM'!M149)</f>
        <v/>
      </c>
    </row>
    <row r="149" spans="1:37" ht="16.5" thickBot="1">
      <c r="A149" s="72" t="str">
        <f>IF('Sch2a-Imp Price by ECM'!B150="","",'Sch2a-Imp Price by ECM'!B150)</f>
        <v/>
      </c>
      <c r="B149" s="139" t="str">
        <f>IF('Sch2a-Imp Price by ECM'!D150="","",'Sch2a-Imp Price by ECM'!D150)</f>
        <v/>
      </c>
      <c r="C149" s="358" t="str">
        <f>IF('Sch2a-Imp Price by ECM'!G150="","",'Sch2a-Imp Price by ECM'!G150)</f>
        <v/>
      </c>
      <c r="D149" s="471"/>
      <c r="E149" s="350"/>
      <c r="F149" s="350"/>
      <c r="G149" s="350"/>
      <c r="H149" s="350"/>
      <c r="I149" s="242"/>
      <c r="J149" s="350"/>
      <c r="K149" s="350"/>
      <c r="L149" s="241"/>
      <c r="M149" s="241"/>
      <c r="N149" s="241"/>
      <c r="O149" s="235"/>
      <c r="P149" s="350"/>
      <c r="Q149" s="241"/>
      <c r="R149" s="351"/>
      <c r="S149" s="241"/>
      <c r="T149" s="351"/>
      <c r="U149" s="352"/>
      <c r="V149" s="351"/>
      <c r="W149" s="352"/>
      <c r="X149" s="383"/>
      <c r="Y149" s="352"/>
      <c r="Z149" s="349">
        <f t="shared" si="8"/>
        <v>0</v>
      </c>
      <c r="AA149" s="13">
        <f t="shared" si="9"/>
        <v>0</v>
      </c>
      <c r="AB149" s="351"/>
      <c r="AC149" s="352"/>
      <c r="AD149" s="351"/>
      <c r="AE149" s="352"/>
      <c r="AF149" s="352"/>
      <c r="AG149" s="352"/>
      <c r="AH149" s="108">
        <f t="shared" si="10"/>
        <v>0</v>
      </c>
      <c r="AI149" s="108" t="str">
        <f>IF('Sch2a-Imp Price by ECM'!C150="Yes", 0, 'Sch2a-Imp Price by ECM'!L150)</f>
        <v/>
      </c>
      <c r="AJ149" s="124" t="str">
        <f t="shared" si="11"/>
        <v/>
      </c>
      <c r="AK149" s="1" t="str">
        <f>IF('Sch2a-Imp Price by ECM'!M150="","",'Sch2a-Imp Price by ECM'!M150)</f>
        <v/>
      </c>
    </row>
    <row r="150" spans="1:37" ht="16.5" thickBot="1">
      <c r="A150" s="72" t="str">
        <f>IF('Sch2a-Imp Price by ECM'!B151="","",'Sch2a-Imp Price by ECM'!B151)</f>
        <v/>
      </c>
      <c r="B150" s="139" t="str">
        <f>IF('Sch2a-Imp Price by ECM'!D151="","",'Sch2a-Imp Price by ECM'!D151)</f>
        <v/>
      </c>
      <c r="C150" s="358" t="str">
        <f>IF('Sch2a-Imp Price by ECM'!G151="","",'Sch2a-Imp Price by ECM'!G151)</f>
        <v/>
      </c>
      <c r="D150" s="471"/>
      <c r="E150" s="350"/>
      <c r="F150" s="350"/>
      <c r="G150" s="350"/>
      <c r="H150" s="350"/>
      <c r="I150" s="242"/>
      <c r="J150" s="350"/>
      <c r="K150" s="350"/>
      <c r="L150" s="241"/>
      <c r="M150" s="241"/>
      <c r="N150" s="241"/>
      <c r="O150" s="235"/>
      <c r="P150" s="350"/>
      <c r="Q150" s="241"/>
      <c r="R150" s="351"/>
      <c r="S150" s="241"/>
      <c r="T150" s="351"/>
      <c r="U150" s="352"/>
      <c r="V150" s="351"/>
      <c r="W150" s="352"/>
      <c r="X150" s="383"/>
      <c r="Y150" s="352"/>
      <c r="Z150" s="349">
        <f t="shared" si="8"/>
        <v>0</v>
      </c>
      <c r="AA150" s="13">
        <f t="shared" si="9"/>
        <v>0</v>
      </c>
      <c r="AB150" s="351"/>
      <c r="AC150" s="352"/>
      <c r="AD150" s="351"/>
      <c r="AE150" s="352"/>
      <c r="AF150" s="352"/>
      <c r="AG150" s="352"/>
      <c r="AH150" s="108">
        <f t="shared" si="10"/>
        <v>0</v>
      </c>
      <c r="AI150" s="108" t="str">
        <f>IF('Sch2a-Imp Price by ECM'!C151="Yes", 0, 'Sch2a-Imp Price by ECM'!L151)</f>
        <v/>
      </c>
      <c r="AJ150" s="124" t="str">
        <f t="shared" si="11"/>
        <v/>
      </c>
      <c r="AK150" s="1" t="str">
        <f>IF('Sch2a-Imp Price by ECM'!M151="","",'Sch2a-Imp Price by ECM'!M151)</f>
        <v/>
      </c>
    </row>
    <row r="151" spans="1:37" ht="16.5" thickBot="1">
      <c r="A151" s="72" t="str">
        <f>IF('Sch2a-Imp Price by ECM'!B152="","",'Sch2a-Imp Price by ECM'!B152)</f>
        <v/>
      </c>
      <c r="B151" s="139" t="str">
        <f>IF('Sch2a-Imp Price by ECM'!D152="","",'Sch2a-Imp Price by ECM'!D152)</f>
        <v/>
      </c>
      <c r="C151" s="358" t="str">
        <f>IF('Sch2a-Imp Price by ECM'!G152="","",'Sch2a-Imp Price by ECM'!G152)</f>
        <v/>
      </c>
      <c r="D151" s="471"/>
      <c r="E151" s="350"/>
      <c r="F151" s="350"/>
      <c r="G151" s="350"/>
      <c r="H151" s="350"/>
      <c r="I151" s="242"/>
      <c r="J151" s="350"/>
      <c r="K151" s="350"/>
      <c r="L151" s="241"/>
      <c r="M151" s="241"/>
      <c r="N151" s="241"/>
      <c r="O151" s="235"/>
      <c r="P151" s="350"/>
      <c r="Q151" s="241"/>
      <c r="R151" s="351"/>
      <c r="S151" s="241"/>
      <c r="T151" s="351"/>
      <c r="U151" s="352"/>
      <c r="V151" s="351"/>
      <c r="W151" s="352"/>
      <c r="X151" s="383"/>
      <c r="Y151" s="352"/>
      <c r="Z151" s="349">
        <f t="shared" si="8"/>
        <v>0</v>
      </c>
      <c r="AA151" s="13">
        <f t="shared" si="9"/>
        <v>0</v>
      </c>
      <c r="AB151" s="351"/>
      <c r="AC151" s="352"/>
      <c r="AD151" s="351"/>
      <c r="AE151" s="352"/>
      <c r="AF151" s="352"/>
      <c r="AG151" s="352"/>
      <c r="AH151" s="108">
        <f t="shared" si="10"/>
        <v>0</v>
      </c>
      <c r="AI151" s="108" t="str">
        <f>IF('Sch2a-Imp Price by ECM'!C152="Yes", 0, 'Sch2a-Imp Price by ECM'!L152)</f>
        <v/>
      </c>
      <c r="AJ151" s="124" t="str">
        <f t="shared" si="11"/>
        <v/>
      </c>
      <c r="AK151" s="1" t="str">
        <f>IF('Sch2a-Imp Price by ECM'!M152="","",'Sch2a-Imp Price by ECM'!M152)</f>
        <v/>
      </c>
    </row>
    <row r="152" spans="1:37" ht="16.5" thickBot="1">
      <c r="A152" s="72" t="str">
        <f>IF('Sch2a-Imp Price by ECM'!B153="","",'Sch2a-Imp Price by ECM'!B153)</f>
        <v/>
      </c>
      <c r="B152" s="139" t="str">
        <f>IF('Sch2a-Imp Price by ECM'!D153="","",'Sch2a-Imp Price by ECM'!D153)</f>
        <v/>
      </c>
      <c r="C152" s="358" t="str">
        <f>IF('Sch2a-Imp Price by ECM'!G153="","",'Sch2a-Imp Price by ECM'!G153)</f>
        <v/>
      </c>
      <c r="D152" s="471"/>
      <c r="E152" s="350"/>
      <c r="F152" s="350"/>
      <c r="G152" s="350"/>
      <c r="H152" s="350"/>
      <c r="I152" s="242"/>
      <c r="J152" s="350"/>
      <c r="K152" s="350"/>
      <c r="L152" s="241"/>
      <c r="M152" s="241"/>
      <c r="N152" s="241"/>
      <c r="O152" s="235"/>
      <c r="P152" s="350"/>
      <c r="Q152" s="241"/>
      <c r="R152" s="351"/>
      <c r="S152" s="241"/>
      <c r="T152" s="351"/>
      <c r="U152" s="352"/>
      <c r="V152" s="351"/>
      <c r="W152" s="352"/>
      <c r="X152" s="383"/>
      <c r="Y152" s="352"/>
      <c r="Z152" s="349">
        <f t="shared" si="8"/>
        <v>0</v>
      </c>
      <c r="AA152" s="13">
        <f t="shared" si="9"/>
        <v>0</v>
      </c>
      <c r="AB152" s="351"/>
      <c r="AC152" s="352"/>
      <c r="AD152" s="351"/>
      <c r="AE152" s="352"/>
      <c r="AF152" s="352"/>
      <c r="AG152" s="352"/>
      <c r="AH152" s="108">
        <f t="shared" si="10"/>
        <v>0</v>
      </c>
      <c r="AI152" s="108" t="str">
        <f>IF('Sch2a-Imp Price by ECM'!C153="Yes", 0, 'Sch2a-Imp Price by ECM'!L153)</f>
        <v/>
      </c>
      <c r="AJ152" s="124" t="str">
        <f t="shared" si="11"/>
        <v/>
      </c>
      <c r="AK152" s="1" t="str">
        <f>IF('Sch2a-Imp Price by ECM'!M153="","",'Sch2a-Imp Price by ECM'!M153)</f>
        <v/>
      </c>
    </row>
    <row r="153" spans="1:37" ht="16.5" thickBot="1">
      <c r="A153" s="72" t="str">
        <f>IF('Sch2a-Imp Price by ECM'!B154="","",'Sch2a-Imp Price by ECM'!B154)</f>
        <v/>
      </c>
      <c r="B153" s="139" t="str">
        <f>IF('Sch2a-Imp Price by ECM'!D154="","",'Sch2a-Imp Price by ECM'!D154)</f>
        <v/>
      </c>
      <c r="C153" s="358" t="str">
        <f>IF('Sch2a-Imp Price by ECM'!G154="","",'Sch2a-Imp Price by ECM'!G154)</f>
        <v/>
      </c>
      <c r="D153" s="471"/>
      <c r="E153" s="350"/>
      <c r="F153" s="350"/>
      <c r="G153" s="350"/>
      <c r="H153" s="350"/>
      <c r="I153" s="242"/>
      <c r="J153" s="350"/>
      <c r="K153" s="350"/>
      <c r="L153" s="241"/>
      <c r="M153" s="241"/>
      <c r="N153" s="241"/>
      <c r="O153" s="235"/>
      <c r="P153" s="350"/>
      <c r="Q153" s="241"/>
      <c r="R153" s="351"/>
      <c r="S153" s="241"/>
      <c r="T153" s="351"/>
      <c r="U153" s="352"/>
      <c r="V153" s="351"/>
      <c r="W153" s="352"/>
      <c r="X153" s="383"/>
      <c r="Y153" s="352"/>
      <c r="Z153" s="349">
        <f t="shared" si="8"/>
        <v>0</v>
      </c>
      <c r="AA153" s="13">
        <f t="shared" si="9"/>
        <v>0</v>
      </c>
      <c r="AB153" s="351"/>
      <c r="AC153" s="352"/>
      <c r="AD153" s="351"/>
      <c r="AE153" s="352"/>
      <c r="AF153" s="352"/>
      <c r="AG153" s="352"/>
      <c r="AH153" s="108">
        <f t="shared" si="10"/>
        <v>0</v>
      </c>
      <c r="AI153" s="108" t="str">
        <f>IF('Sch2a-Imp Price by ECM'!C154="Yes", 0, 'Sch2a-Imp Price by ECM'!L154)</f>
        <v/>
      </c>
      <c r="AJ153" s="124" t="str">
        <f t="shared" si="11"/>
        <v/>
      </c>
      <c r="AK153" s="1" t="str">
        <f>IF('Sch2a-Imp Price by ECM'!M154="","",'Sch2a-Imp Price by ECM'!M154)</f>
        <v/>
      </c>
    </row>
    <row r="154" spans="1:37" ht="16.5" thickBot="1">
      <c r="A154" s="72" t="str">
        <f>IF('Sch2a-Imp Price by ECM'!B155="","",'Sch2a-Imp Price by ECM'!B155)</f>
        <v/>
      </c>
      <c r="B154" s="139" t="str">
        <f>IF('Sch2a-Imp Price by ECM'!D155="","",'Sch2a-Imp Price by ECM'!D155)</f>
        <v/>
      </c>
      <c r="C154" s="358" t="str">
        <f>IF('Sch2a-Imp Price by ECM'!G155="","",'Sch2a-Imp Price by ECM'!G155)</f>
        <v/>
      </c>
      <c r="D154" s="471"/>
      <c r="E154" s="350"/>
      <c r="F154" s="350"/>
      <c r="G154" s="350"/>
      <c r="H154" s="350"/>
      <c r="I154" s="242"/>
      <c r="J154" s="350"/>
      <c r="K154" s="350"/>
      <c r="L154" s="241"/>
      <c r="M154" s="241"/>
      <c r="N154" s="241"/>
      <c r="O154" s="235"/>
      <c r="P154" s="350"/>
      <c r="Q154" s="241"/>
      <c r="R154" s="351"/>
      <c r="S154" s="241"/>
      <c r="T154" s="351"/>
      <c r="U154" s="352"/>
      <c r="V154" s="351"/>
      <c r="W154" s="352"/>
      <c r="X154" s="383"/>
      <c r="Y154" s="352"/>
      <c r="Z154" s="349">
        <f t="shared" si="8"/>
        <v>0</v>
      </c>
      <c r="AA154" s="13">
        <f t="shared" si="9"/>
        <v>0</v>
      </c>
      <c r="AB154" s="351"/>
      <c r="AC154" s="352"/>
      <c r="AD154" s="351"/>
      <c r="AE154" s="352"/>
      <c r="AF154" s="352"/>
      <c r="AG154" s="352"/>
      <c r="AH154" s="108">
        <f t="shared" si="10"/>
        <v>0</v>
      </c>
      <c r="AI154" s="108" t="str">
        <f>IF('Sch2a-Imp Price by ECM'!C155="Yes", 0, 'Sch2a-Imp Price by ECM'!L155)</f>
        <v/>
      </c>
      <c r="AJ154" s="124" t="str">
        <f t="shared" si="11"/>
        <v/>
      </c>
      <c r="AK154" s="1" t="str">
        <f>IF('Sch2a-Imp Price by ECM'!M155="","",'Sch2a-Imp Price by ECM'!M155)</f>
        <v/>
      </c>
    </row>
    <row r="155" spans="1:37" ht="16.5" thickBot="1">
      <c r="A155" s="72" t="str">
        <f>IF('Sch2a-Imp Price by ECM'!B156="","",'Sch2a-Imp Price by ECM'!B156)</f>
        <v/>
      </c>
      <c r="B155" s="139" t="str">
        <f>IF('Sch2a-Imp Price by ECM'!D156="","",'Sch2a-Imp Price by ECM'!D156)</f>
        <v/>
      </c>
      <c r="C155" s="358" t="str">
        <f>IF('Sch2a-Imp Price by ECM'!G156="","",'Sch2a-Imp Price by ECM'!G156)</f>
        <v/>
      </c>
      <c r="D155" s="471"/>
      <c r="E155" s="350"/>
      <c r="F155" s="350"/>
      <c r="G155" s="350"/>
      <c r="H155" s="350"/>
      <c r="I155" s="242"/>
      <c r="J155" s="350"/>
      <c r="K155" s="350"/>
      <c r="L155" s="241"/>
      <c r="M155" s="241"/>
      <c r="N155" s="241"/>
      <c r="O155" s="235"/>
      <c r="P155" s="350"/>
      <c r="Q155" s="241"/>
      <c r="R155" s="351"/>
      <c r="S155" s="241"/>
      <c r="T155" s="351"/>
      <c r="U155" s="352"/>
      <c r="V155" s="351"/>
      <c r="W155" s="352"/>
      <c r="X155" s="383"/>
      <c r="Y155" s="352"/>
      <c r="Z155" s="349">
        <f t="shared" si="8"/>
        <v>0</v>
      </c>
      <c r="AA155" s="13">
        <f t="shared" si="9"/>
        <v>0</v>
      </c>
      <c r="AB155" s="351"/>
      <c r="AC155" s="352"/>
      <c r="AD155" s="351"/>
      <c r="AE155" s="352"/>
      <c r="AF155" s="352"/>
      <c r="AG155" s="352"/>
      <c r="AH155" s="108">
        <f t="shared" si="10"/>
        <v>0</v>
      </c>
      <c r="AI155" s="108" t="str">
        <f>IF('Sch2a-Imp Price by ECM'!C156="Yes", 0, 'Sch2a-Imp Price by ECM'!L156)</f>
        <v/>
      </c>
      <c r="AJ155" s="124" t="str">
        <f t="shared" si="11"/>
        <v/>
      </c>
      <c r="AK155" s="1" t="str">
        <f>IF('Sch2a-Imp Price by ECM'!M156="","",'Sch2a-Imp Price by ECM'!M156)</f>
        <v/>
      </c>
    </row>
    <row r="156" spans="1:37" ht="16.5" thickBot="1">
      <c r="A156" s="72" t="str">
        <f>IF('Sch2a-Imp Price by ECM'!B157="","",'Sch2a-Imp Price by ECM'!B157)</f>
        <v/>
      </c>
      <c r="B156" s="139" t="str">
        <f>IF('Sch2a-Imp Price by ECM'!D157="","",'Sch2a-Imp Price by ECM'!D157)</f>
        <v/>
      </c>
      <c r="C156" s="358" t="str">
        <f>IF('Sch2a-Imp Price by ECM'!G157="","",'Sch2a-Imp Price by ECM'!G157)</f>
        <v/>
      </c>
      <c r="D156" s="471"/>
      <c r="E156" s="350"/>
      <c r="F156" s="350"/>
      <c r="G156" s="350"/>
      <c r="H156" s="350"/>
      <c r="I156" s="242"/>
      <c r="J156" s="350"/>
      <c r="K156" s="350"/>
      <c r="L156" s="241"/>
      <c r="M156" s="241"/>
      <c r="N156" s="241"/>
      <c r="O156" s="242"/>
      <c r="P156" s="350"/>
      <c r="Q156" s="241"/>
      <c r="R156" s="351"/>
      <c r="S156" s="241"/>
      <c r="T156" s="351"/>
      <c r="U156" s="352"/>
      <c r="V156" s="351"/>
      <c r="W156" s="352"/>
      <c r="X156" s="383"/>
      <c r="Y156" s="352"/>
      <c r="Z156" s="349">
        <f t="shared" si="8"/>
        <v>0</v>
      </c>
      <c r="AA156" s="13">
        <f t="shared" si="9"/>
        <v>0</v>
      </c>
      <c r="AB156" s="351"/>
      <c r="AC156" s="352"/>
      <c r="AD156" s="351"/>
      <c r="AE156" s="352"/>
      <c r="AF156" s="352"/>
      <c r="AG156" s="352"/>
      <c r="AH156" s="108">
        <f t="shared" si="10"/>
        <v>0</v>
      </c>
      <c r="AI156" s="108" t="str">
        <f>IF('Sch2a-Imp Price by ECM'!C157="Yes", 0, 'Sch2a-Imp Price by ECM'!L157)</f>
        <v/>
      </c>
      <c r="AJ156" s="124" t="str">
        <f t="shared" si="11"/>
        <v/>
      </c>
      <c r="AK156" s="1" t="str">
        <f>IF('Sch2a-Imp Price by ECM'!M157="","",'Sch2a-Imp Price by ECM'!M157)</f>
        <v/>
      </c>
    </row>
    <row r="157" spans="1:37" ht="16.5" thickBot="1">
      <c r="A157" s="72" t="str">
        <f>IF('Sch2a-Imp Price by ECM'!B158="","",'Sch2a-Imp Price by ECM'!B158)</f>
        <v/>
      </c>
      <c r="B157" s="139" t="str">
        <f>IF('Sch2a-Imp Price by ECM'!D158="","",'Sch2a-Imp Price by ECM'!D158)</f>
        <v/>
      </c>
      <c r="C157" s="358" t="str">
        <f>IF('Sch2a-Imp Price by ECM'!G158="","",'Sch2a-Imp Price by ECM'!G158)</f>
        <v/>
      </c>
      <c r="D157" s="471"/>
      <c r="E157" s="350"/>
      <c r="F157" s="350"/>
      <c r="G157" s="350"/>
      <c r="H157" s="350"/>
      <c r="I157" s="242"/>
      <c r="J157" s="350"/>
      <c r="K157" s="350"/>
      <c r="L157" s="241"/>
      <c r="M157" s="241"/>
      <c r="N157" s="241"/>
      <c r="O157" s="242"/>
      <c r="P157" s="350"/>
      <c r="Q157" s="241"/>
      <c r="R157" s="351"/>
      <c r="S157" s="241"/>
      <c r="T157" s="351"/>
      <c r="U157" s="352"/>
      <c r="V157" s="351"/>
      <c r="W157" s="352"/>
      <c r="X157" s="383"/>
      <c r="Y157" s="352"/>
      <c r="Z157" s="349">
        <f t="shared" si="8"/>
        <v>0</v>
      </c>
      <c r="AA157" s="13">
        <f t="shared" si="9"/>
        <v>0</v>
      </c>
      <c r="AB157" s="351"/>
      <c r="AC157" s="352"/>
      <c r="AD157" s="351"/>
      <c r="AE157" s="352"/>
      <c r="AF157" s="352"/>
      <c r="AG157" s="352"/>
      <c r="AH157" s="108">
        <f t="shared" si="10"/>
        <v>0</v>
      </c>
      <c r="AI157" s="108" t="str">
        <f>IF('Sch2a-Imp Price by ECM'!C158="Yes", 0, 'Sch2a-Imp Price by ECM'!L158)</f>
        <v/>
      </c>
      <c r="AJ157" s="124" t="str">
        <f t="shared" si="11"/>
        <v/>
      </c>
      <c r="AK157" s="1" t="str">
        <f>IF('Sch2a-Imp Price by ECM'!M158="","",'Sch2a-Imp Price by ECM'!M158)</f>
        <v/>
      </c>
    </row>
    <row r="158" spans="1:37" ht="16.5" thickBot="1">
      <c r="A158" s="72" t="str">
        <f>IF('Sch2a-Imp Price by ECM'!B159="","",'Sch2a-Imp Price by ECM'!B159)</f>
        <v/>
      </c>
      <c r="B158" s="139" t="str">
        <f>IF('Sch2a-Imp Price by ECM'!D159="","",'Sch2a-Imp Price by ECM'!D159)</f>
        <v/>
      </c>
      <c r="C158" s="358" t="str">
        <f>IF('Sch2a-Imp Price by ECM'!G159="","",'Sch2a-Imp Price by ECM'!G159)</f>
        <v/>
      </c>
      <c r="D158" s="471"/>
      <c r="E158" s="350"/>
      <c r="F158" s="350"/>
      <c r="G158" s="350"/>
      <c r="H158" s="350"/>
      <c r="I158" s="242"/>
      <c r="J158" s="350"/>
      <c r="K158" s="350"/>
      <c r="L158" s="241"/>
      <c r="M158" s="241"/>
      <c r="N158" s="241"/>
      <c r="O158" s="242"/>
      <c r="P158" s="350"/>
      <c r="Q158" s="241"/>
      <c r="R158" s="351"/>
      <c r="S158" s="241"/>
      <c r="T158" s="351"/>
      <c r="U158" s="352"/>
      <c r="V158" s="351"/>
      <c r="W158" s="352"/>
      <c r="X158" s="383"/>
      <c r="Y158" s="352"/>
      <c r="Z158" s="349">
        <f t="shared" si="8"/>
        <v>0</v>
      </c>
      <c r="AA158" s="13">
        <f t="shared" si="9"/>
        <v>0</v>
      </c>
      <c r="AB158" s="351"/>
      <c r="AC158" s="352"/>
      <c r="AD158" s="351"/>
      <c r="AE158" s="352"/>
      <c r="AF158" s="352"/>
      <c r="AG158" s="352"/>
      <c r="AH158" s="108">
        <f t="shared" si="10"/>
        <v>0</v>
      </c>
      <c r="AI158" s="108" t="str">
        <f>IF('Sch2a-Imp Price by ECM'!C159="Yes", 0, 'Sch2a-Imp Price by ECM'!L159)</f>
        <v/>
      </c>
      <c r="AJ158" s="124" t="str">
        <f t="shared" si="11"/>
        <v/>
      </c>
      <c r="AK158" s="1" t="str">
        <f>IF('Sch2a-Imp Price by ECM'!M159="","",'Sch2a-Imp Price by ECM'!M159)</f>
        <v/>
      </c>
    </row>
    <row r="159" spans="1:37" ht="16.5" thickBot="1">
      <c r="A159" s="72" t="str">
        <f>IF('Sch2a-Imp Price by ECM'!B160="","",'Sch2a-Imp Price by ECM'!B160)</f>
        <v/>
      </c>
      <c r="B159" s="139" t="str">
        <f>IF('Sch2a-Imp Price by ECM'!D160="","",'Sch2a-Imp Price by ECM'!D160)</f>
        <v/>
      </c>
      <c r="C159" s="358" t="str">
        <f>IF('Sch2a-Imp Price by ECM'!G160="","",'Sch2a-Imp Price by ECM'!G160)</f>
        <v/>
      </c>
      <c r="D159" s="471"/>
      <c r="E159" s="350"/>
      <c r="F159" s="350"/>
      <c r="G159" s="350"/>
      <c r="H159" s="350"/>
      <c r="I159" s="242"/>
      <c r="J159" s="350"/>
      <c r="K159" s="350"/>
      <c r="L159" s="241"/>
      <c r="M159" s="241"/>
      <c r="N159" s="241"/>
      <c r="O159" s="242"/>
      <c r="P159" s="350"/>
      <c r="Q159" s="241"/>
      <c r="R159" s="351"/>
      <c r="S159" s="241"/>
      <c r="T159" s="351"/>
      <c r="U159" s="352"/>
      <c r="V159" s="351"/>
      <c r="W159" s="352"/>
      <c r="X159" s="383"/>
      <c r="Y159" s="352"/>
      <c r="Z159" s="349">
        <f t="shared" si="8"/>
        <v>0</v>
      </c>
      <c r="AA159" s="13">
        <f t="shared" si="9"/>
        <v>0</v>
      </c>
      <c r="AB159" s="351"/>
      <c r="AC159" s="352"/>
      <c r="AD159" s="351"/>
      <c r="AE159" s="352"/>
      <c r="AF159" s="352"/>
      <c r="AG159" s="352"/>
      <c r="AH159" s="108">
        <f t="shared" si="10"/>
        <v>0</v>
      </c>
      <c r="AI159" s="108" t="str">
        <f>IF('Sch2a-Imp Price by ECM'!C160="Yes", 0, 'Sch2a-Imp Price by ECM'!L160)</f>
        <v/>
      </c>
      <c r="AJ159" s="124" t="str">
        <f t="shared" si="11"/>
        <v/>
      </c>
      <c r="AK159" s="1" t="str">
        <f>IF('Sch2a-Imp Price by ECM'!M160="","",'Sch2a-Imp Price by ECM'!M160)</f>
        <v/>
      </c>
    </row>
    <row r="160" spans="1:37" ht="18" customHeight="1" thickBot="1">
      <c r="A160" s="72" t="str">
        <f>IF('Sch2a-Imp Price by ECM'!B161="","",'Sch2a-Imp Price by ECM'!B161)</f>
        <v/>
      </c>
      <c r="B160" s="139" t="str">
        <f>IF('Sch2a-Imp Price by ECM'!D161="","",'Sch2a-Imp Price by ECM'!D161)</f>
        <v/>
      </c>
      <c r="C160" s="358" t="str">
        <f>IF('Sch2a-Imp Price by ECM'!G161="","",'Sch2a-Imp Price by ECM'!G161)</f>
        <v/>
      </c>
      <c r="D160" s="471"/>
      <c r="E160" s="350"/>
      <c r="F160" s="350"/>
      <c r="G160" s="350"/>
      <c r="H160" s="350"/>
      <c r="I160" s="242"/>
      <c r="J160" s="350"/>
      <c r="K160" s="350"/>
      <c r="L160" s="241"/>
      <c r="M160" s="241"/>
      <c r="N160" s="241"/>
      <c r="O160" s="242"/>
      <c r="P160" s="350"/>
      <c r="Q160" s="241"/>
      <c r="R160" s="351"/>
      <c r="S160" s="241"/>
      <c r="T160" s="351"/>
      <c r="U160" s="352"/>
      <c r="V160" s="351"/>
      <c r="W160" s="352"/>
      <c r="X160" s="383"/>
      <c r="Y160" s="352"/>
      <c r="Z160" s="349">
        <f t="shared" si="8"/>
        <v>0</v>
      </c>
      <c r="AA160" s="13">
        <f t="shared" si="9"/>
        <v>0</v>
      </c>
      <c r="AB160" s="351"/>
      <c r="AC160" s="352"/>
      <c r="AD160" s="351"/>
      <c r="AE160" s="352"/>
      <c r="AF160" s="352"/>
      <c r="AG160" s="352"/>
      <c r="AH160" s="108">
        <f t="shared" si="10"/>
        <v>0</v>
      </c>
      <c r="AI160" s="108" t="str">
        <f>IF('Sch2a-Imp Price by ECM'!C161="Yes", 0, 'Sch2a-Imp Price by ECM'!L161)</f>
        <v/>
      </c>
      <c r="AJ160" s="124" t="str">
        <f t="shared" si="11"/>
        <v/>
      </c>
      <c r="AK160" s="1" t="str">
        <f>IF('Sch2a-Imp Price by ECM'!M161="","",'Sch2a-Imp Price by ECM'!M161)</f>
        <v/>
      </c>
    </row>
    <row r="161" spans="1:37" ht="16.5" thickBot="1">
      <c r="A161" s="72" t="str">
        <f>IF('Sch2a-Imp Price by ECM'!B162="","",'Sch2a-Imp Price by ECM'!B162)</f>
        <v/>
      </c>
      <c r="B161" s="139" t="str">
        <f>IF('Sch2a-Imp Price by ECM'!D162="","",'Sch2a-Imp Price by ECM'!D162)</f>
        <v/>
      </c>
      <c r="C161" s="358" t="str">
        <f>IF('Sch2a-Imp Price by ECM'!G162="","",'Sch2a-Imp Price by ECM'!G162)</f>
        <v/>
      </c>
      <c r="D161" s="471"/>
      <c r="E161" s="350"/>
      <c r="F161" s="350"/>
      <c r="G161" s="350"/>
      <c r="H161" s="350"/>
      <c r="I161" s="242"/>
      <c r="J161" s="350"/>
      <c r="K161" s="350"/>
      <c r="L161" s="241"/>
      <c r="M161" s="241"/>
      <c r="N161" s="241"/>
      <c r="O161" s="242"/>
      <c r="P161" s="350"/>
      <c r="Q161" s="241"/>
      <c r="R161" s="351"/>
      <c r="S161" s="241"/>
      <c r="T161" s="351"/>
      <c r="U161" s="352"/>
      <c r="V161" s="351"/>
      <c r="W161" s="352"/>
      <c r="X161" s="383"/>
      <c r="Y161" s="352"/>
      <c r="Z161" s="349">
        <f t="shared" si="8"/>
        <v>0</v>
      </c>
      <c r="AA161" s="13">
        <f t="shared" si="9"/>
        <v>0</v>
      </c>
      <c r="AB161" s="351"/>
      <c r="AC161" s="352"/>
      <c r="AD161" s="351"/>
      <c r="AE161" s="352"/>
      <c r="AF161" s="352"/>
      <c r="AG161" s="352"/>
      <c r="AH161" s="108">
        <f t="shared" si="10"/>
        <v>0</v>
      </c>
      <c r="AI161" s="108" t="str">
        <f>IF('Sch2a-Imp Price by ECM'!C162="Yes", 0, 'Sch2a-Imp Price by ECM'!L162)</f>
        <v/>
      </c>
      <c r="AJ161" s="124" t="str">
        <f t="shared" si="11"/>
        <v/>
      </c>
      <c r="AK161" s="1" t="str">
        <f>IF('Sch2a-Imp Price by ECM'!M162="","",'Sch2a-Imp Price by ECM'!M162)</f>
        <v/>
      </c>
    </row>
    <row r="162" spans="1:37" ht="16.5" thickBot="1">
      <c r="A162" s="72" t="str">
        <f>IF('Sch2a-Imp Price by ECM'!B163="","",'Sch2a-Imp Price by ECM'!B163)</f>
        <v/>
      </c>
      <c r="B162" s="139" t="str">
        <f>IF('Sch2a-Imp Price by ECM'!D163="","",'Sch2a-Imp Price by ECM'!D163)</f>
        <v/>
      </c>
      <c r="C162" s="358" t="str">
        <f>IF('Sch2a-Imp Price by ECM'!G163="","",'Sch2a-Imp Price by ECM'!G163)</f>
        <v/>
      </c>
      <c r="D162" s="471"/>
      <c r="E162" s="350"/>
      <c r="F162" s="350"/>
      <c r="G162" s="350"/>
      <c r="H162" s="350"/>
      <c r="I162" s="242"/>
      <c r="J162" s="350"/>
      <c r="K162" s="350"/>
      <c r="L162" s="241"/>
      <c r="M162" s="241"/>
      <c r="N162" s="241"/>
      <c r="O162" s="242"/>
      <c r="P162" s="350"/>
      <c r="Q162" s="241"/>
      <c r="R162" s="351"/>
      <c r="S162" s="241"/>
      <c r="T162" s="351"/>
      <c r="U162" s="352"/>
      <c r="V162" s="351"/>
      <c r="W162" s="352"/>
      <c r="X162" s="383"/>
      <c r="Y162" s="352"/>
      <c r="Z162" s="349">
        <f t="shared" si="8"/>
        <v>0</v>
      </c>
      <c r="AA162" s="13">
        <f t="shared" si="9"/>
        <v>0</v>
      </c>
      <c r="AB162" s="351"/>
      <c r="AC162" s="352"/>
      <c r="AD162" s="351"/>
      <c r="AE162" s="352"/>
      <c r="AF162" s="352"/>
      <c r="AG162" s="352"/>
      <c r="AH162" s="108">
        <f t="shared" si="10"/>
        <v>0</v>
      </c>
      <c r="AI162" s="108" t="str">
        <f>IF('Sch2a-Imp Price by ECM'!C163="Yes", 0, 'Sch2a-Imp Price by ECM'!L163)</f>
        <v/>
      </c>
      <c r="AJ162" s="124" t="str">
        <f t="shared" si="11"/>
        <v/>
      </c>
      <c r="AK162" s="1" t="str">
        <f>IF('Sch2a-Imp Price by ECM'!M163="","",'Sch2a-Imp Price by ECM'!M163)</f>
        <v/>
      </c>
    </row>
    <row r="163" spans="1:37" ht="16.5" thickBot="1">
      <c r="A163" s="72" t="str">
        <f>IF('Sch2a-Imp Price by ECM'!B164="","",'Sch2a-Imp Price by ECM'!B164)</f>
        <v/>
      </c>
      <c r="B163" s="139" t="str">
        <f>IF('Sch2a-Imp Price by ECM'!D164="","",'Sch2a-Imp Price by ECM'!D164)</f>
        <v/>
      </c>
      <c r="C163" s="358" t="str">
        <f>IF('Sch2a-Imp Price by ECM'!G164="","",'Sch2a-Imp Price by ECM'!G164)</f>
        <v/>
      </c>
      <c r="D163" s="471"/>
      <c r="E163" s="350"/>
      <c r="F163" s="350"/>
      <c r="G163" s="350"/>
      <c r="H163" s="350"/>
      <c r="I163" s="242"/>
      <c r="J163" s="350"/>
      <c r="K163" s="350"/>
      <c r="L163" s="241"/>
      <c r="M163" s="241"/>
      <c r="N163" s="241"/>
      <c r="O163" s="235"/>
      <c r="P163" s="350"/>
      <c r="Q163" s="241"/>
      <c r="R163" s="351"/>
      <c r="S163" s="241"/>
      <c r="T163" s="351"/>
      <c r="U163" s="352"/>
      <c r="V163" s="351"/>
      <c r="W163" s="352"/>
      <c r="X163" s="383"/>
      <c r="Y163" s="352"/>
      <c r="Z163" s="349">
        <f t="shared" si="8"/>
        <v>0</v>
      </c>
      <c r="AA163" s="13">
        <f t="shared" si="9"/>
        <v>0</v>
      </c>
      <c r="AB163" s="351"/>
      <c r="AC163" s="352"/>
      <c r="AD163" s="351"/>
      <c r="AE163" s="352"/>
      <c r="AF163" s="352"/>
      <c r="AG163" s="352"/>
      <c r="AH163" s="108">
        <f t="shared" si="10"/>
        <v>0</v>
      </c>
      <c r="AI163" s="108" t="str">
        <f>IF('Sch2a-Imp Price by ECM'!C164="Yes", 0, 'Sch2a-Imp Price by ECM'!L164)</f>
        <v/>
      </c>
      <c r="AJ163" s="124" t="str">
        <f t="shared" si="11"/>
        <v/>
      </c>
      <c r="AK163" s="1" t="str">
        <f>IF('Sch2a-Imp Price by ECM'!M164="","",'Sch2a-Imp Price by ECM'!M164)</f>
        <v/>
      </c>
    </row>
    <row r="164" spans="1:37" ht="16.5" thickBot="1">
      <c r="A164" s="72" t="str">
        <f>IF('Sch2a-Imp Price by ECM'!B165="","",'Sch2a-Imp Price by ECM'!B165)</f>
        <v/>
      </c>
      <c r="B164" s="139" t="str">
        <f>IF('Sch2a-Imp Price by ECM'!D165="","",'Sch2a-Imp Price by ECM'!D165)</f>
        <v/>
      </c>
      <c r="C164" s="358" t="str">
        <f>IF('Sch2a-Imp Price by ECM'!G165="","",'Sch2a-Imp Price by ECM'!G165)</f>
        <v/>
      </c>
      <c r="D164" s="471"/>
      <c r="E164" s="350"/>
      <c r="F164" s="350"/>
      <c r="G164" s="350"/>
      <c r="H164" s="350"/>
      <c r="I164" s="242"/>
      <c r="J164" s="350"/>
      <c r="K164" s="350"/>
      <c r="L164" s="241"/>
      <c r="M164" s="241"/>
      <c r="N164" s="241"/>
      <c r="O164" s="235"/>
      <c r="P164" s="350"/>
      <c r="Q164" s="241"/>
      <c r="R164" s="351"/>
      <c r="S164" s="241"/>
      <c r="T164" s="351"/>
      <c r="U164" s="352"/>
      <c r="V164" s="351"/>
      <c r="W164" s="352"/>
      <c r="X164" s="383"/>
      <c r="Y164" s="352"/>
      <c r="Z164" s="349">
        <f t="shared" si="8"/>
        <v>0</v>
      </c>
      <c r="AA164" s="13">
        <f t="shared" si="9"/>
        <v>0</v>
      </c>
      <c r="AB164" s="351"/>
      <c r="AC164" s="352"/>
      <c r="AD164" s="351"/>
      <c r="AE164" s="352"/>
      <c r="AF164" s="352"/>
      <c r="AG164" s="352"/>
      <c r="AH164" s="108">
        <f t="shared" si="10"/>
        <v>0</v>
      </c>
      <c r="AI164" s="108" t="str">
        <f>IF('Sch2a-Imp Price by ECM'!C165="Yes", 0, 'Sch2a-Imp Price by ECM'!L165)</f>
        <v/>
      </c>
      <c r="AJ164" s="124" t="str">
        <f t="shared" si="11"/>
        <v/>
      </c>
      <c r="AK164" s="1" t="str">
        <f>IF('Sch2a-Imp Price by ECM'!M165="","",'Sch2a-Imp Price by ECM'!M165)</f>
        <v/>
      </c>
    </row>
    <row r="165" spans="1:37" ht="16.5" thickBot="1">
      <c r="A165" s="72" t="str">
        <f>IF('Sch2a-Imp Price by ECM'!B166="","",'Sch2a-Imp Price by ECM'!B166)</f>
        <v/>
      </c>
      <c r="B165" s="139" t="str">
        <f>IF('Sch2a-Imp Price by ECM'!D166="","",'Sch2a-Imp Price by ECM'!D166)</f>
        <v/>
      </c>
      <c r="C165" s="358" t="str">
        <f>IF('Sch2a-Imp Price by ECM'!G166="","",'Sch2a-Imp Price by ECM'!G166)</f>
        <v/>
      </c>
      <c r="D165" s="471"/>
      <c r="E165" s="350"/>
      <c r="F165" s="350"/>
      <c r="G165" s="350"/>
      <c r="H165" s="350"/>
      <c r="I165" s="242"/>
      <c r="J165" s="350"/>
      <c r="K165" s="350"/>
      <c r="L165" s="241"/>
      <c r="M165" s="241"/>
      <c r="N165" s="241"/>
      <c r="O165" s="235"/>
      <c r="P165" s="350"/>
      <c r="Q165" s="241"/>
      <c r="R165" s="351"/>
      <c r="S165" s="241"/>
      <c r="T165" s="351"/>
      <c r="U165" s="352"/>
      <c r="V165" s="351"/>
      <c r="W165" s="352"/>
      <c r="X165" s="383"/>
      <c r="Y165" s="352"/>
      <c r="Z165" s="349">
        <f t="shared" si="8"/>
        <v>0</v>
      </c>
      <c r="AA165" s="13">
        <f t="shared" si="9"/>
        <v>0</v>
      </c>
      <c r="AB165" s="351"/>
      <c r="AC165" s="352"/>
      <c r="AD165" s="351"/>
      <c r="AE165" s="352"/>
      <c r="AF165" s="352"/>
      <c r="AG165" s="352"/>
      <c r="AH165" s="108">
        <f t="shared" si="10"/>
        <v>0</v>
      </c>
      <c r="AI165" s="108" t="str">
        <f>IF('Sch2a-Imp Price by ECM'!C166="Yes", 0, 'Sch2a-Imp Price by ECM'!L166)</f>
        <v/>
      </c>
      <c r="AJ165" s="124" t="str">
        <f t="shared" si="11"/>
        <v/>
      </c>
      <c r="AK165" s="1" t="str">
        <f>IF('Sch2a-Imp Price by ECM'!M166="","",'Sch2a-Imp Price by ECM'!M166)</f>
        <v/>
      </c>
    </row>
    <row r="166" spans="1:37" ht="16.5" thickBot="1">
      <c r="A166" s="72" t="str">
        <f>IF('Sch2a-Imp Price by ECM'!B167="","",'Sch2a-Imp Price by ECM'!B167)</f>
        <v/>
      </c>
      <c r="B166" s="139" t="str">
        <f>IF('Sch2a-Imp Price by ECM'!D167="","",'Sch2a-Imp Price by ECM'!D167)</f>
        <v/>
      </c>
      <c r="C166" s="358" t="str">
        <f>IF('Sch2a-Imp Price by ECM'!G167="","",'Sch2a-Imp Price by ECM'!G167)</f>
        <v/>
      </c>
      <c r="D166" s="471"/>
      <c r="E166" s="350"/>
      <c r="F166" s="350"/>
      <c r="G166" s="350"/>
      <c r="H166" s="350"/>
      <c r="I166" s="242"/>
      <c r="J166" s="350"/>
      <c r="K166" s="350"/>
      <c r="L166" s="241"/>
      <c r="M166" s="241"/>
      <c r="N166" s="241"/>
      <c r="O166" s="235"/>
      <c r="P166" s="350"/>
      <c r="Q166" s="241"/>
      <c r="R166" s="351"/>
      <c r="S166" s="241"/>
      <c r="T166" s="351"/>
      <c r="U166" s="352"/>
      <c r="V166" s="351"/>
      <c r="W166" s="352"/>
      <c r="X166" s="383"/>
      <c r="Y166" s="352"/>
      <c r="Z166" s="349">
        <f t="shared" si="8"/>
        <v>0</v>
      </c>
      <c r="AA166" s="13">
        <f t="shared" si="9"/>
        <v>0</v>
      </c>
      <c r="AB166" s="351"/>
      <c r="AC166" s="352"/>
      <c r="AD166" s="351"/>
      <c r="AE166" s="352"/>
      <c r="AF166" s="352"/>
      <c r="AG166" s="352"/>
      <c r="AH166" s="108">
        <f t="shared" si="10"/>
        <v>0</v>
      </c>
      <c r="AI166" s="108" t="str">
        <f>IF('Sch2a-Imp Price by ECM'!C167="Yes", 0, 'Sch2a-Imp Price by ECM'!L167)</f>
        <v/>
      </c>
      <c r="AJ166" s="124" t="str">
        <f t="shared" si="11"/>
        <v/>
      </c>
      <c r="AK166" s="1" t="str">
        <f>IF('Sch2a-Imp Price by ECM'!M167="","",'Sch2a-Imp Price by ECM'!M167)</f>
        <v/>
      </c>
    </row>
    <row r="167" spans="1:37" ht="16.5" thickBot="1">
      <c r="A167" s="72" t="str">
        <f>IF('Sch2a-Imp Price by ECM'!B168="","",'Sch2a-Imp Price by ECM'!B168)</f>
        <v/>
      </c>
      <c r="B167" s="139" t="str">
        <f>IF('Sch2a-Imp Price by ECM'!D168="","",'Sch2a-Imp Price by ECM'!D168)</f>
        <v/>
      </c>
      <c r="C167" s="358" t="str">
        <f>IF('Sch2a-Imp Price by ECM'!G168="","",'Sch2a-Imp Price by ECM'!G168)</f>
        <v/>
      </c>
      <c r="D167" s="471"/>
      <c r="E167" s="350"/>
      <c r="F167" s="350"/>
      <c r="G167" s="350"/>
      <c r="H167" s="350"/>
      <c r="I167" s="242"/>
      <c r="J167" s="350"/>
      <c r="K167" s="350"/>
      <c r="L167" s="241"/>
      <c r="M167" s="241"/>
      <c r="N167" s="241"/>
      <c r="O167" s="235"/>
      <c r="P167" s="350"/>
      <c r="Q167" s="241"/>
      <c r="R167" s="351"/>
      <c r="S167" s="241"/>
      <c r="T167" s="351"/>
      <c r="U167" s="352"/>
      <c r="V167" s="351"/>
      <c r="W167" s="352"/>
      <c r="X167" s="383"/>
      <c r="Y167" s="352"/>
      <c r="Z167" s="349">
        <f t="shared" si="8"/>
        <v>0</v>
      </c>
      <c r="AA167" s="13">
        <f t="shared" si="9"/>
        <v>0</v>
      </c>
      <c r="AB167" s="351"/>
      <c r="AC167" s="352"/>
      <c r="AD167" s="351"/>
      <c r="AE167" s="352"/>
      <c r="AF167" s="352"/>
      <c r="AG167" s="352"/>
      <c r="AH167" s="108">
        <f t="shared" si="10"/>
        <v>0</v>
      </c>
      <c r="AI167" s="108" t="str">
        <f>IF('Sch2a-Imp Price by ECM'!C168="Yes", 0, 'Sch2a-Imp Price by ECM'!L168)</f>
        <v/>
      </c>
      <c r="AJ167" s="124" t="str">
        <f t="shared" si="11"/>
        <v/>
      </c>
      <c r="AK167" s="1" t="str">
        <f>IF('Sch2a-Imp Price by ECM'!M168="","",'Sch2a-Imp Price by ECM'!M168)</f>
        <v/>
      </c>
    </row>
    <row r="168" spans="1:37" ht="16.5" thickBot="1">
      <c r="A168" s="72" t="str">
        <f>IF('Sch2a-Imp Price by ECM'!B169="","",'Sch2a-Imp Price by ECM'!B169)</f>
        <v/>
      </c>
      <c r="B168" s="139" t="str">
        <f>IF('Sch2a-Imp Price by ECM'!D169="","",'Sch2a-Imp Price by ECM'!D169)</f>
        <v/>
      </c>
      <c r="C168" s="358" t="str">
        <f>IF('Sch2a-Imp Price by ECM'!G169="","",'Sch2a-Imp Price by ECM'!G169)</f>
        <v/>
      </c>
      <c r="D168" s="471"/>
      <c r="E168" s="350"/>
      <c r="F168" s="350"/>
      <c r="G168" s="350"/>
      <c r="H168" s="350"/>
      <c r="I168" s="242"/>
      <c r="J168" s="350"/>
      <c r="K168" s="350"/>
      <c r="L168" s="241"/>
      <c r="M168" s="241"/>
      <c r="N168" s="241"/>
      <c r="O168" s="235"/>
      <c r="P168" s="350"/>
      <c r="Q168" s="241"/>
      <c r="R168" s="351"/>
      <c r="S168" s="241"/>
      <c r="T168" s="351"/>
      <c r="U168" s="352"/>
      <c r="V168" s="351"/>
      <c r="W168" s="352"/>
      <c r="X168" s="383"/>
      <c r="Y168" s="352"/>
      <c r="Z168" s="349">
        <f t="shared" si="8"/>
        <v>0</v>
      </c>
      <c r="AA168" s="13">
        <f t="shared" si="9"/>
        <v>0</v>
      </c>
      <c r="AB168" s="351"/>
      <c r="AC168" s="352"/>
      <c r="AD168" s="351"/>
      <c r="AE168" s="352"/>
      <c r="AF168" s="352"/>
      <c r="AG168" s="352"/>
      <c r="AH168" s="108">
        <f t="shared" si="10"/>
        <v>0</v>
      </c>
      <c r="AI168" s="108" t="str">
        <f>IF('Sch2a-Imp Price by ECM'!C169="Yes", 0, 'Sch2a-Imp Price by ECM'!L169)</f>
        <v/>
      </c>
      <c r="AJ168" s="124" t="str">
        <f t="shared" si="11"/>
        <v/>
      </c>
      <c r="AK168" s="1" t="str">
        <f>IF('Sch2a-Imp Price by ECM'!M169="","",'Sch2a-Imp Price by ECM'!M169)</f>
        <v/>
      </c>
    </row>
    <row r="169" spans="1:37" ht="16.5" thickBot="1">
      <c r="A169" s="72" t="str">
        <f>IF('Sch2a-Imp Price by ECM'!B170="","",'Sch2a-Imp Price by ECM'!B170)</f>
        <v/>
      </c>
      <c r="B169" s="139" t="str">
        <f>IF('Sch2a-Imp Price by ECM'!D170="","",'Sch2a-Imp Price by ECM'!D170)</f>
        <v/>
      </c>
      <c r="C169" s="358" t="str">
        <f>IF('Sch2a-Imp Price by ECM'!G170="","",'Sch2a-Imp Price by ECM'!G170)</f>
        <v/>
      </c>
      <c r="D169" s="471"/>
      <c r="E169" s="350"/>
      <c r="F169" s="350"/>
      <c r="G169" s="350"/>
      <c r="H169" s="350"/>
      <c r="I169" s="242"/>
      <c r="J169" s="350"/>
      <c r="K169" s="350"/>
      <c r="L169" s="241"/>
      <c r="M169" s="241"/>
      <c r="N169" s="241"/>
      <c r="O169" s="235"/>
      <c r="P169" s="350"/>
      <c r="Q169" s="241"/>
      <c r="R169" s="351"/>
      <c r="S169" s="241"/>
      <c r="T169" s="351"/>
      <c r="U169" s="352"/>
      <c r="V169" s="351"/>
      <c r="W169" s="352"/>
      <c r="X169" s="383"/>
      <c r="Y169" s="352"/>
      <c r="Z169" s="349">
        <f t="shared" si="8"/>
        <v>0</v>
      </c>
      <c r="AA169" s="13">
        <f t="shared" si="9"/>
        <v>0</v>
      </c>
      <c r="AB169" s="351"/>
      <c r="AC169" s="352"/>
      <c r="AD169" s="351"/>
      <c r="AE169" s="352"/>
      <c r="AF169" s="352"/>
      <c r="AG169" s="352"/>
      <c r="AH169" s="108">
        <f t="shared" si="10"/>
        <v>0</v>
      </c>
      <c r="AI169" s="108" t="str">
        <f>IF('Sch2a-Imp Price by ECM'!C170="Yes", 0, 'Sch2a-Imp Price by ECM'!L170)</f>
        <v/>
      </c>
      <c r="AJ169" s="124" t="str">
        <f t="shared" si="11"/>
        <v/>
      </c>
      <c r="AK169" s="1" t="str">
        <f>IF('Sch2a-Imp Price by ECM'!M170="","",'Sch2a-Imp Price by ECM'!M170)</f>
        <v/>
      </c>
    </row>
    <row r="170" spans="1:37" ht="16.5" thickBot="1">
      <c r="A170" s="72" t="str">
        <f>IF('Sch2a-Imp Price by ECM'!B171="","",'Sch2a-Imp Price by ECM'!B171)</f>
        <v/>
      </c>
      <c r="B170" s="139" t="str">
        <f>IF('Sch2a-Imp Price by ECM'!D171="","",'Sch2a-Imp Price by ECM'!D171)</f>
        <v/>
      </c>
      <c r="C170" s="358" t="str">
        <f>IF('Sch2a-Imp Price by ECM'!G171="","",'Sch2a-Imp Price by ECM'!G171)</f>
        <v/>
      </c>
      <c r="D170" s="471"/>
      <c r="E170" s="350"/>
      <c r="F170" s="350"/>
      <c r="G170" s="350"/>
      <c r="H170" s="350"/>
      <c r="I170" s="242"/>
      <c r="J170" s="350"/>
      <c r="K170" s="350"/>
      <c r="L170" s="241"/>
      <c r="M170" s="241"/>
      <c r="N170" s="241"/>
      <c r="O170" s="235"/>
      <c r="P170" s="350"/>
      <c r="Q170" s="241"/>
      <c r="R170" s="351"/>
      <c r="S170" s="241"/>
      <c r="T170" s="351"/>
      <c r="U170" s="352"/>
      <c r="V170" s="351"/>
      <c r="W170" s="352"/>
      <c r="X170" s="383"/>
      <c r="Y170" s="352"/>
      <c r="Z170" s="349">
        <f t="shared" si="8"/>
        <v>0</v>
      </c>
      <c r="AA170" s="13">
        <f t="shared" si="9"/>
        <v>0</v>
      </c>
      <c r="AB170" s="351"/>
      <c r="AC170" s="352"/>
      <c r="AD170" s="351"/>
      <c r="AE170" s="352"/>
      <c r="AF170" s="352"/>
      <c r="AG170" s="352"/>
      <c r="AH170" s="108">
        <f t="shared" si="10"/>
        <v>0</v>
      </c>
      <c r="AI170" s="108" t="str">
        <f>IF('Sch2a-Imp Price by ECM'!C171="Yes", 0, 'Sch2a-Imp Price by ECM'!L171)</f>
        <v/>
      </c>
      <c r="AJ170" s="124" t="str">
        <f t="shared" si="11"/>
        <v/>
      </c>
      <c r="AK170" s="1" t="str">
        <f>IF('Sch2a-Imp Price by ECM'!M171="","",'Sch2a-Imp Price by ECM'!M171)</f>
        <v/>
      </c>
    </row>
    <row r="171" spans="1:37" ht="16.5" thickBot="1">
      <c r="A171" s="72" t="str">
        <f>IF('Sch2a-Imp Price by ECM'!B172="","",'Sch2a-Imp Price by ECM'!B172)</f>
        <v/>
      </c>
      <c r="B171" s="139" t="str">
        <f>IF('Sch2a-Imp Price by ECM'!D172="","",'Sch2a-Imp Price by ECM'!D172)</f>
        <v/>
      </c>
      <c r="C171" s="358" t="str">
        <f>IF('Sch2a-Imp Price by ECM'!G172="","",'Sch2a-Imp Price by ECM'!G172)</f>
        <v/>
      </c>
      <c r="D171" s="471"/>
      <c r="E171" s="350"/>
      <c r="F171" s="350"/>
      <c r="G171" s="350"/>
      <c r="H171" s="350"/>
      <c r="I171" s="242"/>
      <c r="J171" s="350"/>
      <c r="K171" s="350"/>
      <c r="L171" s="241"/>
      <c r="M171" s="241"/>
      <c r="N171" s="241"/>
      <c r="O171" s="235"/>
      <c r="P171" s="350"/>
      <c r="Q171" s="241"/>
      <c r="R171" s="351"/>
      <c r="S171" s="241"/>
      <c r="T171" s="351"/>
      <c r="U171" s="352"/>
      <c r="V171" s="351"/>
      <c r="W171" s="352"/>
      <c r="X171" s="383"/>
      <c r="Y171" s="352"/>
      <c r="Z171" s="349">
        <f t="shared" si="8"/>
        <v>0</v>
      </c>
      <c r="AA171" s="13">
        <f t="shared" si="9"/>
        <v>0</v>
      </c>
      <c r="AB171" s="351"/>
      <c r="AC171" s="352"/>
      <c r="AD171" s="351"/>
      <c r="AE171" s="352"/>
      <c r="AF171" s="352"/>
      <c r="AG171" s="352"/>
      <c r="AH171" s="108">
        <f t="shared" si="10"/>
        <v>0</v>
      </c>
      <c r="AI171" s="108" t="str">
        <f>IF('Sch2a-Imp Price by ECM'!C172="Yes", 0, 'Sch2a-Imp Price by ECM'!L172)</f>
        <v/>
      </c>
      <c r="AJ171" s="124" t="str">
        <f t="shared" si="11"/>
        <v/>
      </c>
      <c r="AK171" s="1" t="str">
        <f>IF('Sch2a-Imp Price by ECM'!M172="","",'Sch2a-Imp Price by ECM'!M172)</f>
        <v/>
      </c>
    </row>
    <row r="172" spans="1:37" ht="16.5" thickBot="1">
      <c r="A172" s="72" t="str">
        <f>IF('Sch2a-Imp Price by ECM'!B173="","",'Sch2a-Imp Price by ECM'!B173)</f>
        <v/>
      </c>
      <c r="B172" s="139" t="str">
        <f>IF('Sch2a-Imp Price by ECM'!D173="","",'Sch2a-Imp Price by ECM'!D173)</f>
        <v/>
      </c>
      <c r="C172" s="358" t="str">
        <f>IF('Sch2a-Imp Price by ECM'!G173="","",'Sch2a-Imp Price by ECM'!G173)</f>
        <v/>
      </c>
      <c r="D172" s="471"/>
      <c r="E172" s="350"/>
      <c r="F172" s="350"/>
      <c r="G172" s="350"/>
      <c r="H172" s="350"/>
      <c r="I172" s="242"/>
      <c r="J172" s="350"/>
      <c r="K172" s="350"/>
      <c r="L172" s="241"/>
      <c r="M172" s="241"/>
      <c r="N172" s="241"/>
      <c r="O172" s="235"/>
      <c r="P172" s="350"/>
      <c r="Q172" s="241"/>
      <c r="R172" s="351"/>
      <c r="S172" s="241"/>
      <c r="T172" s="351"/>
      <c r="U172" s="352"/>
      <c r="V172" s="351"/>
      <c r="W172" s="352"/>
      <c r="X172" s="383"/>
      <c r="Y172" s="352"/>
      <c r="Z172" s="349">
        <f t="shared" si="8"/>
        <v>0</v>
      </c>
      <c r="AA172" s="13">
        <f t="shared" si="9"/>
        <v>0</v>
      </c>
      <c r="AB172" s="351"/>
      <c r="AC172" s="352"/>
      <c r="AD172" s="351"/>
      <c r="AE172" s="352"/>
      <c r="AF172" s="352"/>
      <c r="AG172" s="352"/>
      <c r="AH172" s="108">
        <f t="shared" si="10"/>
        <v>0</v>
      </c>
      <c r="AI172" s="108" t="str">
        <f>IF('Sch2a-Imp Price by ECM'!C173="Yes", 0, 'Sch2a-Imp Price by ECM'!L173)</f>
        <v/>
      </c>
      <c r="AJ172" s="124" t="str">
        <f t="shared" si="11"/>
        <v/>
      </c>
      <c r="AK172" s="1" t="str">
        <f>IF('Sch2a-Imp Price by ECM'!M173="","",'Sch2a-Imp Price by ECM'!M173)</f>
        <v/>
      </c>
    </row>
    <row r="173" spans="1:37" ht="16.5" thickBot="1">
      <c r="A173" s="72" t="str">
        <f>IF('Sch2a-Imp Price by ECM'!B174="","",'Sch2a-Imp Price by ECM'!B174)</f>
        <v/>
      </c>
      <c r="B173" s="139" t="str">
        <f>IF('Sch2a-Imp Price by ECM'!D174="","",'Sch2a-Imp Price by ECM'!D174)</f>
        <v/>
      </c>
      <c r="C173" s="358" t="str">
        <f>IF('Sch2a-Imp Price by ECM'!G174="","",'Sch2a-Imp Price by ECM'!G174)</f>
        <v/>
      </c>
      <c r="D173" s="471"/>
      <c r="E173" s="350"/>
      <c r="F173" s="350"/>
      <c r="G173" s="350"/>
      <c r="H173" s="350"/>
      <c r="I173" s="242"/>
      <c r="J173" s="350"/>
      <c r="K173" s="350"/>
      <c r="L173" s="241"/>
      <c r="M173" s="241"/>
      <c r="N173" s="241"/>
      <c r="O173" s="235"/>
      <c r="P173" s="350"/>
      <c r="Q173" s="241"/>
      <c r="R173" s="351"/>
      <c r="S173" s="241"/>
      <c r="T173" s="351"/>
      <c r="U173" s="352"/>
      <c r="V173" s="351"/>
      <c r="W173" s="352"/>
      <c r="X173" s="383"/>
      <c r="Y173" s="352"/>
      <c r="Z173" s="349">
        <f t="shared" si="8"/>
        <v>0</v>
      </c>
      <c r="AA173" s="13">
        <f t="shared" si="9"/>
        <v>0</v>
      </c>
      <c r="AB173" s="351"/>
      <c r="AC173" s="352"/>
      <c r="AD173" s="351"/>
      <c r="AE173" s="352"/>
      <c r="AF173" s="352"/>
      <c r="AG173" s="352"/>
      <c r="AH173" s="108">
        <f t="shared" si="10"/>
        <v>0</v>
      </c>
      <c r="AI173" s="108" t="str">
        <f>IF('Sch2a-Imp Price by ECM'!C174="Yes", 0, 'Sch2a-Imp Price by ECM'!L174)</f>
        <v/>
      </c>
      <c r="AJ173" s="124" t="str">
        <f t="shared" si="11"/>
        <v/>
      </c>
      <c r="AK173" s="1" t="str">
        <f>IF('Sch2a-Imp Price by ECM'!M174="","",'Sch2a-Imp Price by ECM'!M174)</f>
        <v/>
      </c>
    </row>
    <row r="174" spans="1:37" ht="16.5" thickBot="1">
      <c r="A174" s="72" t="str">
        <f>IF('Sch2a-Imp Price by ECM'!B175="","",'Sch2a-Imp Price by ECM'!B175)</f>
        <v/>
      </c>
      <c r="B174" s="139" t="str">
        <f>IF('Sch2a-Imp Price by ECM'!D175="","",'Sch2a-Imp Price by ECM'!D175)</f>
        <v/>
      </c>
      <c r="C174" s="358" t="str">
        <f>IF('Sch2a-Imp Price by ECM'!G175="","",'Sch2a-Imp Price by ECM'!G175)</f>
        <v/>
      </c>
      <c r="D174" s="471"/>
      <c r="E174" s="350"/>
      <c r="F174" s="350"/>
      <c r="G174" s="350"/>
      <c r="H174" s="350"/>
      <c r="I174" s="242"/>
      <c r="J174" s="350"/>
      <c r="K174" s="350"/>
      <c r="L174" s="241"/>
      <c r="M174" s="241"/>
      <c r="N174" s="241"/>
      <c r="O174" s="235"/>
      <c r="P174" s="350"/>
      <c r="Q174" s="241"/>
      <c r="R174" s="351"/>
      <c r="S174" s="241"/>
      <c r="T174" s="351"/>
      <c r="U174" s="352"/>
      <c r="V174" s="351"/>
      <c r="W174" s="352"/>
      <c r="X174" s="383"/>
      <c r="Y174" s="352"/>
      <c r="Z174" s="349">
        <f t="shared" si="8"/>
        <v>0</v>
      </c>
      <c r="AA174" s="13">
        <f t="shared" si="9"/>
        <v>0</v>
      </c>
      <c r="AB174" s="351"/>
      <c r="AC174" s="352"/>
      <c r="AD174" s="351"/>
      <c r="AE174" s="352"/>
      <c r="AF174" s="352"/>
      <c r="AG174" s="352"/>
      <c r="AH174" s="108">
        <f t="shared" si="10"/>
        <v>0</v>
      </c>
      <c r="AI174" s="108" t="str">
        <f>IF('Sch2a-Imp Price by ECM'!C175="Yes", 0, 'Sch2a-Imp Price by ECM'!L175)</f>
        <v/>
      </c>
      <c r="AJ174" s="124" t="str">
        <f t="shared" si="11"/>
        <v/>
      </c>
      <c r="AK174" s="1" t="str">
        <f>IF('Sch2a-Imp Price by ECM'!M175="","",'Sch2a-Imp Price by ECM'!M175)</f>
        <v/>
      </c>
    </row>
    <row r="175" spans="1:37" ht="16.5" thickBot="1">
      <c r="A175" s="72" t="str">
        <f>IF('Sch2a-Imp Price by ECM'!B176="","",'Sch2a-Imp Price by ECM'!B176)</f>
        <v/>
      </c>
      <c r="B175" s="139" t="str">
        <f>IF('Sch2a-Imp Price by ECM'!D176="","",'Sch2a-Imp Price by ECM'!D176)</f>
        <v/>
      </c>
      <c r="C175" s="358" t="str">
        <f>IF('Sch2a-Imp Price by ECM'!G176="","",'Sch2a-Imp Price by ECM'!G176)</f>
        <v/>
      </c>
      <c r="D175" s="471"/>
      <c r="E175" s="350"/>
      <c r="F175" s="350"/>
      <c r="G175" s="350"/>
      <c r="H175" s="350"/>
      <c r="I175" s="242"/>
      <c r="J175" s="350"/>
      <c r="K175" s="350"/>
      <c r="L175" s="241"/>
      <c r="M175" s="241"/>
      <c r="N175" s="241"/>
      <c r="O175" s="235"/>
      <c r="P175" s="350"/>
      <c r="Q175" s="241"/>
      <c r="R175" s="351"/>
      <c r="S175" s="241"/>
      <c r="T175" s="351"/>
      <c r="U175" s="352"/>
      <c r="V175" s="351"/>
      <c r="W175" s="352"/>
      <c r="X175" s="383"/>
      <c r="Y175" s="352"/>
      <c r="Z175" s="349">
        <f t="shared" si="8"/>
        <v>0</v>
      </c>
      <c r="AA175" s="13">
        <f t="shared" si="9"/>
        <v>0</v>
      </c>
      <c r="AB175" s="351"/>
      <c r="AC175" s="352"/>
      <c r="AD175" s="351"/>
      <c r="AE175" s="352"/>
      <c r="AF175" s="352"/>
      <c r="AG175" s="352"/>
      <c r="AH175" s="108">
        <f t="shared" si="10"/>
        <v>0</v>
      </c>
      <c r="AI175" s="108" t="str">
        <f>IF('Sch2a-Imp Price by ECM'!C176="Yes", 0, 'Sch2a-Imp Price by ECM'!L176)</f>
        <v/>
      </c>
      <c r="AJ175" s="124" t="str">
        <f t="shared" si="11"/>
        <v/>
      </c>
      <c r="AK175" s="1" t="str">
        <f>IF('Sch2a-Imp Price by ECM'!M176="","",'Sch2a-Imp Price by ECM'!M176)</f>
        <v/>
      </c>
    </row>
    <row r="176" spans="1:37" ht="16.5" thickBot="1">
      <c r="A176" s="72" t="str">
        <f>IF('Sch2a-Imp Price by ECM'!B177="","",'Sch2a-Imp Price by ECM'!B177)</f>
        <v/>
      </c>
      <c r="B176" s="139" t="str">
        <f>IF('Sch2a-Imp Price by ECM'!D177="","",'Sch2a-Imp Price by ECM'!D177)</f>
        <v/>
      </c>
      <c r="C176" s="358" t="str">
        <f>IF('Sch2a-Imp Price by ECM'!G177="","",'Sch2a-Imp Price by ECM'!G177)</f>
        <v/>
      </c>
      <c r="D176" s="471"/>
      <c r="E176" s="350"/>
      <c r="F176" s="350"/>
      <c r="G176" s="350"/>
      <c r="H176" s="350"/>
      <c r="I176" s="242"/>
      <c r="J176" s="350"/>
      <c r="K176" s="350"/>
      <c r="L176" s="241"/>
      <c r="M176" s="241"/>
      <c r="N176" s="241"/>
      <c r="O176" s="235"/>
      <c r="P176" s="350"/>
      <c r="Q176" s="241"/>
      <c r="R176" s="351"/>
      <c r="S176" s="241"/>
      <c r="T176" s="351"/>
      <c r="U176" s="352"/>
      <c r="V176" s="351"/>
      <c r="W176" s="352"/>
      <c r="X176" s="383"/>
      <c r="Y176" s="352"/>
      <c r="Z176" s="349">
        <f t="shared" si="8"/>
        <v>0</v>
      </c>
      <c r="AA176" s="13">
        <f t="shared" si="9"/>
        <v>0</v>
      </c>
      <c r="AB176" s="351"/>
      <c r="AC176" s="352"/>
      <c r="AD176" s="351"/>
      <c r="AE176" s="352"/>
      <c r="AF176" s="352"/>
      <c r="AG176" s="352"/>
      <c r="AH176" s="108">
        <f t="shared" si="10"/>
        <v>0</v>
      </c>
      <c r="AI176" s="108" t="str">
        <f>IF('Sch2a-Imp Price by ECM'!C177="Yes", 0, 'Sch2a-Imp Price by ECM'!L177)</f>
        <v/>
      </c>
      <c r="AJ176" s="124" t="str">
        <f t="shared" si="11"/>
        <v/>
      </c>
      <c r="AK176" s="1" t="str">
        <f>IF('Sch2a-Imp Price by ECM'!M177="","",'Sch2a-Imp Price by ECM'!M177)</f>
        <v/>
      </c>
    </row>
    <row r="177" spans="1:37" ht="16.5" thickBot="1">
      <c r="A177" s="72" t="str">
        <f>IF('Sch2a-Imp Price by ECM'!B178="","",'Sch2a-Imp Price by ECM'!B178)</f>
        <v/>
      </c>
      <c r="B177" s="139" t="str">
        <f>IF('Sch2a-Imp Price by ECM'!D178="","",'Sch2a-Imp Price by ECM'!D178)</f>
        <v/>
      </c>
      <c r="C177" s="358" t="str">
        <f>IF('Sch2a-Imp Price by ECM'!G178="","",'Sch2a-Imp Price by ECM'!G178)</f>
        <v/>
      </c>
      <c r="D177" s="471"/>
      <c r="E177" s="350"/>
      <c r="F177" s="350"/>
      <c r="G177" s="350"/>
      <c r="H177" s="350"/>
      <c r="I177" s="242"/>
      <c r="J177" s="350"/>
      <c r="K177" s="350"/>
      <c r="L177" s="241"/>
      <c r="M177" s="241"/>
      <c r="N177" s="241"/>
      <c r="O177" s="242"/>
      <c r="P177" s="350"/>
      <c r="Q177" s="241"/>
      <c r="R177" s="351"/>
      <c r="S177" s="241"/>
      <c r="T177" s="351"/>
      <c r="U177" s="352"/>
      <c r="V177" s="351"/>
      <c r="W177" s="352"/>
      <c r="X177" s="383"/>
      <c r="Y177" s="352"/>
      <c r="Z177" s="349">
        <f t="shared" si="8"/>
        <v>0</v>
      </c>
      <c r="AA177" s="13">
        <f t="shared" si="9"/>
        <v>0</v>
      </c>
      <c r="AB177" s="351"/>
      <c r="AC177" s="352"/>
      <c r="AD177" s="351"/>
      <c r="AE177" s="352"/>
      <c r="AF177" s="352"/>
      <c r="AG177" s="352"/>
      <c r="AH177" s="108">
        <f t="shared" si="10"/>
        <v>0</v>
      </c>
      <c r="AI177" s="108" t="str">
        <f>IF('Sch2a-Imp Price by ECM'!C178="Yes", 0, 'Sch2a-Imp Price by ECM'!L178)</f>
        <v/>
      </c>
      <c r="AJ177" s="124" t="str">
        <f t="shared" si="11"/>
        <v/>
      </c>
      <c r="AK177" s="1" t="str">
        <f>IF('Sch2a-Imp Price by ECM'!M178="","",'Sch2a-Imp Price by ECM'!M178)</f>
        <v/>
      </c>
    </row>
    <row r="178" spans="1:37" ht="16.5" thickBot="1">
      <c r="A178" s="72" t="str">
        <f>IF('Sch2a-Imp Price by ECM'!B179="","",'Sch2a-Imp Price by ECM'!B179)</f>
        <v/>
      </c>
      <c r="B178" s="139" t="str">
        <f>IF('Sch2a-Imp Price by ECM'!D179="","",'Sch2a-Imp Price by ECM'!D179)</f>
        <v/>
      </c>
      <c r="C178" s="358" t="str">
        <f>IF('Sch2a-Imp Price by ECM'!G179="","",'Sch2a-Imp Price by ECM'!G179)</f>
        <v/>
      </c>
      <c r="D178" s="471"/>
      <c r="E178" s="350"/>
      <c r="F178" s="350"/>
      <c r="G178" s="350"/>
      <c r="H178" s="350"/>
      <c r="I178" s="242"/>
      <c r="J178" s="350"/>
      <c r="K178" s="350"/>
      <c r="L178" s="241"/>
      <c r="M178" s="241"/>
      <c r="N178" s="241"/>
      <c r="O178" s="242"/>
      <c r="P178" s="350"/>
      <c r="Q178" s="241"/>
      <c r="R178" s="351"/>
      <c r="S178" s="241"/>
      <c r="T178" s="351"/>
      <c r="U178" s="352"/>
      <c r="V178" s="351"/>
      <c r="W178" s="352"/>
      <c r="X178" s="383"/>
      <c r="Y178" s="352"/>
      <c r="Z178" s="349">
        <f t="shared" si="8"/>
        <v>0</v>
      </c>
      <c r="AA178" s="13">
        <f t="shared" si="9"/>
        <v>0</v>
      </c>
      <c r="AB178" s="351"/>
      <c r="AC178" s="352"/>
      <c r="AD178" s="351"/>
      <c r="AE178" s="352"/>
      <c r="AF178" s="352"/>
      <c r="AG178" s="352"/>
      <c r="AH178" s="108">
        <f t="shared" si="10"/>
        <v>0</v>
      </c>
      <c r="AI178" s="108" t="str">
        <f>IF('Sch2a-Imp Price by ECM'!C179="Yes", 0, 'Sch2a-Imp Price by ECM'!L179)</f>
        <v/>
      </c>
      <c r="AJ178" s="124" t="str">
        <f t="shared" si="11"/>
        <v/>
      </c>
      <c r="AK178" s="1" t="str">
        <f>IF('Sch2a-Imp Price by ECM'!M179="","",'Sch2a-Imp Price by ECM'!M179)</f>
        <v/>
      </c>
    </row>
    <row r="179" spans="1:37" ht="16.5" thickBot="1">
      <c r="A179" s="72" t="str">
        <f>IF('Sch2a-Imp Price by ECM'!B180="","",'Sch2a-Imp Price by ECM'!B180)</f>
        <v/>
      </c>
      <c r="B179" s="139" t="str">
        <f>IF('Sch2a-Imp Price by ECM'!D180="","",'Sch2a-Imp Price by ECM'!D180)</f>
        <v/>
      </c>
      <c r="C179" s="358" t="str">
        <f>IF('Sch2a-Imp Price by ECM'!G180="","",'Sch2a-Imp Price by ECM'!G180)</f>
        <v/>
      </c>
      <c r="D179" s="471"/>
      <c r="E179" s="350"/>
      <c r="F179" s="350"/>
      <c r="G179" s="350"/>
      <c r="H179" s="350"/>
      <c r="I179" s="242"/>
      <c r="J179" s="350"/>
      <c r="K179" s="350"/>
      <c r="L179" s="241"/>
      <c r="M179" s="241"/>
      <c r="N179" s="241"/>
      <c r="O179" s="242"/>
      <c r="P179" s="350"/>
      <c r="Q179" s="241"/>
      <c r="R179" s="351"/>
      <c r="S179" s="241"/>
      <c r="T179" s="351"/>
      <c r="U179" s="352"/>
      <c r="V179" s="351"/>
      <c r="W179" s="352"/>
      <c r="X179" s="383"/>
      <c r="Y179" s="352"/>
      <c r="Z179" s="349">
        <f t="shared" si="8"/>
        <v>0</v>
      </c>
      <c r="AA179" s="13">
        <f t="shared" si="9"/>
        <v>0</v>
      </c>
      <c r="AB179" s="351"/>
      <c r="AC179" s="352"/>
      <c r="AD179" s="351"/>
      <c r="AE179" s="352"/>
      <c r="AF179" s="352"/>
      <c r="AG179" s="352"/>
      <c r="AH179" s="108">
        <f t="shared" si="10"/>
        <v>0</v>
      </c>
      <c r="AI179" s="108" t="str">
        <f>IF('Sch2a-Imp Price by ECM'!C180="Yes", 0, 'Sch2a-Imp Price by ECM'!L180)</f>
        <v/>
      </c>
      <c r="AJ179" s="124" t="str">
        <f t="shared" si="11"/>
        <v/>
      </c>
      <c r="AK179" s="1" t="str">
        <f>IF('Sch2a-Imp Price by ECM'!M180="","",'Sch2a-Imp Price by ECM'!M180)</f>
        <v/>
      </c>
    </row>
    <row r="180" spans="1:37" ht="16.5" thickBot="1">
      <c r="A180" s="72" t="str">
        <f>IF('Sch2a-Imp Price by ECM'!B181="","",'Sch2a-Imp Price by ECM'!B181)</f>
        <v/>
      </c>
      <c r="B180" s="139" t="str">
        <f>IF('Sch2a-Imp Price by ECM'!D181="","",'Sch2a-Imp Price by ECM'!D181)</f>
        <v/>
      </c>
      <c r="C180" s="358" t="str">
        <f>IF('Sch2a-Imp Price by ECM'!G181="","",'Sch2a-Imp Price by ECM'!G181)</f>
        <v/>
      </c>
      <c r="D180" s="471"/>
      <c r="E180" s="350"/>
      <c r="F180" s="350"/>
      <c r="G180" s="350"/>
      <c r="H180" s="350"/>
      <c r="I180" s="242"/>
      <c r="J180" s="350"/>
      <c r="K180" s="350"/>
      <c r="L180" s="241"/>
      <c r="M180" s="241"/>
      <c r="N180" s="241"/>
      <c r="O180" s="242"/>
      <c r="P180" s="350"/>
      <c r="Q180" s="241"/>
      <c r="R180" s="351"/>
      <c r="S180" s="241"/>
      <c r="T180" s="351"/>
      <c r="U180" s="352"/>
      <c r="V180" s="351"/>
      <c r="W180" s="352"/>
      <c r="X180" s="383"/>
      <c r="Y180" s="352"/>
      <c r="Z180" s="349">
        <f t="shared" si="8"/>
        <v>0</v>
      </c>
      <c r="AA180" s="13">
        <f t="shared" si="9"/>
        <v>0</v>
      </c>
      <c r="AB180" s="351"/>
      <c r="AC180" s="352"/>
      <c r="AD180" s="351"/>
      <c r="AE180" s="352"/>
      <c r="AF180" s="352"/>
      <c r="AG180" s="352"/>
      <c r="AH180" s="108">
        <f t="shared" si="10"/>
        <v>0</v>
      </c>
      <c r="AI180" s="108" t="str">
        <f>IF('Sch2a-Imp Price by ECM'!C181="Yes", 0, 'Sch2a-Imp Price by ECM'!L181)</f>
        <v/>
      </c>
      <c r="AJ180" s="124" t="str">
        <f t="shared" si="11"/>
        <v/>
      </c>
      <c r="AK180" s="1" t="str">
        <f>IF('Sch2a-Imp Price by ECM'!M181="","",'Sch2a-Imp Price by ECM'!M181)</f>
        <v/>
      </c>
    </row>
    <row r="181" spans="1:37" ht="18" customHeight="1" thickBot="1">
      <c r="A181" s="72" t="str">
        <f>IF('Sch2a-Imp Price by ECM'!B182="","",'Sch2a-Imp Price by ECM'!B182)</f>
        <v/>
      </c>
      <c r="B181" s="139" t="str">
        <f>IF('Sch2a-Imp Price by ECM'!D182="","",'Sch2a-Imp Price by ECM'!D182)</f>
        <v/>
      </c>
      <c r="C181" s="358" t="str">
        <f>IF('Sch2a-Imp Price by ECM'!G182="","",'Sch2a-Imp Price by ECM'!G182)</f>
        <v/>
      </c>
      <c r="D181" s="471"/>
      <c r="E181" s="350"/>
      <c r="F181" s="350"/>
      <c r="G181" s="350"/>
      <c r="H181" s="350"/>
      <c r="I181" s="242"/>
      <c r="J181" s="350"/>
      <c r="K181" s="350"/>
      <c r="L181" s="241"/>
      <c r="M181" s="241"/>
      <c r="N181" s="241"/>
      <c r="O181" s="242"/>
      <c r="P181" s="350"/>
      <c r="Q181" s="241"/>
      <c r="R181" s="351"/>
      <c r="S181" s="241"/>
      <c r="T181" s="351"/>
      <c r="U181" s="352"/>
      <c r="V181" s="351"/>
      <c r="W181" s="352"/>
      <c r="X181" s="383"/>
      <c r="Y181" s="352"/>
      <c r="Z181" s="349">
        <f t="shared" si="8"/>
        <v>0</v>
      </c>
      <c r="AA181" s="13">
        <f t="shared" si="9"/>
        <v>0</v>
      </c>
      <c r="AB181" s="351"/>
      <c r="AC181" s="352"/>
      <c r="AD181" s="351"/>
      <c r="AE181" s="352"/>
      <c r="AF181" s="352"/>
      <c r="AG181" s="352"/>
      <c r="AH181" s="108">
        <f t="shared" si="10"/>
        <v>0</v>
      </c>
      <c r="AI181" s="108" t="str">
        <f>IF('Sch2a-Imp Price by ECM'!C182="Yes", 0, 'Sch2a-Imp Price by ECM'!L182)</f>
        <v/>
      </c>
      <c r="AJ181" s="124" t="str">
        <f t="shared" si="11"/>
        <v/>
      </c>
      <c r="AK181" s="1" t="str">
        <f>IF('Sch2a-Imp Price by ECM'!M182="","",'Sch2a-Imp Price by ECM'!M182)</f>
        <v/>
      </c>
    </row>
    <row r="182" spans="1:37" ht="16.5" thickBot="1">
      <c r="A182" s="72" t="str">
        <f>IF('Sch2a-Imp Price by ECM'!B183="","",'Sch2a-Imp Price by ECM'!B183)</f>
        <v/>
      </c>
      <c r="B182" s="139" t="str">
        <f>IF('Sch2a-Imp Price by ECM'!D183="","",'Sch2a-Imp Price by ECM'!D183)</f>
        <v/>
      </c>
      <c r="C182" s="358" t="str">
        <f>IF('Sch2a-Imp Price by ECM'!G183="","",'Sch2a-Imp Price by ECM'!G183)</f>
        <v/>
      </c>
      <c r="D182" s="471"/>
      <c r="E182" s="350"/>
      <c r="F182" s="350"/>
      <c r="G182" s="350"/>
      <c r="H182" s="350"/>
      <c r="I182" s="242"/>
      <c r="J182" s="350"/>
      <c r="K182" s="350"/>
      <c r="L182" s="241"/>
      <c r="M182" s="241"/>
      <c r="N182" s="241"/>
      <c r="O182" s="242"/>
      <c r="P182" s="350"/>
      <c r="Q182" s="241"/>
      <c r="R182" s="351"/>
      <c r="S182" s="241"/>
      <c r="T182" s="351"/>
      <c r="U182" s="352"/>
      <c r="V182" s="351"/>
      <c r="W182" s="352"/>
      <c r="X182" s="383"/>
      <c r="Y182" s="352"/>
      <c r="Z182" s="349">
        <f t="shared" si="8"/>
        <v>0</v>
      </c>
      <c r="AA182" s="13">
        <f t="shared" si="9"/>
        <v>0</v>
      </c>
      <c r="AB182" s="351"/>
      <c r="AC182" s="352"/>
      <c r="AD182" s="351"/>
      <c r="AE182" s="352"/>
      <c r="AF182" s="352"/>
      <c r="AG182" s="352"/>
      <c r="AH182" s="108">
        <f t="shared" si="10"/>
        <v>0</v>
      </c>
      <c r="AI182" s="108" t="str">
        <f>IF('Sch2a-Imp Price by ECM'!C183="Yes", 0, 'Sch2a-Imp Price by ECM'!L183)</f>
        <v/>
      </c>
      <c r="AJ182" s="124" t="str">
        <f t="shared" si="11"/>
        <v/>
      </c>
      <c r="AK182" s="1" t="str">
        <f>IF('Sch2a-Imp Price by ECM'!M183="","",'Sch2a-Imp Price by ECM'!M183)</f>
        <v/>
      </c>
    </row>
    <row r="183" spans="1:37" ht="16.5" thickBot="1">
      <c r="A183" s="72" t="str">
        <f>IF('Sch2a-Imp Price by ECM'!B184="","",'Sch2a-Imp Price by ECM'!B184)</f>
        <v/>
      </c>
      <c r="B183" s="139" t="str">
        <f>IF('Sch2a-Imp Price by ECM'!D184="","",'Sch2a-Imp Price by ECM'!D184)</f>
        <v/>
      </c>
      <c r="C183" s="358" t="str">
        <f>IF('Sch2a-Imp Price by ECM'!G184="","",'Sch2a-Imp Price by ECM'!G184)</f>
        <v/>
      </c>
      <c r="D183" s="471"/>
      <c r="E183" s="350"/>
      <c r="F183" s="350"/>
      <c r="G183" s="350"/>
      <c r="H183" s="350"/>
      <c r="I183" s="242"/>
      <c r="J183" s="350"/>
      <c r="K183" s="350"/>
      <c r="L183" s="241"/>
      <c r="M183" s="241"/>
      <c r="N183" s="241"/>
      <c r="O183" s="242"/>
      <c r="P183" s="350"/>
      <c r="Q183" s="241"/>
      <c r="R183" s="351"/>
      <c r="S183" s="241"/>
      <c r="T183" s="351"/>
      <c r="U183" s="352"/>
      <c r="V183" s="351"/>
      <c r="W183" s="352"/>
      <c r="X183" s="383"/>
      <c r="Y183" s="352"/>
      <c r="Z183" s="349">
        <f t="shared" si="8"/>
        <v>0</v>
      </c>
      <c r="AA183" s="13">
        <f t="shared" si="9"/>
        <v>0</v>
      </c>
      <c r="AB183" s="351"/>
      <c r="AC183" s="352"/>
      <c r="AD183" s="351"/>
      <c r="AE183" s="352"/>
      <c r="AF183" s="352"/>
      <c r="AG183" s="352"/>
      <c r="AH183" s="108">
        <f t="shared" si="10"/>
        <v>0</v>
      </c>
      <c r="AI183" s="108" t="str">
        <f>IF('Sch2a-Imp Price by ECM'!C184="Yes", 0, 'Sch2a-Imp Price by ECM'!L184)</f>
        <v/>
      </c>
      <c r="AJ183" s="124" t="str">
        <f t="shared" si="11"/>
        <v/>
      </c>
      <c r="AK183" s="1" t="str">
        <f>IF('Sch2a-Imp Price by ECM'!M184="","",'Sch2a-Imp Price by ECM'!M184)</f>
        <v/>
      </c>
    </row>
    <row r="184" spans="1:37" ht="16.5" thickBot="1">
      <c r="A184" s="72" t="str">
        <f>IF('Sch2a-Imp Price by ECM'!B185="","",'Sch2a-Imp Price by ECM'!B185)</f>
        <v/>
      </c>
      <c r="B184" s="139" t="str">
        <f>IF('Sch2a-Imp Price by ECM'!D185="","",'Sch2a-Imp Price by ECM'!D185)</f>
        <v/>
      </c>
      <c r="C184" s="358" t="str">
        <f>IF('Sch2a-Imp Price by ECM'!G185="","",'Sch2a-Imp Price by ECM'!G185)</f>
        <v/>
      </c>
      <c r="D184" s="471"/>
      <c r="E184" s="350"/>
      <c r="F184" s="350"/>
      <c r="G184" s="350"/>
      <c r="H184" s="350"/>
      <c r="I184" s="242"/>
      <c r="J184" s="350"/>
      <c r="K184" s="350"/>
      <c r="L184" s="241"/>
      <c r="M184" s="241"/>
      <c r="N184" s="241"/>
      <c r="O184" s="235"/>
      <c r="P184" s="350"/>
      <c r="Q184" s="241"/>
      <c r="R184" s="351"/>
      <c r="S184" s="241"/>
      <c r="T184" s="351"/>
      <c r="U184" s="352"/>
      <c r="V184" s="351"/>
      <c r="W184" s="352"/>
      <c r="X184" s="383"/>
      <c r="Y184" s="352"/>
      <c r="Z184" s="349">
        <f t="shared" si="8"/>
        <v>0</v>
      </c>
      <c r="AA184" s="13">
        <f t="shared" si="9"/>
        <v>0</v>
      </c>
      <c r="AB184" s="351"/>
      <c r="AC184" s="352"/>
      <c r="AD184" s="351"/>
      <c r="AE184" s="352"/>
      <c r="AF184" s="352"/>
      <c r="AG184" s="352"/>
      <c r="AH184" s="108">
        <f t="shared" si="10"/>
        <v>0</v>
      </c>
      <c r="AI184" s="108" t="str">
        <f>IF('Sch2a-Imp Price by ECM'!C185="Yes", 0, 'Sch2a-Imp Price by ECM'!L185)</f>
        <v/>
      </c>
      <c r="AJ184" s="124" t="str">
        <f t="shared" si="11"/>
        <v/>
      </c>
      <c r="AK184" s="1" t="str">
        <f>IF('Sch2a-Imp Price by ECM'!M185="","",'Sch2a-Imp Price by ECM'!M185)</f>
        <v/>
      </c>
    </row>
    <row r="185" spans="1:37" ht="16.5" thickBot="1">
      <c r="A185" s="72" t="str">
        <f>IF('Sch2a-Imp Price by ECM'!B186="","",'Sch2a-Imp Price by ECM'!B186)</f>
        <v/>
      </c>
      <c r="B185" s="139" t="str">
        <f>IF('Sch2a-Imp Price by ECM'!D186="","",'Sch2a-Imp Price by ECM'!D186)</f>
        <v/>
      </c>
      <c r="C185" s="358" t="str">
        <f>IF('Sch2a-Imp Price by ECM'!G186="","",'Sch2a-Imp Price by ECM'!G186)</f>
        <v/>
      </c>
      <c r="D185" s="471"/>
      <c r="E185" s="350"/>
      <c r="F185" s="350"/>
      <c r="G185" s="350"/>
      <c r="H185" s="350"/>
      <c r="I185" s="242"/>
      <c r="J185" s="350"/>
      <c r="K185" s="350"/>
      <c r="L185" s="241"/>
      <c r="M185" s="241"/>
      <c r="N185" s="241"/>
      <c r="O185" s="235"/>
      <c r="P185" s="350"/>
      <c r="Q185" s="241"/>
      <c r="R185" s="351"/>
      <c r="S185" s="241"/>
      <c r="T185" s="351"/>
      <c r="U185" s="352"/>
      <c r="V185" s="351"/>
      <c r="W185" s="352"/>
      <c r="X185" s="383"/>
      <c r="Y185" s="352"/>
      <c r="Z185" s="349">
        <f t="shared" si="8"/>
        <v>0</v>
      </c>
      <c r="AA185" s="13">
        <f t="shared" si="9"/>
        <v>0</v>
      </c>
      <c r="AB185" s="351"/>
      <c r="AC185" s="352"/>
      <c r="AD185" s="351"/>
      <c r="AE185" s="352"/>
      <c r="AF185" s="352"/>
      <c r="AG185" s="352"/>
      <c r="AH185" s="108">
        <f t="shared" si="10"/>
        <v>0</v>
      </c>
      <c r="AI185" s="108" t="str">
        <f>IF('Sch2a-Imp Price by ECM'!C186="Yes", 0, 'Sch2a-Imp Price by ECM'!L186)</f>
        <v/>
      </c>
      <c r="AJ185" s="124" t="str">
        <f t="shared" si="11"/>
        <v/>
      </c>
      <c r="AK185" s="1" t="str">
        <f>IF('Sch2a-Imp Price by ECM'!M186="","",'Sch2a-Imp Price by ECM'!M186)</f>
        <v/>
      </c>
    </row>
    <row r="186" spans="1:37" ht="16.5" thickBot="1">
      <c r="A186" s="72" t="str">
        <f>IF('Sch2a-Imp Price by ECM'!B187="","",'Sch2a-Imp Price by ECM'!B187)</f>
        <v/>
      </c>
      <c r="B186" s="139" t="str">
        <f>IF('Sch2a-Imp Price by ECM'!D187="","",'Sch2a-Imp Price by ECM'!D187)</f>
        <v/>
      </c>
      <c r="C186" s="358" t="str">
        <f>IF('Sch2a-Imp Price by ECM'!G187="","",'Sch2a-Imp Price by ECM'!G187)</f>
        <v/>
      </c>
      <c r="D186" s="471"/>
      <c r="E186" s="350"/>
      <c r="F186" s="350"/>
      <c r="G186" s="350"/>
      <c r="H186" s="350"/>
      <c r="I186" s="242"/>
      <c r="J186" s="350"/>
      <c r="K186" s="350"/>
      <c r="L186" s="241"/>
      <c r="M186" s="241"/>
      <c r="N186" s="241"/>
      <c r="O186" s="235"/>
      <c r="P186" s="350"/>
      <c r="Q186" s="241"/>
      <c r="R186" s="351"/>
      <c r="S186" s="241"/>
      <c r="T186" s="351"/>
      <c r="U186" s="352"/>
      <c r="V186" s="351"/>
      <c r="W186" s="352"/>
      <c r="X186" s="383"/>
      <c r="Y186" s="352"/>
      <c r="Z186" s="349">
        <f t="shared" si="8"/>
        <v>0</v>
      </c>
      <c r="AA186" s="13">
        <f t="shared" si="9"/>
        <v>0</v>
      </c>
      <c r="AB186" s="351"/>
      <c r="AC186" s="352"/>
      <c r="AD186" s="351"/>
      <c r="AE186" s="352"/>
      <c r="AF186" s="352"/>
      <c r="AG186" s="352"/>
      <c r="AH186" s="108">
        <f t="shared" si="10"/>
        <v>0</v>
      </c>
      <c r="AI186" s="108" t="str">
        <f>IF('Sch2a-Imp Price by ECM'!C187="Yes", 0, 'Sch2a-Imp Price by ECM'!L187)</f>
        <v/>
      </c>
      <c r="AJ186" s="124" t="str">
        <f t="shared" si="11"/>
        <v/>
      </c>
      <c r="AK186" s="1" t="str">
        <f>IF('Sch2a-Imp Price by ECM'!M187="","",'Sch2a-Imp Price by ECM'!M187)</f>
        <v/>
      </c>
    </row>
    <row r="187" spans="1:37" ht="16.5" thickBot="1">
      <c r="A187" s="72" t="str">
        <f>IF('Sch2a-Imp Price by ECM'!B188="","",'Sch2a-Imp Price by ECM'!B188)</f>
        <v/>
      </c>
      <c r="B187" s="139" t="str">
        <f>IF('Sch2a-Imp Price by ECM'!D188="","",'Sch2a-Imp Price by ECM'!D188)</f>
        <v/>
      </c>
      <c r="C187" s="358" t="str">
        <f>IF('Sch2a-Imp Price by ECM'!G188="","",'Sch2a-Imp Price by ECM'!G188)</f>
        <v/>
      </c>
      <c r="D187" s="471"/>
      <c r="E187" s="350"/>
      <c r="F187" s="350"/>
      <c r="G187" s="350"/>
      <c r="H187" s="350"/>
      <c r="I187" s="242"/>
      <c r="J187" s="350"/>
      <c r="K187" s="350"/>
      <c r="L187" s="241"/>
      <c r="M187" s="241"/>
      <c r="N187" s="241"/>
      <c r="O187" s="235"/>
      <c r="P187" s="350"/>
      <c r="Q187" s="241"/>
      <c r="R187" s="351"/>
      <c r="S187" s="241"/>
      <c r="T187" s="351"/>
      <c r="U187" s="352"/>
      <c r="V187" s="351"/>
      <c r="W187" s="352"/>
      <c r="X187" s="383"/>
      <c r="Y187" s="352"/>
      <c r="Z187" s="349">
        <f t="shared" si="8"/>
        <v>0</v>
      </c>
      <c r="AA187" s="13">
        <f t="shared" si="9"/>
        <v>0</v>
      </c>
      <c r="AB187" s="351"/>
      <c r="AC187" s="352"/>
      <c r="AD187" s="351"/>
      <c r="AE187" s="352"/>
      <c r="AF187" s="352"/>
      <c r="AG187" s="352"/>
      <c r="AH187" s="108">
        <f t="shared" si="10"/>
        <v>0</v>
      </c>
      <c r="AI187" s="108" t="str">
        <f>IF('Sch2a-Imp Price by ECM'!C188="Yes", 0, 'Sch2a-Imp Price by ECM'!L188)</f>
        <v/>
      </c>
      <c r="AJ187" s="124" t="str">
        <f t="shared" si="11"/>
        <v/>
      </c>
      <c r="AK187" s="1" t="str">
        <f>IF('Sch2a-Imp Price by ECM'!M188="","",'Sch2a-Imp Price by ECM'!M188)</f>
        <v/>
      </c>
    </row>
    <row r="188" spans="1:37" ht="16.5" thickBot="1">
      <c r="A188" s="72" t="str">
        <f>IF('Sch2a-Imp Price by ECM'!B189="","",'Sch2a-Imp Price by ECM'!B189)</f>
        <v/>
      </c>
      <c r="B188" s="139" t="str">
        <f>IF('Sch2a-Imp Price by ECM'!D189="","",'Sch2a-Imp Price by ECM'!D189)</f>
        <v/>
      </c>
      <c r="C188" s="358" t="str">
        <f>IF('Sch2a-Imp Price by ECM'!G189="","",'Sch2a-Imp Price by ECM'!G189)</f>
        <v/>
      </c>
      <c r="D188" s="471"/>
      <c r="E188" s="350"/>
      <c r="F188" s="350"/>
      <c r="G188" s="350"/>
      <c r="H188" s="350"/>
      <c r="I188" s="242"/>
      <c r="J188" s="350"/>
      <c r="K188" s="350"/>
      <c r="L188" s="241"/>
      <c r="M188" s="241"/>
      <c r="N188" s="241"/>
      <c r="O188" s="235"/>
      <c r="P188" s="350"/>
      <c r="Q188" s="241"/>
      <c r="R188" s="351"/>
      <c r="S188" s="241"/>
      <c r="T188" s="351"/>
      <c r="U188" s="352"/>
      <c r="V188" s="351"/>
      <c r="W188" s="352"/>
      <c r="X188" s="383"/>
      <c r="Y188" s="352"/>
      <c r="Z188" s="349">
        <f t="shared" si="8"/>
        <v>0</v>
      </c>
      <c r="AA188" s="13">
        <f t="shared" si="9"/>
        <v>0</v>
      </c>
      <c r="AB188" s="351"/>
      <c r="AC188" s="352"/>
      <c r="AD188" s="351"/>
      <c r="AE188" s="352"/>
      <c r="AF188" s="352"/>
      <c r="AG188" s="352"/>
      <c r="AH188" s="108">
        <f t="shared" si="10"/>
        <v>0</v>
      </c>
      <c r="AI188" s="108" t="str">
        <f>IF('Sch2a-Imp Price by ECM'!C189="Yes", 0, 'Sch2a-Imp Price by ECM'!L189)</f>
        <v/>
      </c>
      <c r="AJ188" s="124" t="str">
        <f t="shared" si="11"/>
        <v/>
      </c>
      <c r="AK188" s="1" t="str">
        <f>IF('Sch2a-Imp Price by ECM'!M189="","",'Sch2a-Imp Price by ECM'!M189)</f>
        <v/>
      </c>
    </row>
    <row r="189" spans="1:37" ht="16.5" thickBot="1">
      <c r="A189" s="72" t="str">
        <f>IF('Sch2a-Imp Price by ECM'!B190="","",'Sch2a-Imp Price by ECM'!B190)</f>
        <v/>
      </c>
      <c r="B189" s="139" t="str">
        <f>IF('Sch2a-Imp Price by ECM'!D190="","",'Sch2a-Imp Price by ECM'!D190)</f>
        <v/>
      </c>
      <c r="C189" s="358" t="str">
        <f>IF('Sch2a-Imp Price by ECM'!G190="","",'Sch2a-Imp Price by ECM'!G190)</f>
        <v/>
      </c>
      <c r="D189" s="471"/>
      <c r="E189" s="350"/>
      <c r="F189" s="350"/>
      <c r="G189" s="350"/>
      <c r="H189" s="350"/>
      <c r="I189" s="242"/>
      <c r="J189" s="350"/>
      <c r="K189" s="350"/>
      <c r="L189" s="241"/>
      <c r="M189" s="241"/>
      <c r="N189" s="241"/>
      <c r="O189" s="235"/>
      <c r="P189" s="350"/>
      <c r="Q189" s="241"/>
      <c r="R189" s="351"/>
      <c r="S189" s="241"/>
      <c r="T189" s="351"/>
      <c r="U189" s="352"/>
      <c r="V189" s="351"/>
      <c r="W189" s="352"/>
      <c r="X189" s="383"/>
      <c r="Y189" s="352"/>
      <c r="Z189" s="349">
        <f t="shared" si="8"/>
        <v>0</v>
      </c>
      <c r="AA189" s="13">
        <f t="shared" si="9"/>
        <v>0</v>
      </c>
      <c r="AB189" s="351"/>
      <c r="AC189" s="352"/>
      <c r="AD189" s="351"/>
      <c r="AE189" s="352"/>
      <c r="AF189" s="352"/>
      <c r="AG189" s="352"/>
      <c r="AH189" s="108">
        <f t="shared" si="10"/>
        <v>0</v>
      </c>
      <c r="AI189" s="108" t="str">
        <f>IF('Sch2a-Imp Price by ECM'!C190="Yes", 0, 'Sch2a-Imp Price by ECM'!L190)</f>
        <v/>
      </c>
      <c r="AJ189" s="124" t="str">
        <f t="shared" si="11"/>
        <v/>
      </c>
      <c r="AK189" s="1" t="str">
        <f>IF('Sch2a-Imp Price by ECM'!M190="","",'Sch2a-Imp Price by ECM'!M190)</f>
        <v/>
      </c>
    </row>
    <row r="190" spans="1:37" ht="16.5" thickBot="1">
      <c r="A190" s="72" t="str">
        <f>IF('Sch2a-Imp Price by ECM'!B191="","",'Sch2a-Imp Price by ECM'!B191)</f>
        <v/>
      </c>
      <c r="B190" s="139" t="str">
        <f>IF('Sch2a-Imp Price by ECM'!D191="","",'Sch2a-Imp Price by ECM'!D191)</f>
        <v/>
      </c>
      <c r="C190" s="358" t="str">
        <f>IF('Sch2a-Imp Price by ECM'!G191="","",'Sch2a-Imp Price by ECM'!G191)</f>
        <v/>
      </c>
      <c r="D190" s="471"/>
      <c r="E190" s="350"/>
      <c r="F190" s="350"/>
      <c r="G190" s="350"/>
      <c r="H190" s="350"/>
      <c r="I190" s="242"/>
      <c r="J190" s="350"/>
      <c r="K190" s="350"/>
      <c r="L190" s="241"/>
      <c r="M190" s="241"/>
      <c r="N190" s="241"/>
      <c r="O190" s="235"/>
      <c r="P190" s="350"/>
      <c r="Q190" s="241"/>
      <c r="R190" s="351"/>
      <c r="S190" s="241"/>
      <c r="T190" s="351"/>
      <c r="U190" s="352"/>
      <c r="V190" s="351"/>
      <c r="W190" s="352"/>
      <c r="X190" s="383"/>
      <c r="Y190" s="352"/>
      <c r="Z190" s="349">
        <f t="shared" si="8"/>
        <v>0</v>
      </c>
      <c r="AA190" s="13">
        <f t="shared" si="9"/>
        <v>0</v>
      </c>
      <c r="AB190" s="351"/>
      <c r="AC190" s="352"/>
      <c r="AD190" s="351"/>
      <c r="AE190" s="352"/>
      <c r="AF190" s="352"/>
      <c r="AG190" s="352"/>
      <c r="AH190" s="108">
        <f t="shared" si="10"/>
        <v>0</v>
      </c>
      <c r="AI190" s="108" t="str">
        <f>IF('Sch2a-Imp Price by ECM'!C191="Yes", 0, 'Sch2a-Imp Price by ECM'!L191)</f>
        <v/>
      </c>
      <c r="AJ190" s="124" t="str">
        <f t="shared" si="11"/>
        <v/>
      </c>
      <c r="AK190" s="1" t="str">
        <f>IF('Sch2a-Imp Price by ECM'!M191="","",'Sch2a-Imp Price by ECM'!M191)</f>
        <v/>
      </c>
    </row>
    <row r="191" spans="1:37" ht="16.5" thickBot="1">
      <c r="A191" s="72" t="str">
        <f>IF('Sch2a-Imp Price by ECM'!B192="","",'Sch2a-Imp Price by ECM'!B192)</f>
        <v/>
      </c>
      <c r="B191" s="139" t="str">
        <f>IF('Sch2a-Imp Price by ECM'!D192="","",'Sch2a-Imp Price by ECM'!D192)</f>
        <v/>
      </c>
      <c r="C191" s="358" t="str">
        <f>IF('Sch2a-Imp Price by ECM'!G192="","",'Sch2a-Imp Price by ECM'!G192)</f>
        <v/>
      </c>
      <c r="D191" s="471"/>
      <c r="E191" s="350"/>
      <c r="F191" s="350"/>
      <c r="G191" s="350"/>
      <c r="H191" s="350"/>
      <c r="I191" s="242"/>
      <c r="J191" s="350"/>
      <c r="K191" s="350"/>
      <c r="L191" s="241"/>
      <c r="M191" s="241"/>
      <c r="N191" s="241"/>
      <c r="O191" s="235"/>
      <c r="P191" s="350"/>
      <c r="Q191" s="241"/>
      <c r="R191" s="351"/>
      <c r="S191" s="241"/>
      <c r="T191" s="351"/>
      <c r="U191" s="352"/>
      <c r="V191" s="351"/>
      <c r="W191" s="352"/>
      <c r="X191" s="383"/>
      <c r="Y191" s="352"/>
      <c r="Z191" s="349">
        <f t="shared" si="8"/>
        <v>0</v>
      </c>
      <c r="AA191" s="13">
        <f t="shared" si="9"/>
        <v>0</v>
      </c>
      <c r="AB191" s="351"/>
      <c r="AC191" s="352"/>
      <c r="AD191" s="351"/>
      <c r="AE191" s="352"/>
      <c r="AF191" s="352"/>
      <c r="AG191" s="352"/>
      <c r="AH191" s="108">
        <f t="shared" si="10"/>
        <v>0</v>
      </c>
      <c r="AI191" s="108" t="str">
        <f>IF('Sch2a-Imp Price by ECM'!C192="Yes", 0, 'Sch2a-Imp Price by ECM'!L192)</f>
        <v/>
      </c>
      <c r="AJ191" s="124" t="str">
        <f t="shared" si="11"/>
        <v/>
      </c>
      <c r="AK191" s="1" t="str">
        <f>IF('Sch2a-Imp Price by ECM'!M192="","",'Sch2a-Imp Price by ECM'!M192)</f>
        <v/>
      </c>
    </row>
    <row r="192" spans="1:37" ht="16.5" thickBot="1">
      <c r="A192" s="72" t="str">
        <f>IF('Sch2a-Imp Price by ECM'!B193="","",'Sch2a-Imp Price by ECM'!B193)</f>
        <v/>
      </c>
      <c r="B192" s="139" t="str">
        <f>IF('Sch2a-Imp Price by ECM'!D193="","",'Sch2a-Imp Price by ECM'!D193)</f>
        <v/>
      </c>
      <c r="C192" s="358" t="str">
        <f>IF('Sch2a-Imp Price by ECM'!G193="","",'Sch2a-Imp Price by ECM'!G193)</f>
        <v/>
      </c>
      <c r="D192" s="471"/>
      <c r="E192" s="350"/>
      <c r="F192" s="350"/>
      <c r="G192" s="350"/>
      <c r="H192" s="350"/>
      <c r="I192" s="242"/>
      <c r="J192" s="350"/>
      <c r="K192" s="350"/>
      <c r="L192" s="241"/>
      <c r="M192" s="241"/>
      <c r="N192" s="241"/>
      <c r="O192" s="235"/>
      <c r="P192" s="350"/>
      <c r="Q192" s="241"/>
      <c r="R192" s="351"/>
      <c r="S192" s="241"/>
      <c r="T192" s="351"/>
      <c r="U192" s="352"/>
      <c r="V192" s="351"/>
      <c r="W192" s="352"/>
      <c r="X192" s="383"/>
      <c r="Y192" s="352"/>
      <c r="Z192" s="349">
        <f t="shared" si="8"/>
        <v>0</v>
      </c>
      <c r="AA192" s="13">
        <f t="shared" si="9"/>
        <v>0</v>
      </c>
      <c r="AB192" s="351"/>
      <c r="AC192" s="352"/>
      <c r="AD192" s="351"/>
      <c r="AE192" s="352"/>
      <c r="AF192" s="352"/>
      <c r="AG192" s="352"/>
      <c r="AH192" s="108">
        <f t="shared" si="10"/>
        <v>0</v>
      </c>
      <c r="AI192" s="108" t="str">
        <f>IF('Sch2a-Imp Price by ECM'!C193="Yes", 0, 'Sch2a-Imp Price by ECM'!L193)</f>
        <v/>
      </c>
      <c r="AJ192" s="124" t="str">
        <f t="shared" si="11"/>
        <v/>
      </c>
      <c r="AK192" s="1" t="str">
        <f>IF('Sch2a-Imp Price by ECM'!M193="","",'Sch2a-Imp Price by ECM'!M193)</f>
        <v/>
      </c>
    </row>
    <row r="193" spans="1:37" ht="16.5" thickBot="1">
      <c r="A193" s="72" t="str">
        <f>IF('Sch2a-Imp Price by ECM'!B194="","",'Sch2a-Imp Price by ECM'!B194)</f>
        <v/>
      </c>
      <c r="B193" s="139" t="str">
        <f>IF('Sch2a-Imp Price by ECM'!D194="","",'Sch2a-Imp Price by ECM'!D194)</f>
        <v/>
      </c>
      <c r="C193" s="358" t="str">
        <f>IF('Sch2a-Imp Price by ECM'!G194="","",'Sch2a-Imp Price by ECM'!G194)</f>
        <v/>
      </c>
      <c r="D193" s="471"/>
      <c r="E193" s="350"/>
      <c r="F193" s="350"/>
      <c r="G193" s="350"/>
      <c r="H193" s="350"/>
      <c r="I193" s="242"/>
      <c r="J193" s="350"/>
      <c r="K193" s="350"/>
      <c r="L193" s="241"/>
      <c r="M193" s="241"/>
      <c r="N193" s="241"/>
      <c r="O193" s="235"/>
      <c r="P193" s="350"/>
      <c r="Q193" s="241"/>
      <c r="R193" s="351"/>
      <c r="S193" s="241"/>
      <c r="T193" s="351"/>
      <c r="U193" s="352"/>
      <c r="V193" s="351"/>
      <c r="W193" s="352"/>
      <c r="X193" s="383"/>
      <c r="Y193" s="352"/>
      <c r="Z193" s="349">
        <f t="shared" si="8"/>
        <v>0</v>
      </c>
      <c r="AA193" s="13">
        <f t="shared" si="9"/>
        <v>0</v>
      </c>
      <c r="AB193" s="351"/>
      <c r="AC193" s="352"/>
      <c r="AD193" s="351"/>
      <c r="AE193" s="352"/>
      <c r="AF193" s="352"/>
      <c r="AG193" s="352"/>
      <c r="AH193" s="108">
        <f t="shared" si="10"/>
        <v>0</v>
      </c>
      <c r="AI193" s="108" t="str">
        <f>IF('Sch2a-Imp Price by ECM'!C194="Yes", 0, 'Sch2a-Imp Price by ECM'!L194)</f>
        <v/>
      </c>
      <c r="AJ193" s="124" t="str">
        <f t="shared" si="11"/>
        <v/>
      </c>
      <c r="AK193" s="1" t="str">
        <f>IF('Sch2a-Imp Price by ECM'!M194="","",'Sch2a-Imp Price by ECM'!M194)</f>
        <v/>
      </c>
    </row>
    <row r="194" spans="1:37" ht="16.5" thickBot="1">
      <c r="A194" s="72" t="str">
        <f>IF('Sch2a-Imp Price by ECM'!B195="","",'Sch2a-Imp Price by ECM'!B195)</f>
        <v/>
      </c>
      <c r="B194" s="139" t="str">
        <f>IF('Sch2a-Imp Price by ECM'!D195="","",'Sch2a-Imp Price by ECM'!D195)</f>
        <v/>
      </c>
      <c r="C194" s="358" t="str">
        <f>IF('Sch2a-Imp Price by ECM'!G195="","",'Sch2a-Imp Price by ECM'!G195)</f>
        <v/>
      </c>
      <c r="D194" s="471"/>
      <c r="E194" s="350"/>
      <c r="F194" s="350"/>
      <c r="G194" s="350"/>
      <c r="H194" s="350"/>
      <c r="I194" s="242"/>
      <c r="J194" s="350"/>
      <c r="K194" s="350"/>
      <c r="L194" s="241"/>
      <c r="M194" s="241"/>
      <c r="N194" s="241"/>
      <c r="O194" s="235"/>
      <c r="P194" s="350"/>
      <c r="Q194" s="241"/>
      <c r="R194" s="351"/>
      <c r="S194" s="241"/>
      <c r="T194" s="351"/>
      <c r="U194" s="352"/>
      <c r="V194" s="351"/>
      <c r="W194" s="352"/>
      <c r="X194" s="383"/>
      <c r="Y194" s="352"/>
      <c r="Z194" s="349">
        <f t="shared" si="8"/>
        <v>0</v>
      </c>
      <c r="AA194" s="13">
        <f t="shared" si="9"/>
        <v>0</v>
      </c>
      <c r="AB194" s="351"/>
      <c r="AC194" s="352"/>
      <c r="AD194" s="351"/>
      <c r="AE194" s="352"/>
      <c r="AF194" s="352"/>
      <c r="AG194" s="352"/>
      <c r="AH194" s="108">
        <f t="shared" si="10"/>
        <v>0</v>
      </c>
      <c r="AI194" s="108" t="str">
        <f>IF('Sch2a-Imp Price by ECM'!C195="Yes", 0, 'Sch2a-Imp Price by ECM'!L195)</f>
        <v/>
      </c>
      <c r="AJ194" s="124" t="str">
        <f t="shared" si="11"/>
        <v/>
      </c>
      <c r="AK194" s="1" t="str">
        <f>IF('Sch2a-Imp Price by ECM'!M195="","",'Sch2a-Imp Price by ECM'!M195)</f>
        <v/>
      </c>
    </row>
    <row r="195" spans="1:37" ht="16.5" thickBot="1">
      <c r="A195" s="72" t="str">
        <f>IF('Sch2a-Imp Price by ECM'!B196="","",'Sch2a-Imp Price by ECM'!B196)</f>
        <v/>
      </c>
      <c r="B195" s="139" t="str">
        <f>IF('Sch2a-Imp Price by ECM'!D196="","",'Sch2a-Imp Price by ECM'!D196)</f>
        <v/>
      </c>
      <c r="C195" s="358" t="str">
        <f>IF('Sch2a-Imp Price by ECM'!G196="","",'Sch2a-Imp Price by ECM'!G196)</f>
        <v/>
      </c>
      <c r="D195" s="471"/>
      <c r="E195" s="350"/>
      <c r="F195" s="350"/>
      <c r="G195" s="350"/>
      <c r="H195" s="350"/>
      <c r="I195" s="242"/>
      <c r="J195" s="350"/>
      <c r="K195" s="350"/>
      <c r="L195" s="241"/>
      <c r="M195" s="241"/>
      <c r="N195" s="241"/>
      <c r="O195" s="235"/>
      <c r="P195" s="350"/>
      <c r="Q195" s="241"/>
      <c r="R195" s="351"/>
      <c r="S195" s="241"/>
      <c r="T195" s="351"/>
      <c r="U195" s="352"/>
      <c r="V195" s="351"/>
      <c r="W195" s="352"/>
      <c r="X195" s="383"/>
      <c r="Y195" s="352"/>
      <c r="Z195" s="349">
        <f t="shared" si="8"/>
        <v>0</v>
      </c>
      <c r="AA195" s="13">
        <f t="shared" si="9"/>
        <v>0</v>
      </c>
      <c r="AB195" s="351"/>
      <c r="AC195" s="352"/>
      <c r="AD195" s="351"/>
      <c r="AE195" s="352"/>
      <c r="AF195" s="352"/>
      <c r="AG195" s="352"/>
      <c r="AH195" s="108">
        <f t="shared" si="10"/>
        <v>0</v>
      </c>
      <c r="AI195" s="108" t="str">
        <f>IF('Sch2a-Imp Price by ECM'!C196="Yes", 0, 'Sch2a-Imp Price by ECM'!L196)</f>
        <v/>
      </c>
      <c r="AJ195" s="124" t="str">
        <f t="shared" si="11"/>
        <v/>
      </c>
      <c r="AK195" s="1" t="str">
        <f>IF('Sch2a-Imp Price by ECM'!M196="","",'Sch2a-Imp Price by ECM'!M196)</f>
        <v/>
      </c>
    </row>
    <row r="196" spans="1:37" ht="16.5" thickBot="1">
      <c r="A196" s="72" t="str">
        <f>IF('Sch2a-Imp Price by ECM'!B197="","",'Sch2a-Imp Price by ECM'!B197)</f>
        <v/>
      </c>
      <c r="B196" s="139" t="str">
        <f>IF('Sch2a-Imp Price by ECM'!D197="","",'Sch2a-Imp Price by ECM'!D197)</f>
        <v/>
      </c>
      <c r="C196" s="358" t="str">
        <f>IF('Sch2a-Imp Price by ECM'!G197="","",'Sch2a-Imp Price by ECM'!G197)</f>
        <v/>
      </c>
      <c r="D196" s="471"/>
      <c r="E196" s="350"/>
      <c r="F196" s="350"/>
      <c r="G196" s="350"/>
      <c r="H196" s="350"/>
      <c r="I196" s="242"/>
      <c r="J196" s="350"/>
      <c r="K196" s="350"/>
      <c r="L196" s="241"/>
      <c r="M196" s="241"/>
      <c r="N196" s="241"/>
      <c r="O196" s="235"/>
      <c r="P196" s="350"/>
      <c r="Q196" s="241"/>
      <c r="R196" s="351"/>
      <c r="S196" s="241"/>
      <c r="T196" s="351"/>
      <c r="U196" s="352"/>
      <c r="V196" s="351"/>
      <c r="W196" s="352"/>
      <c r="X196" s="383"/>
      <c r="Y196" s="352"/>
      <c r="Z196" s="349">
        <f t="shared" si="8"/>
        <v>0</v>
      </c>
      <c r="AA196" s="13">
        <f t="shared" si="9"/>
        <v>0</v>
      </c>
      <c r="AB196" s="351"/>
      <c r="AC196" s="352"/>
      <c r="AD196" s="351"/>
      <c r="AE196" s="352"/>
      <c r="AF196" s="352"/>
      <c r="AG196" s="352"/>
      <c r="AH196" s="108">
        <f t="shared" si="10"/>
        <v>0</v>
      </c>
      <c r="AI196" s="108" t="str">
        <f>IF('Sch2a-Imp Price by ECM'!C197="Yes", 0, 'Sch2a-Imp Price by ECM'!L197)</f>
        <v/>
      </c>
      <c r="AJ196" s="124" t="str">
        <f t="shared" si="11"/>
        <v/>
      </c>
      <c r="AK196" s="1" t="str">
        <f>IF('Sch2a-Imp Price by ECM'!M197="","",'Sch2a-Imp Price by ECM'!M197)</f>
        <v/>
      </c>
    </row>
    <row r="197" spans="1:37" ht="16.5" thickBot="1">
      <c r="A197" s="72" t="str">
        <f>IF('Sch2a-Imp Price by ECM'!B198="","",'Sch2a-Imp Price by ECM'!B198)</f>
        <v/>
      </c>
      <c r="B197" s="139" t="str">
        <f>IF('Sch2a-Imp Price by ECM'!D198="","",'Sch2a-Imp Price by ECM'!D198)</f>
        <v/>
      </c>
      <c r="C197" s="358" t="str">
        <f>IF('Sch2a-Imp Price by ECM'!G198="","",'Sch2a-Imp Price by ECM'!G198)</f>
        <v/>
      </c>
      <c r="D197" s="471"/>
      <c r="E197" s="350"/>
      <c r="F197" s="350"/>
      <c r="G197" s="350"/>
      <c r="H197" s="350"/>
      <c r="I197" s="242"/>
      <c r="J197" s="350"/>
      <c r="K197" s="350"/>
      <c r="L197" s="241"/>
      <c r="M197" s="241"/>
      <c r="N197" s="241"/>
      <c r="O197" s="235"/>
      <c r="P197" s="350"/>
      <c r="Q197" s="241"/>
      <c r="R197" s="351"/>
      <c r="S197" s="241"/>
      <c r="T197" s="351"/>
      <c r="U197" s="352"/>
      <c r="V197" s="351"/>
      <c r="W197" s="352"/>
      <c r="X197" s="383"/>
      <c r="Y197" s="352"/>
      <c r="Z197" s="349">
        <f t="shared" si="8"/>
        <v>0</v>
      </c>
      <c r="AA197" s="13">
        <f t="shared" si="9"/>
        <v>0</v>
      </c>
      <c r="AB197" s="351"/>
      <c r="AC197" s="352"/>
      <c r="AD197" s="351"/>
      <c r="AE197" s="352"/>
      <c r="AF197" s="352"/>
      <c r="AG197" s="352"/>
      <c r="AH197" s="108">
        <f t="shared" si="10"/>
        <v>0</v>
      </c>
      <c r="AI197" s="108" t="str">
        <f>IF('Sch2a-Imp Price by ECM'!C198="Yes", 0, 'Sch2a-Imp Price by ECM'!L198)</f>
        <v/>
      </c>
      <c r="AJ197" s="124" t="str">
        <f t="shared" si="11"/>
        <v/>
      </c>
      <c r="AK197" s="1" t="str">
        <f>IF('Sch2a-Imp Price by ECM'!M198="","",'Sch2a-Imp Price by ECM'!M198)</f>
        <v/>
      </c>
    </row>
    <row r="198" spans="1:37" ht="16.5" thickBot="1">
      <c r="A198" s="72" t="str">
        <f>IF('Sch2a-Imp Price by ECM'!B199="","",'Sch2a-Imp Price by ECM'!B199)</f>
        <v/>
      </c>
      <c r="B198" s="139" t="str">
        <f>IF('Sch2a-Imp Price by ECM'!D199="","",'Sch2a-Imp Price by ECM'!D199)</f>
        <v/>
      </c>
      <c r="C198" s="358" t="str">
        <f>IF('Sch2a-Imp Price by ECM'!G199="","",'Sch2a-Imp Price by ECM'!G199)</f>
        <v/>
      </c>
      <c r="D198" s="471"/>
      <c r="E198" s="350"/>
      <c r="F198" s="350"/>
      <c r="G198" s="350"/>
      <c r="H198" s="350"/>
      <c r="I198" s="242"/>
      <c r="J198" s="350"/>
      <c r="K198" s="350"/>
      <c r="L198" s="241"/>
      <c r="M198" s="241"/>
      <c r="N198" s="241"/>
      <c r="O198" s="242"/>
      <c r="P198" s="350"/>
      <c r="Q198" s="241"/>
      <c r="R198" s="351"/>
      <c r="S198" s="241"/>
      <c r="T198" s="351"/>
      <c r="U198" s="352"/>
      <c r="V198" s="351"/>
      <c r="W198" s="352"/>
      <c r="X198" s="383"/>
      <c r="Y198" s="352"/>
      <c r="Z198" s="349">
        <f t="shared" si="8"/>
        <v>0</v>
      </c>
      <c r="AA198" s="13">
        <f t="shared" si="9"/>
        <v>0</v>
      </c>
      <c r="AB198" s="351"/>
      <c r="AC198" s="352"/>
      <c r="AD198" s="351"/>
      <c r="AE198" s="352"/>
      <c r="AF198" s="352"/>
      <c r="AG198" s="352"/>
      <c r="AH198" s="108">
        <f t="shared" si="10"/>
        <v>0</v>
      </c>
      <c r="AI198" s="108" t="str">
        <f>IF('Sch2a-Imp Price by ECM'!C199="Yes", 0, 'Sch2a-Imp Price by ECM'!L199)</f>
        <v/>
      </c>
      <c r="AJ198" s="124" t="str">
        <f t="shared" si="11"/>
        <v/>
      </c>
      <c r="AK198" s="1" t="str">
        <f>IF('Sch2a-Imp Price by ECM'!M199="","",'Sch2a-Imp Price by ECM'!M199)</f>
        <v/>
      </c>
    </row>
    <row r="199" spans="1:37" ht="16.5" thickBot="1">
      <c r="A199" s="72" t="str">
        <f>IF('Sch2a-Imp Price by ECM'!B200="","",'Sch2a-Imp Price by ECM'!B200)</f>
        <v/>
      </c>
      <c r="B199" s="139" t="str">
        <f>IF('Sch2a-Imp Price by ECM'!D200="","",'Sch2a-Imp Price by ECM'!D200)</f>
        <v/>
      </c>
      <c r="C199" s="358" t="str">
        <f>IF('Sch2a-Imp Price by ECM'!G200="","",'Sch2a-Imp Price by ECM'!G200)</f>
        <v/>
      </c>
      <c r="D199" s="471"/>
      <c r="E199" s="350"/>
      <c r="F199" s="350"/>
      <c r="G199" s="350"/>
      <c r="H199" s="350"/>
      <c r="I199" s="242"/>
      <c r="J199" s="350"/>
      <c r="K199" s="350"/>
      <c r="L199" s="241"/>
      <c r="M199" s="241"/>
      <c r="N199" s="241"/>
      <c r="O199" s="242"/>
      <c r="P199" s="350"/>
      <c r="Q199" s="241"/>
      <c r="R199" s="351"/>
      <c r="S199" s="241"/>
      <c r="T199" s="351"/>
      <c r="U199" s="352"/>
      <c r="V199" s="351"/>
      <c r="W199" s="352"/>
      <c r="X199" s="383"/>
      <c r="Y199" s="352"/>
      <c r="Z199" s="349">
        <f t="shared" si="8"/>
        <v>0</v>
      </c>
      <c r="AA199" s="13">
        <f t="shared" si="9"/>
        <v>0</v>
      </c>
      <c r="AB199" s="351"/>
      <c r="AC199" s="352"/>
      <c r="AD199" s="351"/>
      <c r="AE199" s="352"/>
      <c r="AF199" s="352"/>
      <c r="AG199" s="352"/>
      <c r="AH199" s="108">
        <f t="shared" si="10"/>
        <v>0</v>
      </c>
      <c r="AI199" s="108" t="str">
        <f>IF('Sch2a-Imp Price by ECM'!C200="Yes", 0, 'Sch2a-Imp Price by ECM'!L200)</f>
        <v/>
      </c>
      <c r="AJ199" s="124" t="str">
        <f t="shared" si="11"/>
        <v/>
      </c>
      <c r="AK199" s="1" t="str">
        <f>IF('Sch2a-Imp Price by ECM'!M200="","",'Sch2a-Imp Price by ECM'!M200)</f>
        <v/>
      </c>
    </row>
    <row r="200" spans="1:37" ht="16.5" thickBot="1">
      <c r="A200" s="72" t="str">
        <f>IF('Sch2a-Imp Price by ECM'!B201="","",'Sch2a-Imp Price by ECM'!B201)</f>
        <v/>
      </c>
      <c r="B200" s="139" t="str">
        <f>IF('Sch2a-Imp Price by ECM'!D201="","",'Sch2a-Imp Price by ECM'!D201)</f>
        <v/>
      </c>
      <c r="C200" s="358" t="str">
        <f>IF('Sch2a-Imp Price by ECM'!G201="","",'Sch2a-Imp Price by ECM'!G201)</f>
        <v/>
      </c>
      <c r="D200" s="471"/>
      <c r="E200" s="350"/>
      <c r="F200" s="350"/>
      <c r="G200" s="350"/>
      <c r="H200" s="350"/>
      <c r="I200" s="242"/>
      <c r="J200" s="350"/>
      <c r="K200" s="350"/>
      <c r="L200" s="241"/>
      <c r="M200" s="241"/>
      <c r="N200" s="241"/>
      <c r="O200" s="242"/>
      <c r="P200" s="350"/>
      <c r="Q200" s="241"/>
      <c r="R200" s="351"/>
      <c r="S200" s="241"/>
      <c r="T200" s="351"/>
      <c r="U200" s="352"/>
      <c r="V200" s="351"/>
      <c r="W200" s="352"/>
      <c r="X200" s="383"/>
      <c r="Y200" s="352"/>
      <c r="Z200" s="349">
        <f t="shared" si="8"/>
        <v>0</v>
      </c>
      <c r="AA200" s="13">
        <f t="shared" si="9"/>
        <v>0</v>
      </c>
      <c r="AB200" s="351"/>
      <c r="AC200" s="352"/>
      <c r="AD200" s="351"/>
      <c r="AE200" s="352"/>
      <c r="AF200" s="352"/>
      <c r="AG200" s="352"/>
      <c r="AH200" s="108">
        <f t="shared" si="10"/>
        <v>0</v>
      </c>
      <c r="AI200" s="108" t="str">
        <f>IF('Sch2a-Imp Price by ECM'!C201="Yes", 0, 'Sch2a-Imp Price by ECM'!L201)</f>
        <v/>
      </c>
      <c r="AJ200" s="124" t="str">
        <f t="shared" si="11"/>
        <v/>
      </c>
      <c r="AK200" s="1" t="str">
        <f>IF('Sch2a-Imp Price by ECM'!M201="","",'Sch2a-Imp Price by ECM'!M201)</f>
        <v/>
      </c>
    </row>
    <row r="201" spans="1:37" ht="16.5" thickBot="1">
      <c r="A201" s="72" t="str">
        <f>IF('Sch2a-Imp Price by ECM'!B202="","",'Sch2a-Imp Price by ECM'!B202)</f>
        <v/>
      </c>
      <c r="B201" s="139" t="str">
        <f>IF('Sch2a-Imp Price by ECM'!D202="","",'Sch2a-Imp Price by ECM'!D202)</f>
        <v/>
      </c>
      <c r="C201" s="358" t="str">
        <f>IF('Sch2a-Imp Price by ECM'!G202="","",'Sch2a-Imp Price by ECM'!G202)</f>
        <v/>
      </c>
      <c r="D201" s="471"/>
      <c r="E201" s="350"/>
      <c r="F201" s="350"/>
      <c r="G201" s="350"/>
      <c r="H201" s="350"/>
      <c r="I201" s="242"/>
      <c r="J201" s="350"/>
      <c r="K201" s="350"/>
      <c r="L201" s="241"/>
      <c r="M201" s="241"/>
      <c r="N201" s="241"/>
      <c r="O201" s="242"/>
      <c r="P201" s="350"/>
      <c r="Q201" s="241"/>
      <c r="R201" s="351"/>
      <c r="S201" s="241"/>
      <c r="T201" s="351"/>
      <c r="U201" s="352"/>
      <c r="V201" s="351"/>
      <c r="W201" s="352"/>
      <c r="X201" s="383"/>
      <c r="Y201" s="352"/>
      <c r="Z201" s="349">
        <f t="shared" ref="Z201:Z257" si="12">(P201*3412/10^6)+T201+V201+X201</f>
        <v>0</v>
      </c>
      <c r="AA201" s="13">
        <f t="shared" ref="AA201:AA257" si="13">Q201+S201+W201+Y201+U201</f>
        <v>0</v>
      </c>
      <c r="AB201" s="351"/>
      <c r="AC201" s="352"/>
      <c r="AD201" s="351"/>
      <c r="AE201" s="352"/>
      <c r="AF201" s="352"/>
      <c r="AG201" s="352"/>
      <c r="AH201" s="108">
        <f t="shared" ref="AH201:AH257" si="14">AA201+AC201+AF201+AE201+AG201</f>
        <v>0</v>
      </c>
      <c r="AI201" s="108" t="str">
        <f>IF('Sch2a-Imp Price by ECM'!C202="Yes", 0, 'Sch2a-Imp Price by ECM'!L202)</f>
        <v/>
      </c>
      <c r="AJ201" s="124" t="str">
        <f t="shared" ref="AJ201:AJ258" si="15">IF(AI201="","",AI201/AH201)</f>
        <v/>
      </c>
      <c r="AK201" s="1" t="str">
        <f>IF('Sch2a-Imp Price by ECM'!M202="","",'Sch2a-Imp Price by ECM'!M202)</f>
        <v/>
      </c>
    </row>
    <row r="202" spans="1:37" ht="18" customHeight="1" thickBot="1">
      <c r="A202" s="72" t="str">
        <f>IF('Sch2a-Imp Price by ECM'!B203="","",'Sch2a-Imp Price by ECM'!B203)</f>
        <v/>
      </c>
      <c r="B202" s="139" t="str">
        <f>IF('Sch2a-Imp Price by ECM'!D203="","",'Sch2a-Imp Price by ECM'!D203)</f>
        <v/>
      </c>
      <c r="C202" s="358" t="str">
        <f>IF('Sch2a-Imp Price by ECM'!G203="","",'Sch2a-Imp Price by ECM'!G203)</f>
        <v/>
      </c>
      <c r="D202" s="471"/>
      <c r="E202" s="350"/>
      <c r="F202" s="350"/>
      <c r="G202" s="350"/>
      <c r="H202" s="350"/>
      <c r="I202" s="242"/>
      <c r="J202" s="350"/>
      <c r="K202" s="350"/>
      <c r="L202" s="241"/>
      <c r="M202" s="241"/>
      <c r="N202" s="241"/>
      <c r="O202" s="242"/>
      <c r="P202" s="350"/>
      <c r="Q202" s="241"/>
      <c r="R202" s="351"/>
      <c r="S202" s="241"/>
      <c r="T202" s="351"/>
      <c r="U202" s="352"/>
      <c r="V202" s="351"/>
      <c r="W202" s="352"/>
      <c r="X202" s="383"/>
      <c r="Y202" s="352"/>
      <c r="Z202" s="349">
        <f t="shared" si="12"/>
        <v>0</v>
      </c>
      <c r="AA202" s="13">
        <f t="shared" si="13"/>
        <v>0</v>
      </c>
      <c r="AB202" s="351"/>
      <c r="AC202" s="352"/>
      <c r="AD202" s="351"/>
      <c r="AE202" s="352"/>
      <c r="AF202" s="352"/>
      <c r="AG202" s="352"/>
      <c r="AH202" s="108">
        <f t="shared" si="14"/>
        <v>0</v>
      </c>
      <c r="AI202" s="108" t="str">
        <f>IF('Sch2a-Imp Price by ECM'!C203="Yes", 0, 'Sch2a-Imp Price by ECM'!L203)</f>
        <v/>
      </c>
      <c r="AJ202" s="124" t="str">
        <f t="shared" si="15"/>
        <v/>
      </c>
      <c r="AK202" s="1" t="str">
        <f>IF('Sch2a-Imp Price by ECM'!M203="","",'Sch2a-Imp Price by ECM'!M203)</f>
        <v/>
      </c>
    </row>
    <row r="203" spans="1:37" ht="16.5" thickBot="1">
      <c r="A203" s="72" t="str">
        <f>IF('Sch2a-Imp Price by ECM'!B204="","",'Sch2a-Imp Price by ECM'!B204)</f>
        <v/>
      </c>
      <c r="B203" s="139" t="str">
        <f>IF('Sch2a-Imp Price by ECM'!D204="","",'Sch2a-Imp Price by ECM'!D204)</f>
        <v/>
      </c>
      <c r="C203" s="358" t="str">
        <f>IF('Sch2a-Imp Price by ECM'!G204="","",'Sch2a-Imp Price by ECM'!G204)</f>
        <v/>
      </c>
      <c r="D203" s="471"/>
      <c r="E203" s="350"/>
      <c r="F203" s="350"/>
      <c r="G203" s="350"/>
      <c r="H203" s="350"/>
      <c r="I203" s="242"/>
      <c r="J203" s="350"/>
      <c r="K203" s="350"/>
      <c r="L203" s="241"/>
      <c r="M203" s="241"/>
      <c r="N203" s="241"/>
      <c r="O203" s="242"/>
      <c r="P203" s="350"/>
      <c r="Q203" s="241"/>
      <c r="R203" s="351"/>
      <c r="S203" s="241"/>
      <c r="T203" s="351"/>
      <c r="U203" s="352"/>
      <c r="V203" s="351"/>
      <c r="W203" s="352"/>
      <c r="X203" s="383"/>
      <c r="Y203" s="352"/>
      <c r="Z203" s="349">
        <f t="shared" si="12"/>
        <v>0</v>
      </c>
      <c r="AA203" s="13">
        <f t="shared" si="13"/>
        <v>0</v>
      </c>
      <c r="AB203" s="351"/>
      <c r="AC203" s="352"/>
      <c r="AD203" s="351"/>
      <c r="AE203" s="352"/>
      <c r="AF203" s="352"/>
      <c r="AG203" s="352"/>
      <c r="AH203" s="108">
        <f t="shared" si="14"/>
        <v>0</v>
      </c>
      <c r="AI203" s="108" t="str">
        <f>IF('Sch2a-Imp Price by ECM'!C204="Yes", 0, 'Sch2a-Imp Price by ECM'!L204)</f>
        <v/>
      </c>
      <c r="AJ203" s="124" t="str">
        <f t="shared" si="15"/>
        <v/>
      </c>
      <c r="AK203" s="1" t="str">
        <f>IF('Sch2a-Imp Price by ECM'!M204="","",'Sch2a-Imp Price by ECM'!M204)</f>
        <v/>
      </c>
    </row>
    <row r="204" spans="1:37" ht="16.5" thickBot="1">
      <c r="A204" s="72" t="str">
        <f>IF('Sch2a-Imp Price by ECM'!B205="","",'Sch2a-Imp Price by ECM'!B205)</f>
        <v/>
      </c>
      <c r="B204" s="139" t="str">
        <f>IF('Sch2a-Imp Price by ECM'!D205="","",'Sch2a-Imp Price by ECM'!D205)</f>
        <v/>
      </c>
      <c r="C204" s="358" t="str">
        <f>IF('Sch2a-Imp Price by ECM'!G205="","",'Sch2a-Imp Price by ECM'!G205)</f>
        <v/>
      </c>
      <c r="D204" s="471"/>
      <c r="E204" s="350"/>
      <c r="F204" s="350"/>
      <c r="G204" s="350"/>
      <c r="H204" s="350"/>
      <c r="I204" s="242"/>
      <c r="J204" s="350"/>
      <c r="K204" s="350"/>
      <c r="L204" s="241"/>
      <c r="M204" s="241"/>
      <c r="N204" s="241"/>
      <c r="O204" s="242"/>
      <c r="P204" s="350"/>
      <c r="Q204" s="241"/>
      <c r="R204" s="351"/>
      <c r="S204" s="241"/>
      <c r="T204" s="351"/>
      <c r="U204" s="352"/>
      <c r="V204" s="351"/>
      <c r="W204" s="352"/>
      <c r="X204" s="383"/>
      <c r="Y204" s="352"/>
      <c r="Z204" s="349">
        <f t="shared" si="12"/>
        <v>0</v>
      </c>
      <c r="AA204" s="13">
        <f t="shared" si="13"/>
        <v>0</v>
      </c>
      <c r="AB204" s="351"/>
      <c r="AC204" s="352"/>
      <c r="AD204" s="351"/>
      <c r="AE204" s="352"/>
      <c r="AF204" s="352"/>
      <c r="AG204" s="352"/>
      <c r="AH204" s="108">
        <f t="shared" si="14"/>
        <v>0</v>
      </c>
      <c r="AI204" s="108" t="str">
        <f>IF('Sch2a-Imp Price by ECM'!C205="Yes", 0, 'Sch2a-Imp Price by ECM'!L205)</f>
        <v/>
      </c>
      <c r="AJ204" s="124" t="str">
        <f t="shared" si="15"/>
        <v/>
      </c>
      <c r="AK204" s="1" t="str">
        <f>IF('Sch2a-Imp Price by ECM'!M205="","",'Sch2a-Imp Price by ECM'!M205)</f>
        <v/>
      </c>
    </row>
    <row r="205" spans="1:37" ht="16.5" thickBot="1">
      <c r="A205" s="72" t="str">
        <f>IF('Sch2a-Imp Price by ECM'!B206="","",'Sch2a-Imp Price by ECM'!B206)</f>
        <v/>
      </c>
      <c r="B205" s="139" t="str">
        <f>IF('Sch2a-Imp Price by ECM'!D206="","",'Sch2a-Imp Price by ECM'!D206)</f>
        <v/>
      </c>
      <c r="C205" s="358" t="str">
        <f>IF('Sch2a-Imp Price by ECM'!G206="","",'Sch2a-Imp Price by ECM'!G206)</f>
        <v/>
      </c>
      <c r="D205" s="471"/>
      <c r="E205" s="350"/>
      <c r="F205" s="350"/>
      <c r="G205" s="350"/>
      <c r="H205" s="350"/>
      <c r="I205" s="242"/>
      <c r="J205" s="350"/>
      <c r="K205" s="350"/>
      <c r="L205" s="241"/>
      <c r="M205" s="241"/>
      <c r="N205" s="241"/>
      <c r="O205" s="235"/>
      <c r="P205" s="350"/>
      <c r="Q205" s="241"/>
      <c r="R205" s="351"/>
      <c r="S205" s="241"/>
      <c r="T205" s="351"/>
      <c r="U205" s="352"/>
      <c r="V205" s="351"/>
      <c r="W205" s="352"/>
      <c r="X205" s="383"/>
      <c r="Y205" s="352"/>
      <c r="Z205" s="349">
        <f t="shared" si="12"/>
        <v>0</v>
      </c>
      <c r="AA205" s="13">
        <f t="shared" si="13"/>
        <v>0</v>
      </c>
      <c r="AB205" s="351"/>
      <c r="AC205" s="352"/>
      <c r="AD205" s="351"/>
      <c r="AE205" s="352"/>
      <c r="AF205" s="352"/>
      <c r="AG205" s="352"/>
      <c r="AH205" s="108">
        <f t="shared" si="14"/>
        <v>0</v>
      </c>
      <c r="AI205" s="108" t="str">
        <f>IF('Sch2a-Imp Price by ECM'!C206="Yes", 0, 'Sch2a-Imp Price by ECM'!L206)</f>
        <v/>
      </c>
      <c r="AJ205" s="124" t="str">
        <f t="shared" si="15"/>
        <v/>
      </c>
      <c r="AK205" s="1" t="str">
        <f>IF('Sch2a-Imp Price by ECM'!M206="","",'Sch2a-Imp Price by ECM'!M206)</f>
        <v/>
      </c>
    </row>
    <row r="206" spans="1:37" ht="16.5" thickBot="1">
      <c r="A206" s="72" t="str">
        <f>IF('Sch2a-Imp Price by ECM'!B207="","",'Sch2a-Imp Price by ECM'!B207)</f>
        <v/>
      </c>
      <c r="B206" s="139" t="str">
        <f>IF('Sch2a-Imp Price by ECM'!D207="","",'Sch2a-Imp Price by ECM'!D207)</f>
        <v/>
      </c>
      <c r="C206" s="358" t="str">
        <f>IF('Sch2a-Imp Price by ECM'!G207="","",'Sch2a-Imp Price by ECM'!G207)</f>
        <v/>
      </c>
      <c r="D206" s="471"/>
      <c r="E206" s="350"/>
      <c r="F206" s="350"/>
      <c r="G206" s="350"/>
      <c r="H206" s="350"/>
      <c r="I206" s="242"/>
      <c r="J206" s="350"/>
      <c r="K206" s="350"/>
      <c r="L206" s="241"/>
      <c r="M206" s="241"/>
      <c r="N206" s="241"/>
      <c r="O206" s="235"/>
      <c r="P206" s="350"/>
      <c r="Q206" s="241"/>
      <c r="R206" s="351"/>
      <c r="S206" s="241"/>
      <c r="T206" s="351"/>
      <c r="U206" s="352"/>
      <c r="V206" s="351"/>
      <c r="W206" s="352"/>
      <c r="X206" s="383"/>
      <c r="Y206" s="352"/>
      <c r="Z206" s="349">
        <f t="shared" si="12"/>
        <v>0</v>
      </c>
      <c r="AA206" s="13">
        <f t="shared" si="13"/>
        <v>0</v>
      </c>
      <c r="AB206" s="351"/>
      <c r="AC206" s="352"/>
      <c r="AD206" s="351"/>
      <c r="AE206" s="352"/>
      <c r="AF206" s="352"/>
      <c r="AG206" s="352"/>
      <c r="AH206" s="108">
        <f t="shared" si="14"/>
        <v>0</v>
      </c>
      <c r="AI206" s="108" t="str">
        <f>IF('Sch2a-Imp Price by ECM'!C207="Yes", 0, 'Sch2a-Imp Price by ECM'!L207)</f>
        <v/>
      </c>
      <c r="AJ206" s="124" t="str">
        <f t="shared" si="15"/>
        <v/>
      </c>
      <c r="AK206" s="1" t="str">
        <f>IF('Sch2a-Imp Price by ECM'!M207="","",'Sch2a-Imp Price by ECM'!M207)</f>
        <v/>
      </c>
    </row>
    <row r="207" spans="1:37" ht="16.5" thickBot="1">
      <c r="A207" s="72" t="str">
        <f>IF('Sch2a-Imp Price by ECM'!B208="","",'Sch2a-Imp Price by ECM'!B208)</f>
        <v/>
      </c>
      <c r="B207" s="139" t="str">
        <f>IF('Sch2a-Imp Price by ECM'!D208="","",'Sch2a-Imp Price by ECM'!D208)</f>
        <v/>
      </c>
      <c r="C207" s="358" t="str">
        <f>IF('Sch2a-Imp Price by ECM'!G208="","",'Sch2a-Imp Price by ECM'!G208)</f>
        <v/>
      </c>
      <c r="D207" s="471"/>
      <c r="E207" s="350"/>
      <c r="F207" s="350"/>
      <c r="G207" s="350"/>
      <c r="H207" s="350"/>
      <c r="I207" s="242"/>
      <c r="J207" s="350"/>
      <c r="K207" s="350"/>
      <c r="L207" s="241"/>
      <c r="M207" s="241"/>
      <c r="N207" s="241"/>
      <c r="O207" s="235"/>
      <c r="P207" s="350"/>
      <c r="Q207" s="241"/>
      <c r="R207" s="351"/>
      <c r="S207" s="241"/>
      <c r="T207" s="351"/>
      <c r="U207" s="352"/>
      <c r="V207" s="351"/>
      <c r="W207" s="352"/>
      <c r="X207" s="383"/>
      <c r="Y207" s="352"/>
      <c r="Z207" s="349">
        <f t="shared" si="12"/>
        <v>0</v>
      </c>
      <c r="AA207" s="13">
        <f t="shared" si="13"/>
        <v>0</v>
      </c>
      <c r="AB207" s="351"/>
      <c r="AC207" s="352"/>
      <c r="AD207" s="351"/>
      <c r="AE207" s="352"/>
      <c r="AF207" s="352"/>
      <c r="AG207" s="352"/>
      <c r="AH207" s="108">
        <f t="shared" si="14"/>
        <v>0</v>
      </c>
      <c r="AI207" s="108" t="str">
        <f>IF('Sch2a-Imp Price by ECM'!C208="Yes", 0, 'Sch2a-Imp Price by ECM'!L208)</f>
        <v/>
      </c>
      <c r="AJ207" s="124" t="str">
        <f t="shared" si="15"/>
        <v/>
      </c>
      <c r="AK207" s="1" t="str">
        <f>IF('Sch2a-Imp Price by ECM'!M208="","",'Sch2a-Imp Price by ECM'!M208)</f>
        <v/>
      </c>
    </row>
    <row r="208" spans="1:37" ht="16.5" thickBot="1">
      <c r="A208" s="72" t="str">
        <f>IF('Sch2a-Imp Price by ECM'!B209="","",'Sch2a-Imp Price by ECM'!B209)</f>
        <v/>
      </c>
      <c r="B208" s="139" t="str">
        <f>IF('Sch2a-Imp Price by ECM'!D209="","",'Sch2a-Imp Price by ECM'!D209)</f>
        <v/>
      </c>
      <c r="C208" s="358" t="str">
        <f>IF('Sch2a-Imp Price by ECM'!G209="","",'Sch2a-Imp Price by ECM'!G209)</f>
        <v/>
      </c>
      <c r="D208" s="471"/>
      <c r="E208" s="350"/>
      <c r="F208" s="350"/>
      <c r="G208" s="350"/>
      <c r="H208" s="350"/>
      <c r="I208" s="242"/>
      <c r="J208" s="350"/>
      <c r="K208" s="350"/>
      <c r="L208" s="241"/>
      <c r="M208" s="241"/>
      <c r="N208" s="241"/>
      <c r="O208" s="235"/>
      <c r="P208" s="350"/>
      <c r="Q208" s="241"/>
      <c r="R208" s="351"/>
      <c r="S208" s="241"/>
      <c r="T208" s="351"/>
      <c r="U208" s="352"/>
      <c r="V208" s="351"/>
      <c r="W208" s="352"/>
      <c r="X208" s="383"/>
      <c r="Y208" s="352"/>
      <c r="Z208" s="349">
        <f t="shared" si="12"/>
        <v>0</v>
      </c>
      <c r="AA208" s="13">
        <f t="shared" si="13"/>
        <v>0</v>
      </c>
      <c r="AB208" s="351"/>
      <c r="AC208" s="352"/>
      <c r="AD208" s="351"/>
      <c r="AE208" s="352"/>
      <c r="AF208" s="352"/>
      <c r="AG208" s="352"/>
      <c r="AH208" s="108">
        <f t="shared" si="14"/>
        <v>0</v>
      </c>
      <c r="AI208" s="108" t="str">
        <f>IF('Sch2a-Imp Price by ECM'!C209="Yes", 0, 'Sch2a-Imp Price by ECM'!L209)</f>
        <v/>
      </c>
      <c r="AJ208" s="124" t="str">
        <f t="shared" si="15"/>
        <v/>
      </c>
      <c r="AK208" s="1" t="str">
        <f>IF('Sch2a-Imp Price by ECM'!M209="","",'Sch2a-Imp Price by ECM'!M209)</f>
        <v/>
      </c>
    </row>
    <row r="209" spans="1:37" ht="16.5" thickBot="1">
      <c r="A209" s="72" t="str">
        <f>IF('Sch2a-Imp Price by ECM'!B210="","",'Sch2a-Imp Price by ECM'!B210)</f>
        <v/>
      </c>
      <c r="B209" s="139" t="str">
        <f>IF('Sch2a-Imp Price by ECM'!D210="","",'Sch2a-Imp Price by ECM'!D210)</f>
        <v/>
      </c>
      <c r="C209" s="358" t="str">
        <f>IF('Sch2a-Imp Price by ECM'!G210="","",'Sch2a-Imp Price by ECM'!G210)</f>
        <v/>
      </c>
      <c r="D209" s="471"/>
      <c r="E209" s="350"/>
      <c r="F209" s="350"/>
      <c r="G209" s="350"/>
      <c r="H209" s="350"/>
      <c r="I209" s="242"/>
      <c r="J209" s="350"/>
      <c r="K209" s="350"/>
      <c r="L209" s="241"/>
      <c r="M209" s="241"/>
      <c r="N209" s="241"/>
      <c r="O209" s="235"/>
      <c r="P209" s="350"/>
      <c r="Q209" s="241"/>
      <c r="R209" s="351"/>
      <c r="S209" s="241"/>
      <c r="T209" s="351"/>
      <c r="U209" s="352"/>
      <c r="V209" s="351"/>
      <c r="W209" s="352"/>
      <c r="X209" s="383"/>
      <c r="Y209" s="352"/>
      <c r="Z209" s="349">
        <f t="shared" si="12"/>
        <v>0</v>
      </c>
      <c r="AA209" s="13">
        <f t="shared" si="13"/>
        <v>0</v>
      </c>
      <c r="AB209" s="351"/>
      <c r="AC209" s="352"/>
      <c r="AD209" s="351"/>
      <c r="AE209" s="352"/>
      <c r="AF209" s="352"/>
      <c r="AG209" s="352"/>
      <c r="AH209" s="108">
        <f t="shared" si="14"/>
        <v>0</v>
      </c>
      <c r="AI209" s="108" t="str">
        <f>IF('Sch2a-Imp Price by ECM'!C210="Yes", 0, 'Sch2a-Imp Price by ECM'!L210)</f>
        <v/>
      </c>
      <c r="AJ209" s="124" t="str">
        <f t="shared" si="15"/>
        <v/>
      </c>
      <c r="AK209" s="1" t="str">
        <f>IF('Sch2a-Imp Price by ECM'!M210="","",'Sch2a-Imp Price by ECM'!M210)</f>
        <v/>
      </c>
    </row>
    <row r="210" spans="1:37" ht="16.5" thickBot="1">
      <c r="A210" s="72" t="str">
        <f>IF('Sch2a-Imp Price by ECM'!B211="","",'Sch2a-Imp Price by ECM'!B211)</f>
        <v/>
      </c>
      <c r="B210" s="139" t="str">
        <f>IF('Sch2a-Imp Price by ECM'!D211="","",'Sch2a-Imp Price by ECM'!D211)</f>
        <v/>
      </c>
      <c r="C210" s="358" t="str">
        <f>IF('Sch2a-Imp Price by ECM'!G211="","",'Sch2a-Imp Price by ECM'!G211)</f>
        <v/>
      </c>
      <c r="D210" s="471"/>
      <c r="E210" s="350"/>
      <c r="F210" s="350"/>
      <c r="G210" s="350"/>
      <c r="H210" s="350"/>
      <c r="I210" s="242"/>
      <c r="J210" s="350"/>
      <c r="K210" s="350"/>
      <c r="L210" s="241"/>
      <c r="M210" s="241"/>
      <c r="N210" s="241"/>
      <c r="O210" s="235"/>
      <c r="P210" s="350"/>
      <c r="Q210" s="241"/>
      <c r="R210" s="351"/>
      <c r="S210" s="241"/>
      <c r="T210" s="351"/>
      <c r="U210" s="352"/>
      <c r="V210" s="351"/>
      <c r="W210" s="352"/>
      <c r="X210" s="383"/>
      <c r="Y210" s="352"/>
      <c r="Z210" s="349">
        <f t="shared" si="12"/>
        <v>0</v>
      </c>
      <c r="AA210" s="13">
        <f t="shared" si="13"/>
        <v>0</v>
      </c>
      <c r="AB210" s="351"/>
      <c r="AC210" s="352"/>
      <c r="AD210" s="351"/>
      <c r="AE210" s="352"/>
      <c r="AF210" s="352"/>
      <c r="AG210" s="352"/>
      <c r="AH210" s="108">
        <f t="shared" si="14"/>
        <v>0</v>
      </c>
      <c r="AI210" s="108" t="str">
        <f>IF('Sch2a-Imp Price by ECM'!C211="Yes", 0, 'Sch2a-Imp Price by ECM'!L211)</f>
        <v/>
      </c>
      <c r="AJ210" s="124" t="str">
        <f t="shared" si="15"/>
        <v/>
      </c>
      <c r="AK210" s="1" t="str">
        <f>IF('Sch2a-Imp Price by ECM'!M211="","",'Sch2a-Imp Price by ECM'!M211)</f>
        <v/>
      </c>
    </row>
    <row r="211" spans="1:37" ht="16.5" thickBot="1">
      <c r="A211" s="72" t="str">
        <f>IF('Sch2a-Imp Price by ECM'!B212="","",'Sch2a-Imp Price by ECM'!B212)</f>
        <v/>
      </c>
      <c r="B211" s="139" t="str">
        <f>IF('Sch2a-Imp Price by ECM'!D212="","",'Sch2a-Imp Price by ECM'!D212)</f>
        <v/>
      </c>
      <c r="C211" s="358" t="str">
        <f>IF('Sch2a-Imp Price by ECM'!G212="","",'Sch2a-Imp Price by ECM'!G212)</f>
        <v/>
      </c>
      <c r="D211" s="471"/>
      <c r="E211" s="350"/>
      <c r="F211" s="350"/>
      <c r="G211" s="350"/>
      <c r="H211" s="350"/>
      <c r="I211" s="242"/>
      <c r="J211" s="350"/>
      <c r="K211" s="350"/>
      <c r="L211" s="241"/>
      <c r="M211" s="241"/>
      <c r="N211" s="241"/>
      <c r="O211" s="235"/>
      <c r="P211" s="350"/>
      <c r="Q211" s="241"/>
      <c r="R211" s="351"/>
      <c r="S211" s="241"/>
      <c r="T211" s="351"/>
      <c r="U211" s="352"/>
      <c r="V211" s="351"/>
      <c r="W211" s="352"/>
      <c r="X211" s="383"/>
      <c r="Y211" s="352"/>
      <c r="Z211" s="349">
        <f t="shared" si="12"/>
        <v>0</v>
      </c>
      <c r="AA211" s="13">
        <f t="shared" si="13"/>
        <v>0</v>
      </c>
      <c r="AB211" s="351"/>
      <c r="AC211" s="352"/>
      <c r="AD211" s="351"/>
      <c r="AE211" s="352"/>
      <c r="AF211" s="352"/>
      <c r="AG211" s="352"/>
      <c r="AH211" s="108">
        <f t="shared" si="14"/>
        <v>0</v>
      </c>
      <c r="AI211" s="108" t="str">
        <f>IF('Sch2a-Imp Price by ECM'!C212="Yes", 0, 'Sch2a-Imp Price by ECM'!L212)</f>
        <v/>
      </c>
      <c r="AJ211" s="124" t="str">
        <f t="shared" si="15"/>
        <v/>
      </c>
      <c r="AK211" s="1" t="str">
        <f>IF('Sch2a-Imp Price by ECM'!M212="","",'Sch2a-Imp Price by ECM'!M212)</f>
        <v/>
      </c>
    </row>
    <row r="212" spans="1:37" ht="16.5" thickBot="1">
      <c r="A212" s="72" t="str">
        <f>IF('Sch2a-Imp Price by ECM'!B213="","",'Sch2a-Imp Price by ECM'!B213)</f>
        <v/>
      </c>
      <c r="B212" s="139" t="str">
        <f>IF('Sch2a-Imp Price by ECM'!D213="","",'Sch2a-Imp Price by ECM'!D213)</f>
        <v/>
      </c>
      <c r="C212" s="358" t="str">
        <f>IF('Sch2a-Imp Price by ECM'!G213="","",'Sch2a-Imp Price by ECM'!G213)</f>
        <v/>
      </c>
      <c r="D212" s="471"/>
      <c r="E212" s="350"/>
      <c r="F212" s="350"/>
      <c r="G212" s="350"/>
      <c r="H212" s="350"/>
      <c r="I212" s="242"/>
      <c r="J212" s="350"/>
      <c r="K212" s="350"/>
      <c r="L212" s="241"/>
      <c r="M212" s="241"/>
      <c r="N212" s="241"/>
      <c r="O212" s="235"/>
      <c r="P212" s="350"/>
      <c r="Q212" s="241"/>
      <c r="R212" s="351"/>
      <c r="S212" s="241"/>
      <c r="T212" s="351"/>
      <c r="U212" s="352"/>
      <c r="V212" s="351"/>
      <c r="W212" s="352"/>
      <c r="X212" s="383"/>
      <c r="Y212" s="352"/>
      <c r="Z212" s="349">
        <f t="shared" si="12"/>
        <v>0</v>
      </c>
      <c r="AA212" s="13">
        <f t="shared" si="13"/>
        <v>0</v>
      </c>
      <c r="AB212" s="351"/>
      <c r="AC212" s="352"/>
      <c r="AD212" s="351"/>
      <c r="AE212" s="352"/>
      <c r="AF212" s="352"/>
      <c r="AG212" s="352"/>
      <c r="AH212" s="108">
        <f t="shared" si="14"/>
        <v>0</v>
      </c>
      <c r="AI212" s="108" t="str">
        <f>IF('Sch2a-Imp Price by ECM'!C213="Yes", 0, 'Sch2a-Imp Price by ECM'!L213)</f>
        <v/>
      </c>
      <c r="AJ212" s="124" t="str">
        <f t="shared" si="15"/>
        <v/>
      </c>
      <c r="AK212" s="1" t="str">
        <f>IF('Sch2a-Imp Price by ECM'!M213="","",'Sch2a-Imp Price by ECM'!M213)</f>
        <v/>
      </c>
    </row>
    <row r="213" spans="1:37" ht="16.5" thickBot="1">
      <c r="A213" s="72" t="str">
        <f>IF('Sch2a-Imp Price by ECM'!B214="","",'Sch2a-Imp Price by ECM'!B214)</f>
        <v/>
      </c>
      <c r="B213" s="139" t="str">
        <f>IF('Sch2a-Imp Price by ECM'!D214="","",'Sch2a-Imp Price by ECM'!D214)</f>
        <v/>
      </c>
      <c r="C213" s="358" t="str">
        <f>IF('Sch2a-Imp Price by ECM'!G214="","",'Sch2a-Imp Price by ECM'!G214)</f>
        <v/>
      </c>
      <c r="D213" s="471"/>
      <c r="E213" s="350"/>
      <c r="F213" s="350"/>
      <c r="G213" s="350"/>
      <c r="H213" s="350"/>
      <c r="I213" s="242"/>
      <c r="J213" s="350"/>
      <c r="K213" s="350"/>
      <c r="L213" s="241"/>
      <c r="M213" s="241"/>
      <c r="N213" s="241"/>
      <c r="O213" s="235"/>
      <c r="P213" s="350"/>
      <c r="Q213" s="241"/>
      <c r="R213" s="351"/>
      <c r="S213" s="241"/>
      <c r="T213" s="351"/>
      <c r="U213" s="352"/>
      <c r="V213" s="351"/>
      <c r="W213" s="352"/>
      <c r="X213" s="383"/>
      <c r="Y213" s="352"/>
      <c r="Z213" s="349">
        <f t="shared" si="12"/>
        <v>0</v>
      </c>
      <c r="AA213" s="13">
        <f t="shared" si="13"/>
        <v>0</v>
      </c>
      <c r="AB213" s="351"/>
      <c r="AC213" s="352"/>
      <c r="AD213" s="351"/>
      <c r="AE213" s="352"/>
      <c r="AF213" s="352"/>
      <c r="AG213" s="352"/>
      <c r="AH213" s="108">
        <f t="shared" si="14"/>
        <v>0</v>
      </c>
      <c r="AI213" s="108" t="str">
        <f>IF('Sch2a-Imp Price by ECM'!C214="Yes", 0, 'Sch2a-Imp Price by ECM'!L214)</f>
        <v/>
      </c>
      <c r="AJ213" s="124" t="str">
        <f t="shared" si="15"/>
        <v/>
      </c>
      <c r="AK213" s="1" t="str">
        <f>IF('Sch2a-Imp Price by ECM'!M214="","",'Sch2a-Imp Price by ECM'!M214)</f>
        <v/>
      </c>
    </row>
    <row r="214" spans="1:37" ht="16.5" thickBot="1">
      <c r="A214" s="72" t="str">
        <f>IF('Sch2a-Imp Price by ECM'!B215="","",'Sch2a-Imp Price by ECM'!B215)</f>
        <v/>
      </c>
      <c r="B214" s="139" t="str">
        <f>IF('Sch2a-Imp Price by ECM'!D215="","",'Sch2a-Imp Price by ECM'!D215)</f>
        <v/>
      </c>
      <c r="C214" s="358" t="str">
        <f>IF('Sch2a-Imp Price by ECM'!G215="","",'Sch2a-Imp Price by ECM'!G215)</f>
        <v/>
      </c>
      <c r="D214" s="471"/>
      <c r="E214" s="350"/>
      <c r="F214" s="350"/>
      <c r="G214" s="350"/>
      <c r="H214" s="350"/>
      <c r="I214" s="242"/>
      <c r="J214" s="350"/>
      <c r="K214" s="350"/>
      <c r="L214" s="241"/>
      <c r="M214" s="241"/>
      <c r="N214" s="241"/>
      <c r="O214" s="235"/>
      <c r="P214" s="350"/>
      <c r="Q214" s="241"/>
      <c r="R214" s="351"/>
      <c r="S214" s="241"/>
      <c r="T214" s="351"/>
      <c r="U214" s="352"/>
      <c r="V214" s="351"/>
      <c r="W214" s="352"/>
      <c r="X214" s="383"/>
      <c r="Y214" s="352"/>
      <c r="Z214" s="349">
        <f t="shared" si="12"/>
        <v>0</v>
      </c>
      <c r="AA214" s="13">
        <f t="shared" si="13"/>
        <v>0</v>
      </c>
      <c r="AB214" s="351"/>
      <c r="AC214" s="352"/>
      <c r="AD214" s="351"/>
      <c r="AE214" s="352"/>
      <c r="AF214" s="352"/>
      <c r="AG214" s="352"/>
      <c r="AH214" s="108">
        <f t="shared" si="14"/>
        <v>0</v>
      </c>
      <c r="AI214" s="108" t="str">
        <f>IF('Sch2a-Imp Price by ECM'!C215="Yes", 0, 'Sch2a-Imp Price by ECM'!L215)</f>
        <v/>
      </c>
      <c r="AJ214" s="124" t="str">
        <f t="shared" si="15"/>
        <v/>
      </c>
      <c r="AK214" s="1" t="str">
        <f>IF('Sch2a-Imp Price by ECM'!M215="","",'Sch2a-Imp Price by ECM'!M215)</f>
        <v/>
      </c>
    </row>
    <row r="215" spans="1:37" ht="16.5" thickBot="1">
      <c r="A215" s="72" t="str">
        <f>IF('Sch2a-Imp Price by ECM'!B216="","",'Sch2a-Imp Price by ECM'!B216)</f>
        <v/>
      </c>
      <c r="B215" s="139" t="str">
        <f>IF('Sch2a-Imp Price by ECM'!D216="","",'Sch2a-Imp Price by ECM'!D216)</f>
        <v/>
      </c>
      <c r="C215" s="358" t="str">
        <f>IF('Sch2a-Imp Price by ECM'!G216="","",'Sch2a-Imp Price by ECM'!G216)</f>
        <v/>
      </c>
      <c r="D215" s="471"/>
      <c r="E215" s="350"/>
      <c r="F215" s="350"/>
      <c r="G215" s="350"/>
      <c r="H215" s="350"/>
      <c r="I215" s="242"/>
      <c r="J215" s="350"/>
      <c r="K215" s="350"/>
      <c r="L215" s="241"/>
      <c r="M215" s="241"/>
      <c r="N215" s="241"/>
      <c r="O215" s="235"/>
      <c r="P215" s="350"/>
      <c r="Q215" s="241"/>
      <c r="R215" s="351"/>
      <c r="S215" s="241"/>
      <c r="T215" s="351"/>
      <c r="U215" s="352"/>
      <c r="V215" s="351"/>
      <c r="W215" s="352"/>
      <c r="X215" s="383"/>
      <c r="Y215" s="352"/>
      <c r="Z215" s="349">
        <f t="shared" si="12"/>
        <v>0</v>
      </c>
      <c r="AA215" s="13">
        <f t="shared" si="13"/>
        <v>0</v>
      </c>
      <c r="AB215" s="351"/>
      <c r="AC215" s="352"/>
      <c r="AD215" s="351"/>
      <c r="AE215" s="352"/>
      <c r="AF215" s="352"/>
      <c r="AG215" s="352"/>
      <c r="AH215" s="108">
        <f t="shared" si="14"/>
        <v>0</v>
      </c>
      <c r="AI215" s="108" t="str">
        <f>IF('Sch2a-Imp Price by ECM'!C216="Yes", 0, 'Sch2a-Imp Price by ECM'!L216)</f>
        <v/>
      </c>
      <c r="AJ215" s="124" t="str">
        <f t="shared" si="15"/>
        <v/>
      </c>
      <c r="AK215" s="1" t="str">
        <f>IF('Sch2a-Imp Price by ECM'!M216="","",'Sch2a-Imp Price by ECM'!M216)</f>
        <v/>
      </c>
    </row>
    <row r="216" spans="1:37" ht="16.5" thickBot="1">
      <c r="A216" s="72" t="str">
        <f>IF('Sch2a-Imp Price by ECM'!B217="","",'Sch2a-Imp Price by ECM'!B217)</f>
        <v/>
      </c>
      <c r="B216" s="139" t="str">
        <f>IF('Sch2a-Imp Price by ECM'!D217="","",'Sch2a-Imp Price by ECM'!D217)</f>
        <v/>
      </c>
      <c r="C216" s="358" t="str">
        <f>IF('Sch2a-Imp Price by ECM'!G217="","",'Sch2a-Imp Price by ECM'!G217)</f>
        <v/>
      </c>
      <c r="D216" s="471"/>
      <c r="E216" s="350"/>
      <c r="F216" s="350"/>
      <c r="G216" s="350"/>
      <c r="H216" s="350"/>
      <c r="I216" s="242"/>
      <c r="J216" s="350"/>
      <c r="K216" s="350"/>
      <c r="L216" s="241"/>
      <c r="M216" s="241"/>
      <c r="N216" s="241"/>
      <c r="O216" s="235"/>
      <c r="P216" s="350"/>
      <c r="Q216" s="241"/>
      <c r="R216" s="351"/>
      <c r="S216" s="241"/>
      <c r="T216" s="351"/>
      <c r="U216" s="352"/>
      <c r="V216" s="351"/>
      <c r="W216" s="352"/>
      <c r="X216" s="383"/>
      <c r="Y216" s="352"/>
      <c r="Z216" s="349">
        <f t="shared" si="12"/>
        <v>0</v>
      </c>
      <c r="AA216" s="13">
        <f t="shared" si="13"/>
        <v>0</v>
      </c>
      <c r="AB216" s="351"/>
      <c r="AC216" s="352"/>
      <c r="AD216" s="351"/>
      <c r="AE216" s="352"/>
      <c r="AF216" s="352"/>
      <c r="AG216" s="352"/>
      <c r="AH216" s="108">
        <f t="shared" si="14"/>
        <v>0</v>
      </c>
      <c r="AI216" s="108" t="str">
        <f>IF('Sch2a-Imp Price by ECM'!C217="Yes", 0, 'Sch2a-Imp Price by ECM'!L217)</f>
        <v/>
      </c>
      <c r="AJ216" s="124" t="str">
        <f t="shared" si="15"/>
        <v/>
      </c>
      <c r="AK216" s="1" t="str">
        <f>IF('Sch2a-Imp Price by ECM'!M217="","",'Sch2a-Imp Price by ECM'!M217)</f>
        <v/>
      </c>
    </row>
    <row r="217" spans="1:37" ht="16.5" thickBot="1">
      <c r="A217" s="72" t="str">
        <f>IF('Sch2a-Imp Price by ECM'!B218="","",'Sch2a-Imp Price by ECM'!B218)</f>
        <v/>
      </c>
      <c r="B217" s="139" t="str">
        <f>IF('Sch2a-Imp Price by ECM'!D218="","",'Sch2a-Imp Price by ECM'!D218)</f>
        <v/>
      </c>
      <c r="C217" s="358" t="str">
        <f>IF('Sch2a-Imp Price by ECM'!G218="","",'Sch2a-Imp Price by ECM'!G218)</f>
        <v/>
      </c>
      <c r="D217" s="471"/>
      <c r="E217" s="350"/>
      <c r="F217" s="350"/>
      <c r="G217" s="350"/>
      <c r="H217" s="350"/>
      <c r="I217" s="242"/>
      <c r="J217" s="350"/>
      <c r="K217" s="350"/>
      <c r="L217" s="241"/>
      <c r="M217" s="241"/>
      <c r="N217" s="241"/>
      <c r="O217" s="235"/>
      <c r="P217" s="350"/>
      <c r="Q217" s="241"/>
      <c r="R217" s="351"/>
      <c r="S217" s="241"/>
      <c r="T217" s="351"/>
      <c r="U217" s="352"/>
      <c r="V217" s="351"/>
      <c r="W217" s="352"/>
      <c r="X217" s="383"/>
      <c r="Y217" s="352"/>
      <c r="Z217" s="349">
        <f t="shared" si="12"/>
        <v>0</v>
      </c>
      <c r="AA217" s="13">
        <f t="shared" si="13"/>
        <v>0</v>
      </c>
      <c r="AB217" s="351"/>
      <c r="AC217" s="352"/>
      <c r="AD217" s="351"/>
      <c r="AE217" s="352"/>
      <c r="AF217" s="352"/>
      <c r="AG217" s="352"/>
      <c r="AH217" s="108">
        <f t="shared" si="14"/>
        <v>0</v>
      </c>
      <c r="AI217" s="108" t="str">
        <f>IF('Sch2a-Imp Price by ECM'!C218="Yes", 0, 'Sch2a-Imp Price by ECM'!L218)</f>
        <v/>
      </c>
      <c r="AJ217" s="124" t="str">
        <f t="shared" si="15"/>
        <v/>
      </c>
      <c r="AK217" s="1" t="str">
        <f>IF('Sch2a-Imp Price by ECM'!M218="","",'Sch2a-Imp Price by ECM'!M218)</f>
        <v/>
      </c>
    </row>
    <row r="218" spans="1:37" ht="16.5" thickBot="1">
      <c r="A218" s="72" t="str">
        <f>IF('Sch2a-Imp Price by ECM'!B219="","",'Sch2a-Imp Price by ECM'!B219)</f>
        <v/>
      </c>
      <c r="B218" s="139" t="str">
        <f>IF('Sch2a-Imp Price by ECM'!D219="","",'Sch2a-Imp Price by ECM'!D219)</f>
        <v/>
      </c>
      <c r="C218" s="358" t="str">
        <f>IF('Sch2a-Imp Price by ECM'!G219="","",'Sch2a-Imp Price by ECM'!G219)</f>
        <v/>
      </c>
      <c r="D218" s="471"/>
      <c r="E218" s="350"/>
      <c r="F218" s="350"/>
      <c r="G218" s="350"/>
      <c r="H218" s="350"/>
      <c r="I218" s="242"/>
      <c r="J218" s="350"/>
      <c r="K218" s="350"/>
      <c r="L218" s="241"/>
      <c r="M218" s="241"/>
      <c r="N218" s="241"/>
      <c r="O218" s="235"/>
      <c r="P218" s="350"/>
      <c r="Q218" s="241"/>
      <c r="R218" s="351"/>
      <c r="S218" s="241"/>
      <c r="T218" s="351"/>
      <c r="U218" s="352"/>
      <c r="V218" s="351"/>
      <c r="W218" s="352"/>
      <c r="X218" s="383"/>
      <c r="Y218" s="352"/>
      <c r="Z218" s="349">
        <f t="shared" si="12"/>
        <v>0</v>
      </c>
      <c r="AA218" s="13">
        <f t="shared" si="13"/>
        <v>0</v>
      </c>
      <c r="AB218" s="351"/>
      <c r="AC218" s="352"/>
      <c r="AD218" s="351"/>
      <c r="AE218" s="352"/>
      <c r="AF218" s="352"/>
      <c r="AG218" s="352"/>
      <c r="AH218" s="108">
        <f t="shared" si="14"/>
        <v>0</v>
      </c>
      <c r="AI218" s="108" t="str">
        <f>IF('Sch2a-Imp Price by ECM'!C219="Yes", 0, 'Sch2a-Imp Price by ECM'!L219)</f>
        <v/>
      </c>
      <c r="AJ218" s="124" t="str">
        <f t="shared" si="15"/>
        <v/>
      </c>
      <c r="AK218" s="1" t="str">
        <f>IF('Sch2a-Imp Price by ECM'!M219="","",'Sch2a-Imp Price by ECM'!M219)</f>
        <v/>
      </c>
    </row>
    <row r="219" spans="1:37" ht="16.5" thickBot="1">
      <c r="A219" s="72" t="str">
        <f>IF('Sch2a-Imp Price by ECM'!B220="","",'Sch2a-Imp Price by ECM'!B220)</f>
        <v/>
      </c>
      <c r="B219" s="139" t="str">
        <f>IF('Sch2a-Imp Price by ECM'!D220="","",'Sch2a-Imp Price by ECM'!D220)</f>
        <v/>
      </c>
      <c r="C219" s="358" t="str">
        <f>IF('Sch2a-Imp Price by ECM'!G220="","",'Sch2a-Imp Price by ECM'!G220)</f>
        <v/>
      </c>
      <c r="D219" s="471"/>
      <c r="E219" s="350"/>
      <c r="F219" s="350"/>
      <c r="G219" s="350"/>
      <c r="H219" s="350"/>
      <c r="I219" s="242"/>
      <c r="J219" s="350"/>
      <c r="K219" s="350"/>
      <c r="L219" s="241"/>
      <c r="M219" s="241"/>
      <c r="N219" s="241"/>
      <c r="O219" s="242"/>
      <c r="P219" s="350"/>
      <c r="Q219" s="241"/>
      <c r="R219" s="351"/>
      <c r="S219" s="241"/>
      <c r="T219" s="351"/>
      <c r="U219" s="352"/>
      <c r="V219" s="351"/>
      <c r="W219" s="352"/>
      <c r="X219" s="383"/>
      <c r="Y219" s="352"/>
      <c r="Z219" s="349">
        <f t="shared" si="12"/>
        <v>0</v>
      </c>
      <c r="AA219" s="13">
        <f t="shared" si="13"/>
        <v>0</v>
      </c>
      <c r="AB219" s="351"/>
      <c r="AC219" s="352"/>
      <c r="AD219" s="351"/>
      <c r="AE219" s="352"/>
      <c r="AF219" s="352"/>
      <c r="AG219" s="352"/>
      <c r="AH219" s="108">
        <f t="shared" si="14"/>
        <v>0</v>
      </c>
      <c r="AI219" s="108" t="str">
        <f>IF('Sch2a-Imp Price by ECM'!C220="Yes", 0, 'Sch2a-Imp Price by ECM'!L220)</f>
        <v/>
      </c>
      <c r="AJ219" s="124" t="str">
        <f t="shared" si="15"/>
        <v/>
      </c>
      <c r="AK219" s="1" t="str">
        <f>IF('Sch2a-Imp Price by ECM'!M220="","",'Sch2a-Imp Price by ECM'!M220)</f>
        <v/>
      </c>
    </row>
    <row r="220" spans="1:37" ht="16.5" thickBot="1">
      <c r="A220" s="72" t="str">
        <f>IF('Sch2a-Imp Price by ECM'!B221="","",'Sch2a-Imp Price by ECM'!B221)</f>
        <v/>
      </c>
      <c r="B220" s="139" t="str">
        <f>IF('Sch2a-Imp Price by ECM'!D221="","",'Sch2a-Imp Price by ECM'!D221)</f>
        <v/>
      </c>
      <c r="C220" s="358" t="str">
        <f>IF('Sch2a-Imp Price by ECM'!G221="","",'Sch2a-Imp Price by ECM'!G221)</f>
        <v/>
      </c>
      <c r="D220" s="471"/>
      <c r="E220" s="350"/>
      <c r="F220" s="350"/>
      <c r="G220" s="350"/>
      <c r="H220" s="350"/>
      <c r="I220" s="242"/>
      <c r="J220" s="350"/>
      <c r="K220" s="350"/>
      <c r="L220" s="241"/>
      <c r="M220" s="241"/>
      <c r="N220" s="241"/>
      <c r="O220" s="242"/>
      <c r="P220" s="350"/>
      <c r="Q220" s="241"/>
      <c r="R220" s="351"/>
      <c r="S220" s="241"/>
      <c r="T220" s="351"/>
      <c r="U220" s="352"/>
      <c r="V220" s="351"/>
      <c r="W220" s="352"/>
      <c r="X220" s="383"/>
      <c r="Y220" s="352"/>
      <c r="Z220" s="349">
        <f t="shared" si="12"/>
        <v>0</v>
      </c>
      <c r="AA220" s="13">
        <f t="shared" si="13"/>
        <v>0</v>
      </c>
      <c r="AB220" s="351"/>
      <c r="AC220" s="352"/>
      <c r="AD220" s="351"/>
      <c r="AE220" s="352"/>
      <c r="AF220" s="352"/>
      <c r="AG220" s="352"/>
      <c r="AH220" s="108">
        <f t="shared" si="14"/>
        <v>0</v>
      </c>
      <c r="AI220" s="108" t="str">
        <f>IF('Sch2a-Imp Price by ECM'!C221="Yes", 0, 'Sch2a-Imp Price by ECM'!L221)</f>
        <v/>
      </c>
      <c r="AJ220" s="124" t="str">
        <f t="shared" si="15"/>
        <v/>
      </c>
      <c r="AK220" s="1" t="str">
        <f>IF('Sch2a-Imp Price by ECM'!M221="","",'Sch2a-Imp Price by ECM'!M221)</f>
        <v/>
      </c>
    </row>
    <row r="221" spans="1:37" ht="16.5" thickBot="1">
      <c r="A221" s="72" t="str">
        <f>IF('Sch2a-Imp Price by ECM'!B222="","",'Sch2a-Imp Price by ECM'!B222)</f>
        <v/>
      </c>
      <c r="B221" s="139" t="str">
        <f>IF('Sch2a-Imp Price by ECM'!D222="","",'Sch2a-Imp Price by ECM'!D222)</f>
        <v/>
      </c>
      <c r="C221" s="358" t="str">
        <f>IF('Sch2a-Imp Price by ECM'!G222="","",'Sch2a-Imp Price by ECM'!G222)</f>
        <v/>
      </c>
      <c r="D221" s="471"/>
      <c r="E221" s="350"/>
      <c r="F221" s="350"/>
      <c r="G221" s="350"/>
      <c r="H221" s="350"/>
      <c r="I221" s="242"/>
      <c r="J221" s="350"/>
      <c r="K221" s="350"/>
      <c r="L221" s="241"/>
      <c r="M221" s="241"/>
      <c r="N221" s="241"/>
      <c r="O221" s="242"/>
      <c r="P221" s="350"/>
      <c r="Q221" s="241"/>
      <c r="R221" s="351"/>
      <c r="S221" s="241"/>
      <c r="T221" s="351"/>
      <c r="U221" s="352"/>
      <c r="V221" s="351"/>
      <c r="W221" s="352"/>
      <c r="X221" s="383"/>
      <c r="Y221" s="352"/>
      <c r="Z221" s="349">
        <f t="shared" si="12"/>
        <v>0</v>
      </c>
      <c r="AA221" s="13">
        <f t="shared" si="13"/>
        <v>0</v>
      </c>
      <c r="AB221" s="351"/>
      <c r="AC221" s="352"/>
      <c r="AD221" s="351"/>
      <c r="AE221" s="352"/>
      <c r="AF221" s="352"/>
      <c r="AG221" s="352"/>
      <c r="AH221" s="108">
        <f t="shared" si="14"/>
        <v>0</v>
      </c>
      <c r="AI221" s="108" t="str">
        <f>IF('Sch2a-Imp Price by ECM'!C222="Yes", 0, 'Sch2a-Imp Price by ECM'!L222)</f>
        <v/>
      </c>
      <c r="AJ221" s="124" t="str">
        <f t="shared" si="15"/>
        <v/>
      </c>
      <c r="AK221" s="1" t="str">
        <f>IF('Sch2a-Imp Price by ECM'!M222="","",'Sch2a-Imp Price by ECM'!M222)</f>
        <v/>
      </c>
    </row>
    <row r="222" spans="1:37" ht="16.5" thickBot="1">
      <c r="A222" s="72" t="str">
        <f>IF('Sch2a-Imp Price by ECM'!B223="","",'Sch2a-Imp Price by ECM'!B223)</f>
        <v/>
      </c>
      <c r="B222" s="139" t="str">
        <f>IF('Sch2a-Imp Price by ECM'!D223="","",'Sch2a-Imp Price by ECM'!D223)</f>
        <v/>
      </c>
      <c r="C222" s="358" t="str">
        <f>IF('Sch2a-Imp Price by ECM'!G223="","",'Sch2a-Imp Price by ECM'!G223)</f>
        <v/>
      </c>
      <c r="D222" s="471"/>
      <c r="E222" s="350"/>
      <c r="F222" s="350"/>
      <c r="G222" s="350"/>
      <c r="H222" s="350"/>
      <c r="I222" s="242"/>
      <c r="J222" s="350"/>
      <c r="K222" s="350"/>
      <c r="L222" s="241"/>
      <c r="M222" s="241"/>
      <c r="N222" s="241"/>
      <c r="O222" s="242"/>
      <c r="P222" s="350"/>
      <c r="Q222" s="241"/>
      <c r="R222" s="351"/>
      <c r="S222" s="241"/>
      <c r="T222" s="351"/>
      <c r="U222" s="352"/>
      <c r="V222" s="351"/>
      <c r="W222" s="352"/>
      <c r="X222" s="383"/>
      <c r="Y222" s="352"/>
      <c r="Z222" s="349">
        <f t="shared" si="12"/>
        <v>0</v>
      </c>
      <c r="AA222" s="13">
        <f t="shared" si="13"/>
        <v>0</v>
      </c>
      <c r="AB222" s="351"/>
      <c r="AC222" s="352"/>
      <c r="AD222" s="351"/>
      <c r="AE222" s="352"/>
      <c r="AF222" s="352"/>
      <c r="AG222" s="352"/>
      <c r="AH222" s="108">
        <f t="shared" si="14"/>
        <v>0</v>
      </c>
      <c r="AI222" s="108" t="str">
        <f>IF('Sch2a-Imp Price by ECM'!C223="Yes", 0, 'Sch2a-Imp Price by ECM'!L223)</f>
        <v/>
      </c>
      <c r="AJ222" s="124" t="str">
        <f t="shared" si="15"/>
        <v/>
      </c>
      <c r="AK222" s="1" t="str">
        <f>IF('Sch2a-Imp Price by ECM'!M223="","",'Sch2a-Imp Price by ECM'!M223)</f>
        <v/>
      </c>
    </row>
    <row r="223" spans="1:37" ht="18" customHeight="1" thickBot="1">
      <c r="A223" s="72" t="str">
        <f>IF('Sch2a-Imp Price by ECM'!B224="","",'Sch2a-Imp Price by ECM'!B224)</f>
        <v/>
      </c>
      <c r="B223" s="139" t="str">
        <f>IF('Sch2a-Imp Price by ECM'!D224="","",'Sch2a-Imp Price by ECM'!D224)</f>
        <v/>
      </c>
      <c r="C223" s="358" t="str">
        <f>IF('Sch2a-Imp Price by ECM'!G224="","",'Sch2a-Imp Price by ECM'!G224)</f>
        <v/>
      </c>
      <c r="D223" s="471"/>
      <c r="E223" s="350"/>
      <c r="F223" s="350"/>
      <c r="G223" s="350"/>
      <c r="H223" s="350"/>
      <c r="I223" s="242"/>
      <c r="J223" s="350"/>
      <c r="K223" s="350"/>
      <c r="L223" s="241"/>
      <c r="M223" s="241"/>
      <c r="N223" s="241"/>
      <c r="O223" s="242"/>
      <c r="P223" s="350"/>
      <c r="Q223" s="241"/>
      <c r="R223" s="351"/>
      <c r="S223" s="241"/>
      <c r="T223" s="351"/>
      <c r="U223" s="352"/>
      <c r="V223" s="351"/>
      <c r="W223" s="352"/>
      <c r="X223" s="383"/>
      <c r="Y223" s="352"/>
      <c r="Z223" s="349">
        <f t="shared" si="12"/>
        <v>0</v>
      </c>
      <c r="AA223" s="13">
        <f t="shared" si="13"/>
        <v>0</v>
      </c>
      <c r="AB223" s="351"/>
      <c r="AC223" s="352"/>
      <c r="AD223" s="351"/>
      <c r="AE223" s="352"/>
      <c r="AF223" s="352"/>
      <c r="AG223" s="352"/>
      <c r="AH223" s="108">
        <f t="shared" si="14"/>
        <v>0</v>
      </c>
      <c r="AI223" s="108" t="str">
        <f>IF('Sch2a-Imp Price by ECM'!C224="Yes", 0, 'Sch2a-Imp Price by ECM'!L224)</f>
        <v/>
      </c>
      <c r="AJ223" s="124" t="str">
        <f t="shared" si="15"/>
        <v/>
      </c>
      <c r="AK223" s="1" t="str">
        <f>IF('Sch2a-Imp Price by ECM'!M224="","",'Sch2a-Imp Price by ECM'!M224)</f>
        <v/>
      </c>
    </row>
    <row r="224" spans="1:37" ht="16.5" thickBot="1">
      <c r="A224" s="72" t="str">
        <f>IF('Sch2a-Imp Price by ECM'!B225="","",'Sch2a-Imp Price by ECM'!B225)</f>
        <v/>
      </c>
      <c r="B224" s="139" t="str">
        <f>IF('Sch2a-Imp Price by ECM'!D225="","",'Sch2a-Imp Price by ECM'!D225)</f>
        <v/>
      </c>
      <c r="C224" s="358" t="str">
        <f>IF('Sch2a-Imp Price by ECM'!G225="","",'Sch2a-Imp Price by ECM'!G225)</f>
        <v/>
      </c>
      <c r="D224" s="471"/>
      <c r="E224" s="350"/>
      <c r="F224" s="350"/>
      <c r="G224" s="350"/>
      <c r="H224" s="350"/>
      <c r="I224" s="242"/>
      <c r="J224" s="350"/>
      <c r="K224" s="350"/>
      <c r="L224" s="241"/>
      <c r="M224" s="241"/>
      <c r="N224" s="241"/>
      <c r="O224" s="242"/>
      <c r="P224" s="350"/>
      <c r="Q224" s="241"/>
      <c r="R224" s="351"/>
      <c r="S224" s="241"/>
      <c r="T224" s="351"/>
      <c r="U224" s="352"/>
      <c r="V224" s="351"/>
      <c r="W224" s="352"/>
      <c r="X224" s="383"/>
      <c r="Y224" s="352"/>
      <c r="Z224" s="349">
        <f t="shared" si="12"/>
        <v>0</v>
      </c>
      <c r="AA224" s="13">
        <f t="shared" si="13"/>
        <v>0</v>
      </c>
      <c r="AB224" s="351"/>
      <c r="AC224" s="352"/>
      <c r="AD224" s="351"/>
      <c r="AE224" s="352"/>
      <c r="AF224" s="352"/>
      <c r="AG224" s="352"/>
      <c r="AH224" s="108">
        <f t="shared" si="14"/>
        <v>0</v>
      </c>
      <c r="AI224" s="108" t="str">
        <f>IF('Sch2a-Imp Price by ECM'!C225="Yes", 0, 'Sch2a-Imp Price by ECM'!L225)</f>
        <v/>
      </c>
      <c r="AJ224" s="124" t="str">
        <f t="shared" si="15"/>
        <v/>
      </c>
      <c r="AK224" s="1" t="str">
        <f>IF('Sch2a-Imp Price by ECM'!M225="","",'Sch2a-Imp Price by ECM'!M225)</f>
        <v/>
      </c>
    </row>
    <row r="225" spans="1:37" ht="16.5" thickBot="1">
      <c r="A225" s="72" t="str">
        <f>IF('Sch2a-Imp Price by ECM'!B226="","",'Sch2a-Imp Price by ECM'!B226)</f>
        <v/>
      </c>
      <c r="B225" s="139" t="str">
        <f>IF('Sch2a-Imp Price by ECM'!D226="","",'Sch2a-Imp Price by ECM'!D226)</f>
        <v/>
      </c>
      <c r="C225" s="358" t="str">
        <f>IF('Sch2a-Imp Price by ECM'!G226="","",'Sch2a-Imp Price by ECM'!G226)</f>
        <v/>
      </c>
      <c r="D225" s="471"/>
      <c r="E225" s="350"/>
      <c r="F225" s="350"/>
      <c r="G225" s="350"/>
      <c r="H225" s="350"/>
      <c r="I225" s="242"/>
      <c r="J225" s="350"/>
      <c r="K225" s="350"/>
      <c r="L225" s="241"/>
      <c r="M225" s="241"/>
      <c r="N225" s="241"/>
      <c r="O225" s="242"/>
      <c r="P225" s="350"/>
      <c r="Q225" s="241"/>
      <c r="R225" s="351"/>
      <c r="S225" s="241"/>
      <c r="T225" s="351"/>
      <c r="U225" s="352"/>
      <c r="V225" s="351"/>
      <c r="W225" s="352"/>
      <c r="X225" s="383"/>
      <c r="Y225" s="352"/>
      <c r="Z225" s="349">
        <f t="shared" si="12"/>
        <v>0</v>
      </c>
      <c r="AA225" s="13">
        <f t="shared" si="13"/>
        <v>0</v>
      </c>
      <c r="AB225" s="351"/>
      <c r="AC225" s="352"/>
      <c r="AD225" s="351"/>
      <c r="AE225" s="352"/>
      <c r="AF225" s="352"/>
      <c r="AG225" s="352"/>
      <c r="AH225" s="108">
        <f t="shared" si="14"/>
        <v>0</v>
      </c>
      <c r="AI225" s="108" t="str">
        <f>IF('Sch2a-Imp Price by ECM'!C226="Yes", 0, 'Sch2a-Imp Price by ECM'!L226)</f>
        <v/>
      </c>
      <c r="AJ225" s="124" t="str">
        <f t="shared" si="15"/>
        <v/>
      </c>
      <c r="AK225" s="1" t="str">
        <f>IF('Sch2a-Imp Price by ECM'!M226="","",'Sch2a-Imp Price by ECM'!M226)</f>
        <v/>
      </c>
    </row>
    <row r="226" spans="1:37" ht="16.5" thickBot="1">
      <c r="A226" s="72" t="str">
        <f>IF('Sch2a-Imp Price by ECM'!B227="","",'Sch2a-Imp Price by ECM'!B227)</f>
        <v/>
      </c>
      <c r="B226" s="139" t="str">
        <f>IF('Sch2a-Imp Price by ECM'!D227="","",'Sch2a-Imp Price by ECM'!D227)</f>
        <v/>
      </c>
      <c r="C226" s="358" t="str">
        <f>IF('Sch2a-Imp Price by ECM'!G227="","",'Sch2a-Imp Price by ECM'!G227)</f>
        <v/>
      </c>
      <c r="D226" s="471"/>
      <c r="E226" s="350"/>
      <c r="F226" s="350"/>
      <c r="G226" s="350"/>
      <c r="H226" s="350"/>
      <c r="I226" s="242"/>
      <c r="J226" s="350"/>
      <c r="K226" s="350"/>
      <c r="L226" s="241"/>
      <c r="M226" s="241"/>
      <c r="N226" s="241"/>
      <c r="O226" s="235"/>
      <c r="P226" s="350"/>
      <c r="Q226" s="241"/>
      <c r="R226" s="351"/>
      <c r="S226" s="241"/>
      <c r="T226" s="351"/>
      <c r="U226" s="352"/>
      <c r="V226" s="351"/>
      <c r="W226" s="352"/>
      <c r="X226" s="383"/>
      <c r="Y226" s="352"/>
      <c r="Z226" s="349">
        <f t="shared" si="12"/>
        <v>0</v>
      </c>
      <c r="AA226" s="13">
        <f t="shared" si="13"/>
        <v>0</v>
      </c>
      <c r="AB226" s="351"/>
      <c r="AC226" s="352"/>
      <c r="AD226" s="351"/>
      <c r="AE226" s="352"/>
      <c r="AF226" s="352"/>
      <c r="AG226" s="352"/>
      <c r="AH226" s="108">
        <f t="shared" si="14"/>
        <v>0</v>
      </c>
      <c r="AI226" s="108" t="str">
        <f>IF('Sch2a-Imp Price by ECM'!C227="Yes", 0, 'Sch2a-Imp Price by ECM'!L227)</f>
        <v/>
      </c>
      <c r="AJ226" s="124" t="str">
        <f t="shared" si="15"/>
        <v/>
      </c>
      <c r="AK226" s="1" t="str">
        <f>IF('Sch2a-Imp Price by ECM'!M227="","",'Sch2a-Imp Price by ECM'!M227)</f>
        <v/>
      </c>
    </row>
    <row r="227" spans="1:37" ht="16.5" thickBot="1">
      <c r="A227" s="72" t="str">
        <f>IF('Sch2a-Imp Price by ECM'!B228="","",'Sch2a-Imp Price by ECM'!B228)</f>
        <v/>
      </c>
      <c r="B227" s="139" t="str">
        <f>IF('Sch2a-Imp Price by ECM'!D228="","",'Sch2a-Imp Price by ECM'!D228)</f>
        <v/>
      </c>
      <c r="C227" s="358" t="str">
        <f>IF('Sch2a-Imp Price by ECM'!G228="","",'Sch2a-Imp Price by ECM'!G228)</f>
        <v/>
      </c>
      <c r="D227" s="471"/>
      <c r="E227" s="350"/>
      <c r="F227" s="350"/>
      <c r="G227" s="350"/>
      <c r="H227" s="350"/>
      <c r="I227" s="242"/>
      <c r="J227" s="350"/>
      <c r="K227" s="350"/>
      <c r="L227" s="241"/>
      <c r="M227" s="241"/>
      <c r="N227" s="241"/>
      <c r="O227" s="235"/>
      <c r="P227" s="350"/>
      <c r="Q227" s="241"/>
      <c r="R227" s="351"/>
      <c r="S227" s="241"/>
      <c r="T227" s="351"/>
      <c r="U227" s="352"/>
      <c r="V227" s="351"/>
      <c r="W227" s="352"/>
      <c r="X227" s="383"/>
      <c r="Y227" s="352"/>
      <c r="Z227" s="349">
        <f t="shared" si="12"/>
        <v>0</v>
      </c>
      <c r="AA227" s="13">
        <f t="shared" si="13"/>
        <v>0</v>
      </c>
      <c r="AB227" s="351"/>
      <c r="AC227" s="352"/>
      <c r="AD227" s="351"/>
      <c r="AE227" s="352"/>
      <c r="AF227" s="352"/>
      <c r="AG227" s="352"/>
      <c r="AH227" s="108">
        <f t="shared" si="14"/>
        <v>0</v>
      </c>
      <c r="AI227" s="108" t="str">
        <f>IF('Sch2a-Imp Price by ECM'!C228="Yes", 0, 'Sch2a-Imp Price by ECM'!L228)</f>
        <v/>
      </c>
      <c r="AJ227" s="124" t="str">
        <f t="shared" si="15"/>
        <v/>
      </c>
      <c r="AK227" s="1" t="str">
        <f>IF('Sch2a-Imp Price by ECM'!M228="","",'Sch2a-Imp Price by ECM'!M228)</f>
        <v/>
      </c>
    </row>
    <row r="228" spans="1:37" ht="16.5" thickBot="1">
      <c r="A228" s="72" t="str">
        <f>IF('Sch2a-Imp Price by ECM'!B229="","",'Sch2a-Imp Price by ECM'!B229)</f>
        <v/>
      </c>
      <c r="B228" s="139" t="str">
        <f>IF('Sch2a-Imp Price by ECM'!D229="","",'Sch2a-Imp Price by ECM'!D229)</f>
        <v/>
      </c>
      <c r="C228" s="358" t="str">
        <f>IF('Sch2a-Imp Price by ECM'!G229="","",'Sch2a-Imp Price by ECM'!G229)</f>
        <v/>
      </c>
      <c r="D228" s="471"/>
      <c r="E228" s="350"/>
      <c r="F228" s="350"/>
      <c r="G228" s="350"/>
      <c r="H228" s="350"/>
      <c r="I228" s="242"/>
      <c r="J228" s="350"/>
      <c r="K228" s="350"/>
      <c r="L228" s="241"/>
      <c r="M228" s="241"/>
      <c r="N228" s="241"/>
      <c r="O228" s="235"/>
      <c r="P228" s="350"/>
      <c r="Q228" s="241"/>
      <c r="R228" s="351"/>
      <c r="S228" s="241"/>
      <c r="T228" s="351"/>
      <c r="U228" s="352"/>
      <c r="V228" s="351"/>
      <c r="W228" s="352"/>
      <c r="X228" s="383"/>
      <c r="Y228" s="352"/>
      <c r="Z228" s="349">
        <f t="shared" si="12"/>
        <v>0</v>
      </c>
      <c r="AA228" s="13">
        <f t="shared" si="13"/>
        <v>0</v>
      </c>
      <c r="AB228" s="351"/>
      <c r="AC228" s="352"/>
      <c r="AD228" s="351"/>
      <c r="AE228" s="352"/>
      <c r="AF228" s="352"/>
      <c r="AG228" s="352"/>
      <c r="AH228" s="108">
        <f t="shared" si="14"/>
        <v>0</v>
      </c>
      <c r="AI228" s="108" t="str">
        <f>IF('Sch2a-Imp Price by ECM'!C229="Yes", 0, 'Sch2a-Imp Price by ECM'!L229)</f>
        <v/>
      </c>
      <c r="AJ228" s="124" t="str">
        <f t="shared" si="15"/>
        <v/>
      </c>
      <c r="AK228" s="1" t="str">
        <f>IF('Sch2a-Imp Price by ECM'!M229="","",'Sch2a-Imp Price by ECM'!M229)</f>
        <v/>
      </c>
    </row>
    <row r="229" spans="1:37" ht="16.5" thickBot="1">
      <c r="A229" s="72" t="str">
        <f>IF('Sch2a-Imp Price by ECM'!B230="","",'Sch2a-Imp Price by ECM'!B230)</f>
        <v/>
      </c>
      <c r="B229" s="139" t="str">
        <f>IF('Sch2a-Imp Price by ECM'!D230="","",'Sch2a-Imp Price by ECM'!D230)</f>
        <v/>
      </c>
      <c r="C229" s="358" t="str">
        <f>IF('Sch2a-Imp Price by ECM'!G230="","",'Sch2a-Imp Price by ECM'!G230)</f>
        <v/>
      </c>
      <c r="D229" s="471"/>
      <c r="E229" s="350"/>
      <c r="F229" s="350"/>
      <c r="G229" s="350"/>
      <c r="H229" s="350"/>
      <c r="I229" s="242"/>
      <c r="J229" s="350"/>
      <c r="K229" s="350"/>
      <c r="L229" s="241"/>
      <c r="M229" s="241"/>
      <c r="N229" s="241"/>
      <c r="O229" s="235"/>
      <c r="P229" s="350"/>
      <c r="Q229" s="241"/>
      <c r="R229" s="351"/>
      <c r="S229" s="241"/>
      <c r="T229" s="351"/>
      <c r="U229" s="352"/>
      <c r="V229" s="351"/>
      <c r="W229" s="352"/>
      <c r="X229" s="383"/>
      <c r="Y229" s="352"/>
      <c r="Z229" s="349">
        <f t="shared" si="12"/>
        <v>0</v>
      </c>
      <c r="AA229" s="13">
        <f t="shared" si="13"/>
        <v>0</v>
      </c>
      <c r="AB229" s="351"/>
      <c r="AC229" s="352"/>
      <c r="AD229" s="351"/>
      <c r="AE229" s="352"/>
      <c r="AF229" s="352"/>
      <c r="AG229" s="352"/>
      <c r="AH229" s="108">
        <f t="shared" si="14"/>
        <v>0</v>
      </c>
      <c r="AI229" s="108" t="str">
        <f>IF('Sch2a-Imp Price by ECM'!C230="Yes", 0, 'Sch2a-Imp Price by ECM'!L230)</f>
        <v/>
      </c>
      <c r="AJ229" s="124" t="str">
        <f t="shared" si="15"/>
        <v/>
      </c>
      <c r="AK229" s="1" t="str">
        <f>IF('Sch2a-Imp Price by ECM'!M230="","",'Sch2a-Imp Price by ECM'!M230)</f>
        <v/>
      </c>
    </row>
    <row r="230" spans="1:37" ht="16.5" thickBot="1">
      <c r="A230" s="72" t="str">
        <f>IF('Sch2a-Imp Price by ECM'!B231="","",'Sch2a-Imp Price by ECM'!B231)</f>
        <v/>
      </c>
      <c r="B230" s="139" t="str">
        <f>IF('Sch2a-Imp Price by ECM'!D231="","",'Sch2a-Imp Price by ECM'!D231)</f>
        <v/>
      </c>
      <c r="C230" s="358" t="str">
        <f>IF('Sch2a-Imp Price by ECM'!G231="","",'Sch2a-Imp Price by ECM'!G231)</f>
        <v/>
      </c>
      <c r="D230" s="471"/>
      <c r="E230" s="350"/>
      <c r="F230" s="350"/>
      <c r="G230" s="350"/>
      <c r="H230" s="350"/>
      <c r="I230" s="242"/>
      <c r="J230" s="350"/>
      <c r="K230" s="350"/>
      <c r="L230" s="241"/>
      <c r="M230" s="241"/>
      <c r="N230" s="241"/>
      <c r="O230" s="235"/>
      <c r="P230" s="350"/>
      <c r="Q230" s="241"/>
      <c r="R230" s="351"/>
      <c r="S230" s="241"/>
      <c r="T230" s="351"/>
      <c r="U230" s="352"/>
      <c r="V230" s="351"/>
      <c r="W230" s="352"/>
      <c r="X230" s="383"/>
      <c r="Y230" s="352"/>
      <c r="Z230" s="349">
        <f t="shared" si="12"/>
        <v>0</v>
      </c>
      <c r="AA230" s="13">
        <f t="shared" si="13"/>
        <v>0</v>
      </c>
      <c r="AB230" s="351"/>
      <c r="AC230" s="352"/>
      <c r="AD230" s="351"/>
      <c r="AE230" s="352"/>
      <c r="AF230" s="352"/>
      <c r="AG230" s="352"/>
      <c r="AH230" s="108">
        <f t="shared" si="14"/>
        <v>0</v>
      </c>
      <c r="AI230" s="108" t="str">
        <f>IF('Sch2a-Imp Price by ECM'!C231="Yes", 0, 'Sch2a-Imp Price by ECM'!L231)</f>
        <v/>
      </c>
      <c r="AJ230" s="124" t="str">
        <f t="shared" si="15"/>
        <v/>
      </c>
      <c r="AK230" s="1" t="str">
        <f>IF('Sch2a-Imp Price by ECM'!M231="","",'Sch2a-Imp Price by ECM'!M231)</f>
        <v/>
      </c>
    </row>
    <row r="231" spans="1:37" ht="16.5" thickBot="1">
      <c r="A231" s="72" t="str">
        <f>IF('Sch2a-Imp Price by ECM'!B232="","",'Sch2a-Imp Price by ECM'!B232)</f>
        <v/>
      </c>
      <c r="B231" s="139" t="str">
        <f>IF('Sch2a-Imp Price by ECM'!D232="","",'Sch2a-Imp Price by ECM'!D232)</f>
        <v/>
      </c>
      <c r="C231" s="358" t="str">
        <f>IF('Sch2a-Imp Price by ECM'!G232="","",'Sch2a-Imp Price by ECM'!G232)</f>
        <v/>
      </c>
      <c r="D231" s="471"/>
      <c r="E231" s="350"/>
      <c r="F231" s="350"/>
      <c r="G231" s="350"/>
      <c r="H231" s="350"/>
      <c r="I231" s="242"/>
      <c r="J231" s="350"/>
      <c r="K231" s="350"/>
      <c r="L231" s="241"/>
      <c r="M231" s="241"/>
      <c r="N231" s="241"/>
      <c r="O231" s="235"/>
      <c r="P231" s="350"/>
      <c r="Q231" s="241"/>
      <c r="R231" s="351"/>
      <c r="S231" s="241"/>
      <c r="T231" s="351"/>
      <c r="U231" s="352"/>
      <c r="V231" s="351"/>
      <c r="W231" s="352"/>
      <c r="X231" s="383"/>
      <c r="Y231" s="352"/>
      <c r="Z231" s="349">
        <f t="shared" si="12"/>
        <v>0</v>
      </c>
      <c r="AA231" s="13">
        <f t="shared" si="13"/>
        <v>0</v>
      </c>
      <c r="AB231" s="351"/>
      <c r="AC231" s="352"/>
      <c r="AD231" s="351"/>
      <c r="AE231" s="352"/>
      <c r="AF231" s="352"/>
      <c r="AG231" s="352"/>
      <c r="AH231" s="108">
        <f t="shared" si="14"/>
        <v>0</v>
      </c>
      <c r="AI231" s="108" t="str">
        <f>IF('Sch2a-Imp Price by ECM'!C232="Yes", 0, 'Sch2a-Imp Price by ECM'!L232)</f>
        <v/>
      </c>
      <c r="AJ231" s="124" t="str">
        <f t="shared" si="15"/>
        <v/>
      </c>
      <c r="AK231" s="1" t="str">
        <f>IF('Sch2a-Imp Price by ECM'!M232="","",'Sch2a-Imp Price by ECM'!M232)</f>
        <v/>
      </c>
    </row>
    <row r="232" spans="1:37" ht="16.5" thickBot="1">
      <c r="A232" s="72" t="str">
        <f>IF('Sch2a-Imp Price by ECM'!B233="","",'Sch2a-Imp Price by ECM'!B233)</f>
        <v/>
      </c>
      <c r="B232" s="139" t="str">
        <f>IF('Sch2a-Imp Price by ECM'!D233="","",'Sch2a-Imp Price by ECM'!D233)</f>
        <v/>
      </c>
      <c r="C232" s="358" t="str">
        <f>IF('Sch2a-Imp Price by ECM'!G233="","",'Sch2a-Imp Price by ECM'!G233)</f>
        <v/>
      </c>
      <c r="D232" s="471"/>
      <c r="E232" s="350"/>
      <c r="F232" s="350"/>
      <c r="G232" s="350"/>
      <c r="H232" s="350"/>
      <c r="I232" s="242"/>
      <c r="J232" s="350"/>
      <c r="K232" s="350"/>
      <c r="L232" s="241"/>
      <c r="M232" s="241"/>
      <c r="N232" s="241"/>
      <c r="O232" s="235"/>
      <c r="P232" s="350"/>
      <c r="Q232" s="241"/>
      <c r="R232" s="351"/>
      <c r="S232" s="241"/>
      <c r="T232" s="351"/>
      <c r="U232" s="352"/>
      <c r="V232" s="351"/>
      <c r="W232" s="352"/>
      <c r="X232" s="383"/>
      <c r="Y232" s="352"/>
      <c r="Z232" s="349">
        <f t="shared" si="12"/>
        <v>0</v>
      </c>
      <c r="AA232" s="13">
        <f t="shared" si="13"/>
        <v>0</v>
      </c>
      <c r="AB232" s="351"/>
      <c r="AC232" s="352"/>
      <c r="AD232" s="351"/>
      <c r="AE232" s="352"/>
      <c r="AF232" s="352"/>
      <c r="AG232" s="352"/>
      <c r="AH232" s="108">
        <f t="shared" si="14"/>
        <v>0</v>
      </c>
      <c r="AI232" s="108" t="str">
        <f>IF('Sch2a-Imp Price by ECM'!C233="Yes", 0, 'Sch2a-Imp Price by ECM'!L233)</f>
        <v/>
      </c>
      <c r="AJ232" s="124" t="str">
        <f t="shared" si="15"/>
        <v/>
      </c>
      <c r="AK232" s="1" t="str">
        <f>IF('Sch2a-Imp Price by ECM'!M233="","",'Sch2a-Imp Price by ECM'!M233)</f>
        <v/>
      </c>
    </row>
    <row r="233" spans="1:37" ht="16.5" thickBot="1">
      <c r="A233" s="72" t="str">
        <f>IF('Sch2a-Imp Price by ECM'!B234="","",'Sch2a-Imp Price by ECM'!B234)</f>
        <v/>
      </c>
      <c r="B233" s="139" t="str">
        <f>IF('Sch2a-Imp Price by ECM'!D234="","",'Sch2a-Imp Price by ECM'!D234)</f>
        <v/>
      </c>
      <c r="C233" s="358" t="str">
        <f>IF('Sch2a-Imp Price by ECM'!G234="","",'Sch2a-Imp Price by ECM'!G234)</f>
        <v/>
      </c>
      <c r="D233" s="471"/>
      <c r="E233" s="350"/>
      <c r="F233" s="350"/>
      <c r="G233" s="350"/>
      <c r="H233" s="350"/>
      <c r="I233" s="242"/>
      <c r="J233" s="350"/>
      <c r="K233" s="350"/>
      <c r="L233" s="241"/>
      <c r="M233" s="241"/>
      <c r="N233" s="241"/>
      <c r="O233" s="235"/>
      <c r="P233" s="350"/>
      <c r="Q233" s="241"/>
      <c r="R233" s="351"/>
      <c r="S233" s="241"/>
      <c r="T233" s="351"/>
      <c r="U233" s="352"/>
      <c r="V233" s="351"/>
      <c r="W233" s="352"/>
      <c r="X233" s="383"/>
      <c r="Y233" s="352"/>
      <c r="Z233" s="349">
        <f t="shared" si="12"/>
        <v>0</v>
      </c>
      <c r="AA233" s="13">
        <f t="shared" si="13"/>
        <v>0</v>
      </c>
      <c r="AB233" s="351"/>
      <c r="AC233" s="352"/>
      <c r="AD233" s="351"/>
      <c r="AE233" s="352"/>
      <c r="AF233" s="352"/>
      <c r="AG233" s="352"/>
      <c r="AH233" s="108">
        <f t="shared" si="14"/>
        <v>0</v>
      </c>
      <c r="AI233" s="108" t="str">
        <f>IF('Sch2a-Imp Price by ECM'!C234="Yes", 0, 'Sch2a-Imp Price by ECM'!L234)</f>
        <v/>
      </c>
      <c r="AJ233" s="124" t="str">
        <f t="shared" si="15"/>
        <v/>
      </c>
      <c r="AK233" s="1" t="str">
        <f>IF('Sch2a-Imp Price by ECM'!M234="","",'Sch2a-Imp Price by ECM'!M234)</f>
        <v/>
      </c>
    </row>
    <row r="234" spans="1:37" ht="16.5" thickBot="1">
      <c r="A234" s="72" t="str">
        <f>IF('Sch2a-Imp Price by ECM'!B235="","",'Sch2a-Imp Price by ECM'!B235)</f>
        <v/>
      </c>
      <c r="B234" s="139" t="str">
        <f>IF('Sch2a-Imp Price by ECM'!D235="","",'Sch2a-Imp Price by ECM'!D235)</f>
        <v/>
      </c>
      <c r="C234" s="358" t="str">
        <f>IF('Sch2a-Imp Price by ECM'!G235="","",'Sch2a-Imp Price by ECM'!G235)</f>
        <v/>
      </c>
      <c r="D234" s="471"/>
      <c r="E234" s="350"/>
      <c r="F234" s="350"/>
      <c r="G234" s="350"/>
      <c r="H234" s="350"/>
      <c r="I234" s="242"/>
      <c r="J234" s="350"/>
      <c r="K234" s="350"/>
      <c r="L234" s="241"/>
      <c r="M234" s="241"/>
      <c r="N234" s="241"/>
      <c r="O234" s="235"/>
      <c r="P234" s="350"/>
      <c r="Q234" s="241"/>
      <c r="R234" s="351"/>
      <c r="S234" s="241"/>
      <c r="T234" s="351"/>
      <c r="U234" s="352"/>
      <c r="V234" s="351"/>
      <c r="W234" s="352"/>
      <c r="X234" s="383"/>
      <c r="Y234" s="352"/>
      <c r="Z234" s="349">
        <f t="shared" si="12"/>
        <v>0</v>
      </c>
      <c r="AA234" s="13">
        <f t="shared" si="13"/>
        <v>0</v>
      </c>
      <c r="AB234" s="351"/>
      <c r="AC234" s="352"/>
      <c r="AD234" s="351"/>
      <c r="AE234" s="352"/>
      <c r="AF234" s="352"/>
      <c r="AG234" s="352"/>
      <c r="AH234" s="108">
        <f t="shared" si="14"/>
        <v>0</v>
      </c>
      <c r="AI234" s="108" t="str">
        <f>IF('Sch2a-Imp Price by ECM'!C235="Yes", 0, 'Sch2a-Imp Price by ECM'!L235)</f>
        <v/>
      </c>
      <c r="AJ234" s="124" t="str">
        <f t="shared" si="15"/>
        <v/>
      </c>
      <c r="AK234" s="1" t="str">
        <f>IF('Sch2a-Imp Price by ECM'!M235="","",'Sch2a-Imp Price by ECM'!M235)</f>
        <v/>
      </c>
    </row>
    <row r="235" spans="1:37" ht="16.5" thickBot="1">
      <c r="A235" s="72" t="str">
        <f>IF('Sch2a-Imp Price by ECM'!B236="","",'Sch2a-Imp Price by ECM'!B236)</f>
        <v/>
      </c>
      <c r="B235" s="139" t="str">
        <f>IF('Sch2a-Imp Price by ECM'!D236="","",'Sch2a-Imp Price by ECM'!D236)</f>
        <v/>
      </c>
      <c r="C235" s="358" t="str">
        <f>IF('Sch2a-Imp Price by ECM'!G236="","",'Sch2a-Imp Price by ECM'!G236)</f>
        <v/>
      </c>
      <c r="D235" s="471"/>
      <c r="E235" s="350"/>
      <c r="F235" s="350"/>
      <c r="G235" s="350"/>
      <c r="H235" s="350"/>
      <c r="I235" s="242"/>
      <c r="J235" s="350"/>
      <c r="K235" s="350"/>
      <c r="L235" s="241"/>
      <c r="M235" s="241"/>
      <c r="N235" s="241"/>
      <c r="O235" s="235"/>
      <c r="P235" s="350"/>
      <c r="Q235" s="241"/>
      <c r="R235" s="351"/>
      <c r="S235" s="241"/>
      <c r="T235" s="351"/>
      <c r="U235" s="352"/>
      <c r="V235" s="351"/>
      <c r="W235" s="352"/>
      <c r="X235" s="383"/>
      <c r="Y235" s="352"/>
      <c r="Z235" s="349">
        <f t="shared" si="12"/>
        <v>0</v>
      </c>
      <c r="AA235" s="13">
        <f t="shared" si="13"/>
        <v>0</v>
      </c>
      <c r="AB235" s="351"/>
      <c r="AC235" s="352"/>
      <c r="AD235" s="351"/>
      <c r="AE235" s="352"/>
      <c r="AF235" s="352"/>
      <c r="AG235" s="352"/>
      <c r="AH235" s="108">
        <f t="shared" si="14"/>
        <v>0</v>
      </c>
      <c r="AI235" s="108" t="str">
        <f>IF('Sch2a-Imp Price by ECM'!C236="Yes", 0, 'Sch2a-Imp Price by ECM'!L236)</f>
        <v/>
      </c>
      <c r="AJ235" s="124" t="str">
        <f t="shared" si="15"/>
        <v/>
      </c>
      <c r="AK235" s="1" t="str">
        <f>IF('Sch2a-Imp Price by ECM'!M236="","",'Sch2a-Imp Price by ECM'!M236)</f>
        <v/>
      </c>
    </row>
    <row r="236" spans="1:37" ht="16.5" thickBot="1">
      <c r="A236" s="72" t="str">
        <f>IF('Sch2a-Imp Price by ECM'!B237="","",'Sch2a-Imp Price by ECM'!B237)</f>
        <v/>
      </c>
      <c r="B236" s="139" t="str">
        <f>IF('Sch2a-Imp Price by ECM'!D237="","",'Sch2a-Imp Price by ECM'!D237)</f>
        <v/>
      </c>
      <c r="C236" s="358" t="str">
        <f>IF('Sch2a-Imp Price by ECM'!G237="","",'Sch2a-Imp Price by ECM'!G237)</f>
        <v/>
      </c>
      <c r="D236" s="471"/>
      <c r="E236" s="350"/>
      <c r="F236" s="350"/>
      <c r="G236" s="350"/>
      <c r="H236" s="350"/>
      <c r="I236" s="242"/>
      <c r="J236" s="350"/>
      <c r="K236" s="350"/>
      <c r="L236" s="241"/>
      <c r="M236" s="241"/>
      <c r="N236" s="241"/>
      <c r="O236" s="235"/>
      <c r="P236" s="350"/>
      <c r="Q236" s="241"/>
      <c r="R236" s="351"/>
      <c r="S236" s="241"/>
      <c r="T236" s="351"/>
      <c r="U236" s="352"/>
      <c r="V236" s="351"/>
      <c r="W236" s="352"/>
      <c r="X236" s="383"/>
      <c r="Y236" s="352"/>
      <c r="Z236" s="349">
        <f t="shared" si="12"/>
        <v>0</v>
      </c>
      <c r="AA236" s="13">
        <f t="shared" si="13"/>
        <v>0</v>
      </c>
      <c r="AB236" s="351"/>
      <c r="AC236" s="352"/>
      <c r="AD236" s="351"/>
      <c r="AE236" s="352"/>
      <c r="AF236" s="352"/>
      <c r="AG236" s="352"/>
      <c r="AH236" s="108">
        <f t="shared" si="14"/>
        <v>0</v>
      </c>
      <c r="AI236" s="108" t="str">
        <f>IF('Sch2a-Imp Price by ECM'!C237="Yes", 0, 'Sch2a-Imp Price by ECM'!L237)</f>
        <v/>
      </c>
      <c r="AJ236" s="124" t="str">
        <f t="shared" si="15"/>
        <v/>
      </c>
      <c r="AK236" s="1" t="str">
        <f>IF('Sch2a-Imp Price by ECM'!M237="","",'Sch2a-Imp Price by ECM'!M237)</f>
        <v/>
      </c>
    </row>
    <row r="237" spans="1:37" ht="16.5" thickBot="1">
      <c r="A237" s="72" t="str">
        <f>IF('Sch2a-Imp Price by ECM'!B238="","",'Sch2a-Imp Price by ECM'!B238)</f>
        <v/>
      </c>
      <c r="B237" s="139" t="str">
        <f>IF('Sch2a-Imp Price by ECM'!D238="","",'Sch2a-Imp Price by ECM'!D238)</f>
        <v/>
      </c>
      <c r="C237" s="358" t="str">
        <f>IF('Sch2a-Imp Price by ECM'!G238="","",'Sch2a-Imp Price by ECM'!G238)</f>
        <v/>
      </c>
      <c r="D237" s="471"/>
      <c r="E237" s="350"/>
      <c r="F237" s="350"/>
      <c r="G237" s="350"/>
      <c r="H237" s="350"/>
      <c r="I237" s="242"/>
      <c r="J237" s="350"/>
      <c r="K237" s="350"/>
      <c r="L237" s="241"/>
      <c r="M237" s="241"/>
      <c r="N237" s="241"/>
      <c r="O237" s="235"/>
      <c r="P237" s="350"/>
      <c r="Q237" s="241"/>
      <c r="R237" s="351"/>
      <c r="S237" s="241"/>
      <c r="T237" s="351"/>
      <c r="U237" s="352"/>
      <c r="V237" s="351"/>
      <c r="W237" s="352"/>
      <c r="X237" s="383"/>
      <c r="Y237" s="352"/>
      <c r="Z237" s="349">
        <f t="shared" si="12"/>
        <v>0</v>
      </c>
      <c r="AA237" s="13">
        <f t="shared" si="13"/>
        <v>0</v>
      </c>
      <c r="AB237" s="351"/>
      <c r="AC237" s="352"/>
      <c r="AD237" s="351"/>
      <c r="AE237" s="352"/>
      <c r="AF237" s="352"/>
      <c r="AG237" s="352"/>
      <c r="AH237" s="108">
        <f t="shared" si="14"/>
        <v>0</v>
      </c>
      <c r="AI237" s="108" t="str">
        <f>IF('Sch2a-Imp Price by ECM'!C238="Yes", 0, 'Sch2a-Imp Price by ECM'!L238)</f>
        <v/>
      </c>
      <c r="AJ237" s="124" t="str">
        <f t="shared" si="15"/>
        <v/>
      </c>
      <c r="AK237" s="1" t="str">
        <f>IF('Sch2a-Imp Price by ECM'!M238="","",'Sch2a-Imp Price by ECM'!M238)</f>
        <v/>
      </c>
    </row>
    <row r="238" spans="1:37" ht="16.5" thickBot="1">
      <c r="A238" s="72" t="str">
        <f>IF('Sch2a-Imp Price by ECM'!B239="","",'Sch2a-Imp Price by ECM'!B239)</f>
        <v/>
      </c>
      <c r="B238" s="139" t="str">
        <f>IF('Sch2a-Imp Price by ECM'!D239="","",'Sch2a-Imp Price by ECM'!D239)</f>
        <v/>
      </c>
      <c r="C238" s="358" t="str">
        <f>IF('Sch2a-Imp Price by ECM'!G239="","",'Sch2a-Imp Price by ECM'!G239)</f>
        <v/>
      </c>
      <c r="D238" s="471"/>
      <c r="E238" s="350"/>
      <c r="F238" s="350"/>
      <c r="G238" s="350"/>
      <c r="H238" s="350"/>
      <c r="I238" s="242"/>
      <c r="J238" s="350"/>
      <c r="K238" s="350"/>
      <c r="L238" s="241"/>
      <c r="M238" s="241"/>
      <c r="N238" s="241"/>
      <c r="O238" s="235"/>
      <c r="P238" s="350"/>
      <c r="Q238" s="241"/>
      <c r="R238" s="351"/>
      <c r="S238" s="241"/>
      <c r="T238" s="351"/>
      <c r="U238" s="352"/>
      <c r="V238" s="351"/>
      <c r="W238" s="352"/>
      <c r="X238" s="383"/>
      <c r="Y238" s="352"/>
      <c r="Z238" s="349">
        <f t="shared" si="12"/>
        <v>0</v>
      </c>
      <c r="AA238" s="13">
        <f t="shared" si="13"/>
        <v>0</v>
      </c>
      <c r="AB238" s="351"/>
      <c r="AC238" s="352"/>
      <c r="AD238" s="351"/>
      <c r="AE238" s="352"/>
      <c r="AF238" s="352"/>
      <c r="AG238" s="352"/>
      <c r="AH238" s="108">
        <f t="shared" si="14"/>
        <v>0</v>
      </c>
      <c r="AI238" s="108" t="str">
        <f>IF('Sch2a-Imp Price by ECM'!C239="Yes", 0, 'Sch2a-Imp Price by ECM'!L239)</f>
        <v/>
      </c>
      <c r="AJ238" s="124" t="str">
        <f t="shared" si="15"/>
        <v/>
      </c>
      <c r="AK238" s="1" t="str">
        <f>IF('Sch2a-Imp Price by ECM'!M239="","",'Sch2a-Imp Price by ECM'!M239)</f>
        <v/>
      </c>
    </row>
    <row r="239" spans="1:37" ht="16.5" thickBot="1">
      <c r="A239" s="72" t="str">
        <f>IF('Sch2a-Imp Price by ECM'!B240="","",'Sch2a-Imp Price by ECM'!B240)</f>
        <v/>
      </c>
      <c r="B239" s="139" t="str">
        <f>IF('Sch2a-Imp Price by ECM'!D240="","",'Sch2a-Imp Price by ECM'!D240)</f>
        <v/>
      </c>
      <c r="C239" s="358" t="str">
        <f>IF('Sch2a-Imp Price by ECM'!G240="","",'Sch2a-Imp Price by ECM'!G240)</f>
        <v/>
      </c>
      <c r="D239" s="471"/>
      <c r="E239" s="350"/>
      <c r="F239" s="350"/>
      <c r="G239" s="350"/>
      <c r="H239" s="350"/>
      <c r="I239" s="242"/>
      <c r="J239" s="350"/>
      <c r="K239" s="350"/>
      <c r="L239" s="241"/>
      <c r="M239" s="241"/>
      <c r="N239" s="241"/>
      <c r="O239" s="235"/>
      <c r="P239" s="350"/>
      <c r="Q239" s="241"/>
      <c r="R239" s="351"/>
      <c r="S239" s="241"/>
      <c r="T239" s="351"/>
      <c r="U239" s="352"/>
      <c r="V239" s="351"/>
      <c r="W239" s="352"/>
      <c r="X239" s="383"/>
      <c r="Y239" s="352"/>
      <c r="Z239" s="349">
        <f t="shared" si="12"/>
        <v>0</v>
      </c>
      <c r="AA239" s="13">
        <f t="shared" si="13"/>
        <v>0</v>
      </c>
      <c r="AB239" s="351"/>
      <c r="AC239" s="352"/>
      <c r="AD239" s="351"/>
      <c r="AE239" s="352"/>
      <c r="AF239" s="352"/>
      <c r="AG239" s="352"/>
      <c r="AH239" s="108">
        <f t="shared" si="14"/>
        <v>0</v>
      </c>
      <c r="AI239" s="108" t="str">
        <f>IF('Sch2a-Imp Price by ECM'!C240="Yes", 0, 'Sch2a-Imp Price by ECM'!L240)</f>
        <v/>
      </c>
      <c r="AJ239" s="124" t="str">
        <f t="shared" si="15"/>
        <v/>
      </c>
      <c r="AK239" s="1" t="str">
        <f>IF('Sch2a-Imp Price by ECM'!M240="","",'Sch2a-Imp Price by ECM'!M240)</f>
        <v/>
      </c>
    </row>
    <row r="240" spans="1:37" ht="16.5" thickBot="1">
      <c r="A240" s="72" t="str">
        <f>IF('Sch2a-Imp Price by ECM'!B241="","",'Sch2a-Imp Price by ECM'!B241)</f>
        <v/>
      </c>
      <c r="B240" s="139" t="str">
        <f>IF('Sch2a-Imp Price by ECM'!D241="","",'Sch2a-Imp Price by ECM'!D241)</f>
        <v/>
      </c>
      <c r="C240" s="358" t="str">
        <f>IF('Sch2a-Imp Price by ECM'!G241="","",'Sch2a-Imp Price by ECM'!G241)</f>
        <v/>
      </c>
      <c r="D240" s="471"/>
      <c r="E240" s="350"/>
      <c r="F240" s="350"/>
      <c r="G240" s="350"/>
      <c r="H240" s="350"/>
      <c r="I240" s="242"/>
      <c r="J240" s="350"/>
      <c r="K240" s="350"/>
      <c r="L240" s="241"/>
      <c r="M240" s="241"/>
      <c r="N240" s="241"/>
      <c r="O240" s="242"/>
      <c r="P240" s="350"/>
      <c r="Q240" s="241"/>
      <c r="R240" s="351"/>
      <c r="S240" s="241"/>
      <c r="T240" s="351"/>
      <c r="U240" s="352"/>
      <c r="V240" s="351"/>
      <c r="W240" s="352"/>
      <c r="X240" s="383"/>
      <c r="Y240" s="352"/>
      <c r="Z240" s="349">
        <f t="shared" si="12"/>
        <v>0</v>
      </c>
      <c r="AA240" s="13">
        <f t="shared" si="13"/>
        <v>0</v>
      </c>
      <c r="AB240" s="351"/>
      <c r="AC240" s="352"/>
      <c r="AD240" s="351"/>
      <c r="AE240" s="352"/>
      <c r="AF240" s="352"/>
      <c r="AG240" s="352"/>
      <c r="AH240" s="108">
        <f t="shared" si="14"/>
        <v>0</v>
      </c>
      <c r="AI240" s="108" t="str">
        <f>IF('Sch2a-Imp Price by ECM'!C241="Yes", 0, 'Sch2a-Imp Price by ECM'!L241)</f>
        <v/>
      </c>
      <c r="AJ240" s="124" t="str">
        <f t="shared" si="15"/>
        <v/>
      </c>
      <c r="AK240" s="1" t="str">
        <f>IF('Sch2a-Imp Price by ECM'!M241="","",'Sch2a-Imp Price by ECM'!M241)</f>
        <v/>
      </c>
    </row>
    <row r="241" spans="1:37" ht="16.5" thickBot="1">
      <c r="A241" s="72" t="str">
        <f>IF('Sch2a-Imp Price by ECM'!B242="","",'Sch2a-Imp Price by ECM'!B242)</f>
        <v/>
      </c>
      <c r="B241" s="139" t="str">
        <f>IF('Sch2a-Imp Price by ECM'!D242="","",'Sch2a-Imp Price by ECM'!D242)</f>
        <v/>
      </c>
      <c r="C241" s="358" t="str">
        <f>IF('Sch2a-Imp Price by ECM'!G242="","",'Sch2a-Imp Price by ECM'!G242)</f>
        <v/>
      </c>
      <c r="D241" s="471"/>
      <c r="E241" s="350"/>
      <c r="F241" s="350"/>
      <c r="G241" s="350"/>
      <c r="H241" s="350"/>
      <c r="I241" s="242"/>
      <c r="J241" s="350"/>
      <c r="K241" s="350"/>
      <c r="L241" s="241"/>
      <c r="M241" s="241"/>
      <c r="N241" s="241"/>
      <c r="O241" s="242"/>
      <c r="P241" s="350"/>
      <c r="Q241" s="241"/>
      <c r="R241" s="351"/>
      <c r="S241" s="241"/>
      <c r="T241" s="351"/>
      <c r="U241" s="352"/>
      <c r="V241" s="351"/>
      <c r="W241" s="352"/>
      <c r="X241" s="383"/>
      <c r="Y241" s="352"/>
      <c r="Z241" s="349">
        <f t="shared" si="12"/>
        <v>0</v>
      </c>
      <c r="AA241" s="13">
        <f t="shared" si="13"/>
        <v>0</v>
      </c>
      <c r="AB241" s="351"/>
      <c r="AC241" s="352"/>
      <c r="AD241" s="351"/>
      <c r="AE241" s="352"/>
      <c r="AF241" s="352"/>
      <c r="AG241" s="352"/>
      <c r="AH241" s="108">
        <f t="shared" si="14"/>
        <v>0</v>
      </c>
      <c r="AI241" s="108" t="str">
        <f>IF('Sch2a-Imp Price by ECM'!C242="Yes", 0, 'Sch2a-Imp Price by ECM'!L242)</f>
        <v/>
      </c>
      <c r="AJ241" s="124" t="str">
        <f t="shared" si="15"/>
        <v/>
      </c>
      <c r="AK241" s="1" t="str">
        <f>IF('Sch2a-Imp Price by ECM'!M242="","",'Sch2a-Imp Price by ECM'!M242)</f>
        <v/>
      </c>
    </row>
    <row r="242" spans="1:37" ht="16.5" thickBot="1">
      <c r="A242" s="72" t="str">
        <f>IF('Sch2a-Imp Price by ECM'!B243="","",'Sch2a-Imp Price by ECM'!B243)</f>
        <v/>
      </c>
      <c r="B242" s="139" t="str">
        <f>IF('Sch2a-Imp Price by ECM'!D243="","",'Sch2a-Imp Price by ECM'!D243)</f>
        <v/>
      </c>
      <c r="C242" s="358" t="str">
        <f>IF('Sch2a-Imp Price by ECM'!G243="","",'Sch2a-Imp Price by ECM'!G243)</f>
        <v/>
      </c>
      <c r="D242" s="471"/>
      <c r="E242" s="350"/>
      <c r="F242" s="350"/>
      <c r="G242" s="350"/>
      <c r="H242" s="350"/>
      <c r="I242" s="242"/>
      <c r="J242" s="350"/>
      <c r="K242" s="350"/>
      <c r="L242" s="241"/>
      <c r="M242" s="241"/>
      <c r="N242" s="241"/>
      <c r="O242" s="242"/>
      <c r="P242" s="350"/>
      <c r="Q242" s="241"/>
      <c r="R242" s="351"/>
      <c r="S242" s="241"/>
      <c r="T242" s="351"/>
      <c r="U242" s="352"/>
      <c r="V242" s="351"/>
      <c r="W242" s="352"/>
      <c r="X242" s="383"/>
      <c r="Y242" s="352"/>
      <c r="Z242" s="349">
        <f t="shared" si="12"/>
        <v>0</v>
      </c>
      <c r="AA242" s="13">
        <f t="shared" si="13"/>
        <v>0</v>
      </c>
      <c r="AB242" s="351"/>
      <c r="AC242" s="352"/>
      <c r="AD242" s="351"/>
      <c r="AE242" s="352"/>
      <c r="AF242" s="352"/>
      <c r="AG242" s="352"/>
      <c r="AH242" s="108">
        <f t="shared" si="14"/>
        <v>0</v>
      </c>
      <c r="AI242" s="108" t="str">
        <f>IF('Sch2a-Imp Price by ECM'!C243="Yes", 0, 'Sch2a-Imp Price by ECM'!L243)</f>
        <v/>
      </c>
      <c r="AJ242" s="124" t="str">
        <f t="shared" si="15"/>
        <v/>
      </c>
      <c r="AK242" s="1" t="str">
        <f>IF('Sch2a-Imp Price by ECM'!M243="","",'Sch2a-Imp Price by ECM'!M243)</f>
        <v/>
      </c>
    </row>
    <row r="243" spans="1:37" ht="16.5" thickBot="1">
      <c r="A243" s="72" t="str">
        <f>IF('Sch2a-Imp Price by ECM'!B244="","",'Sch2a-Imp Price by ECM'!B244)</f>
        <v/>
      </c>
      <c r="B243" s="139" t="str">
        <f>IF('Sch2a-Imp Price by ECM'!D244="","",'Sch2a-Imp Price by ECM'!D244)</f>
        <v/>
      </c>
      <c r="C243" s="358" t="str">
        <f>IF('Sch2a-Imp Price by ECM'!G244="","",'Sch2a-Imp Price by ECM'!G244)</f>
        <v/>
      </c>
      <c r="D243" s="471"/>
      <c r="E243" s="350"/>
      <c r="F243" s="350"/>
      <c r="G243" s="350"/>
      <c r="H243" s="350"/>
      <c r="I243" s="242"/>
      <c r="J243" s="350"/>
      <c r="K243" s="350"/>
      <c r="L243" s="241"/>
      <c r="M243" s="241"/>
      <c r="N243" s="241"/>
      <c r="O243" s="242"/>
      <c r="P243" s="350"/>
      <c r="Q243" s="241"/>
      <c r="R243" s="351"/>
      <c r="S243" s="241"/>
      <c r="T243" s="351"/>
      <c r="U243" s="352"/>
      <c r="V243" s="351"/>
      <c r="W243" s="352"/>
      <c r="X243" s="383"/>
      <c r="Y243" s="352"/>
      <c r="Z243" s="349">
        <f t="shared" si="12"/>
        <v>0</v>
      </c>
      <c r="AA243" s="13">
        <f t="shared" si="13"/>
        <v>0</v>
      </c>
      <c r="AB243" s="351"/>
      <c r="AC243" s="352"/>
      <c r="AD243" s="351"/>
      <c r="AE243" s="352"/>
      <c r="AF243" s="352"/>
      <c r="AG243" s="352"/>
      <c r="AH243" s="108">
        <f t="shared" si="14"/>
        <v>0</v>
      </c>
      <c r="AI243" s="108" t="str">
        <f>IF('Sch2a-Imp Price by ECM'!C244="Yes", 0, 'Sch2a-Imp Price by ECM'!L244)</f>
        <v/>
      </c>
      <c r="AJ243" s="124" t="str">
        <f t="shared" si="15"/>
        <v/>
      </c>
      <c r="AK243" s="1" t="str">
        <f>IF('Sch2a-Imp Price by ECM'!M244="","",'Sch2a-Imp Price by ECM'!M244)</f>
        <v/>
      </c>
    </row>
    <row r="244" spans="1:37" ht="18" customHeight="1" thickBot="1">
      <c r="A244" s="72" t="str">
        <f>IF('Sch2a-Imp Price by ECM'!B245="","",'Sch2a-Imp Price by ECM'!B245)</f>
        <v/>
      </c>
      <c r="B244" s="139" t="str">
        <f>IF('Sch2a-Imp Price by ECM'!D245="","",'Sch2a-Imp Price by ECM'!D245)</f>
        <v/>
      </c>
      <c r="C244" s="358" t="str">
        <f>IF('Sch2a-Imp Price by ECM'!G245="","",'Sch2a-Imp Price by ECM'!G245)</f>
        <v/>
      </c>
      <c r="D244" s="471"/>
      <c r="E244" s="350"/>
      <c r="F244" s="350"/>
      <c r="G244" s="350"/>
      <c r="H244" s="350"/>
      <c r="I244" s="242"/>
      <c r="J244" s="350"/>
      <c r="K244" s="350"/>
      <c r="L244" s="241"/>
      <c r="M244" s="241"/>
      <c r="N244" s="241"/>
      <c r="O244" s="242"/>
      <c r="P244" s="350"/>
      <c r="Q244" s="241"/>
      <c r="R244" s="351"/>
      <c r="S244" s="241"/>
      <c r="T244" s="351"/>
      <c r="U244" s="352"/>
      <c r="V244" s="351"/>
      <c r="W244" s="352"/>
      <c r="X244" s="383"/>
      <c r="Y244" s="352"/>
      <c r="Z244" s="349">
        <f t="shared" si="12"/>
        <v>0</v>
      </c>
      <c r="AA244" s="13">
        <f t="shared" si="13"/>
        <v>0</v>
      </c>
      <c r="AB244" s="351"/>
      <c r="AC244" s="352"/>
      <c r="AD244" s="351"/>
      <c r="AE244" s="352"/>
      <c r="AF244" s="352"/>
      <c r="AG244" s="352"/>
      <c r="AH244" s="108">
        <f t="shared" si="14"/>
        <v>0</v>
      </c>
      <c r="AI244" s="108" t="str">
        <f>IF('Sch2a-Imp Price by ECM'!C245="Yes", 0, 'Sch2a-Imp Price by ECM'!L245)</f>
        <v/>
      </c>
      <c r="AJ244" s="124" t="str">
        <f t="shared" si="15"/>
        <v/>
      </c>
      <c r="AK244" s="1" t="str">
        <f>IF('Sch2a-Imp Price by ECM'!M245="","",'Sch2a-Imp Price by ECM'!M245)</f>
        <v/>
      </c>
    </row>
    <row r="245" spans="1:37" ht="16.5" thickBot="1">
      <c r="A245" s="72" t="str">
        <f>IF('Sch2a-Imp Price by ECM'!B246="","",'Sch2a-Imp Price by ECM'!B246)</f>
        <v/>
      </c>
      <c r="B245" s="139" t="str">
        <f>IF('Sch2a-Imp Price by ECM'!D246="","",'Sch2a-Imp Price by ECM'!D246)</f>
        <v/>
      </c>
      <c r="C245" s="358" t="str">
        <f>IF('Sch2a-Imp Price by ECM'!G246="","",'Sch2a-Imp Price by ECM'!G246)</f>
        <v/>
      </c>
      <c r="D245" s="471"/>
      <c r="E245" s="350"/>
      <c r="F245" s="350"/>
      <c r="G245" s="350"/>
      <c r="H245" s="350"/>
      <c r="I245" s="242"/>
      <c r="J245" s="350"/>
      <c r="K245" s="350"/>
      <c r="L245" s="241"/>
      <c r="M245" s="241"/>
      <c r="N245" s="241"/>
      <c r="O245" s="242"/>
      <c r="P245" s="350"/>
      <c r="Q245" s="241"/>
      <c r="R245" s="351"/>
      <c r="S245" s="241"/>
      <c r="T245" s="351"/>
      <c r="U245" s="352"/>
      <c r="V245" s="351"/>
      <c r="W245" s="352"/>
      <c r="X245" s="383"/>
      <c r="Y245" s="352"/>
      <c r="Z245" s="349">
        <f t="shared" si="12"/>
        <v>0</v>
      </c>
      <c r="AA245" s="13">
        <f t="shared" si="13"/>
        <v>0</v>
      </c>
      <c r="AB245" s="351"/>
      <c r="AC245" s="352"/>
      <c r="AD245" s="351"/>
      <c r="AE245" s="352"/>
      <c r="AF245" s="352"/>
      <c r="AG245" s="352"/>
      <c r="AH245" s="108">
        <f t="shared" si="14"/>
        <v>0</v>
      </c>
      <c r="AI245" s="108" t="str">
        <f>IF('Sch2a-Imp Price by ECM'!C246="Yes", 0, 'Sch2a-Imp Price by ECM'!L246)</f>
        <v/>
      </c>
      <c r="AJ245" s="124" t="str">
        <f t="shared" si="15"/>
        <v/>
      </c>
      <c r="AK245" s="1" t="str">
        <f>IF('Sch2a-Imp Price by ECM'!M246="","",'Sch2a-Imp Price by ECM'!M246)</f>
        <v/>
      </c>
    </row>
    <row r="246" spans="1:37" ht="16.5" thickBot="1">
      <c r="A246" s="72" t="str">
        <f>IF('Sch2a-Imp Price by ECM'!B247="","",'Sch2a-Imp Price by ECM'!B247)</f>
        <v/>
      </c>
      <c r="B246" s="139" t="str">
        <f>IF('Sch2a-Imp Price by ECM'!D247="","",'Sch2a-Imp Price by ECM'!D247)</f>
        <v/>
      </c>
      <c r="C246" s="358" t="str">
        <f>IF('Sch2a-Imp Price by ECM'!G247="","",'Sch2a-Imp Price by ECM'!G247)</f>
        <v/>
      </c>
      <c r="D246" s="471"/>
      <c r="E246" s="350"/>
      <c r="F246" s="350"/>
      <c r="G246" s="350"/>
      <c r="H246" s="350"/>
      <c r="I246" s="242"/>
      <c r="J246" s="350"/>
      <c r="K246" s="350"/>
      <c r="L246" s="241"/>
      <c r="M246" s="241"/>
      <c r="N246" s="241"/>
      <c r="O246" s="242"/>
      <c r="P246" s="350"/>
      <c r="Q246" s="241"/>
      <c r="R246" s="351"/>
      <c r="S246" s="241"/>
      <c r="T246" s="351"/>
      <c r="U246" s="352"/>
      <c r="V246" s="351"/>
      <c r="W246" s="352"/>
      <c r="X246" s="383"/>
      <c r="Y246" s="352"/>
      <c r="Z246" s="349">
        <f t="shared" si="12"/>
        <v>0</v>
      </c>
      <c r="AA246" s="13">
        <f t="shared" si="13"/>
        <v>0</v>
      </c>
      <c r="AB246" s="351"/>
      <c r="AC246" s="352"/>
      <c r="AD246" s="351"/>
      <c r="AE246" s="352"/>
      <c r="AF246" s="352"/>
      <c r="AG246" s="352"/>
      <c r="AH246" s="108">
        <f t="shared" si="14"/>
        <v>0</v>
      </c>
      <c r="AI246" s="108" t="str">
        <f>IF('Sch2a-Imp Price by ECM'!C247="Yes", 0, 'Sch2a-Imp Price by ECM'!L247)</f>
        <v/>
      </c>
      <c r="AJ246" s="124" t="str">
        <f t="shared" si="15"/>
        <v/>
      </c>
      <c r="AK246" s="1" t="str">
        <f>IF('Sch2a-Imp Price by ECM'!M247="","",'Sch2a-Imp Price by ECM'!M247)</f>
        <v/>
      </c>
    </row>
    <row r="247" spans="1:37" ht="16.5" thickBot="1">
      <c r="A247" s="72" t="str">
        <f>IF('Sch2a-Imp Price by ECM'!B248="","",'Sch2a-Imp Price by ECM'!B248)</f>
        <v/>
      </c>
      <c r="B247" s="139" t="str">
        <f>IF('Sch2a-Imp Price by ECM'!D248="","",'Sch2a-Imp Price by ECM'!D248)</f>
        <v/>
      </c>
      <c r="C247" s="358" t="str">
        <f>IF('Sch2a-Imp Price by ECM'!G248="","",'Sch2a-Imp Price by ECM'!G248)</f>
        <v/>
      </c>
      <c r="D247" s="471"/>
      <c r="E247" s="350"/>
      <c r="F247" s="350"/>
      <c r="G247" s="350"/>
      <c r="H247" s="350"/>
      <c r="I247" s="242"/>
      <c r="J247" s="350"/>
      <c r="K247" s="350"/>
      <c r="L247" s="241"/>
      <c r="M247" s="241"/>
      <c r="N247" s="241"/>
      <c r="O247" s="235"/>
      <c r="P247" s="350"/>
      <c r="Q247" s="241"/>
      <c r="R247" s="351"/>
      <c r="S247" s="241"/>
      <c r="T247" s="351"/>
      <c r="U247" s="352"/>
      <c r="V247" s="351"/>
      <c r="W247" s="352"/>
      <c r="X247" s="383"/>
      <c r="Y247" s="352"/>
      <c r="Z247" s="349">
        <f t="shared" si="12"/>
        <v>0</v>
      </c>
      <c r="AA247" s="13">
        <f t="shared" si="13"/>
        <v>0</v>
      </c>
      <c r="AB247" s="351"/>
      <c r="AC247" s="352"/>
      <c r="AD247" s="351"/>
      <c r="AE247" s="352"/>
      <c r="AF247" s="352"/>
      <c r="AG247" s="352"/>
      <c r="AH247" s="108">
        <f t="shared" si="14"/>
        <v>0</v>
      </c>
      <c r="AI247" s="108" t="str">
        <f>IF('Sch2a-Imp Price by ECM'!C248="Yes", 0, 'Sch2a-Imp Price by ECM'!L248)</f>
        <v/>
      </c>
      <c r="AJ247" s="124" t="str">
        <f t="shared" si="15"/>
        <v/>
      </c>
      <c r="AK247" s="1" t="str">
        <f>IF('Sch2a-Imp Price by ECM'!M248="","",'Sch2a-Imp Price by ECM'!M248)</f>
        <v/>
      </c>
    </row>
    <row r="248" spans="1:37" ht="16.5" thickBot="1">
      <c r="A248" s="72" t="str">
        <f>IF('Sch2a-Imp Price by ECM'!B249="","",'Sch2a-Imp Price by ECM'!B249)</f>
        <v/>
      </c>
      <c r="B248" s="139" t="str">
        <f>IF('Sch2a-Imp Price by ECM'!D249="","",'Sch2a-Imp Price by ECM'!D249)</f>
        <v/>
      </c>
      <c r="C248" s="358" t="str">
        <f>IF('Sch2a-Imp Price by ECM'!G249="","",'Sch2a-Imp Price by ECM'!G249)</f>
        <v/>
      </c>
      <c r="D248" s="471"/>
      <c r="E248" s="350"/>
      <c r="F248" s="350"/>
      <c r="G248" s="350"/>
      <c r="H248" s="350"/>
      <c r="I248" s="242"/>
      <c r="J248" s="350"/>
      <c r="K248" s="350"/>
      <c r="L248" s="241"/>
      <c r="M248" s="241"/>
      <c r="N248" s="241"/>
      <c r="O248" s="235"/>
      <c r="P248" s="350"/>
      <c r="Q248" s="241"/>
      <c r="R248" s="351"/>
      <c r="S248" s="241"/>
      <c r="T248" s="351"/>
      <c r="U248" s="352"/>
      <c r="V248" s="351"/>
      <c r="W248" s="352"/>
      <c r="X248" s="383"/>
      <c r="Y248" s="352"/>
      <c r="Z248" s="349">
        <f t="shared" si="12"/>
        <v>0</v>
      </c>
      <c r="AA248" s="13">
        <f t="shared" si="13"/>
        <v>0</v>
      </c>
      <c r="AB248" s="351"/>
      <c r="AC248" s="352"/>
      <c r="AD248" s="351"/>
      <c r="AE248" s="352"/>
      <c r="AF248" s="352"/>
      <c r="AG248" s="352"/>
      <c r="AH248" s="108">
        <f t="shared" si="14"/>
        <v>0</v>
      </c>
      <c r="AI248" s="108" t="str">
        <f>IF('Sch2a-Imp Price by ECM'!C249="Yes", 0, 'Sch2a-Imp Price by ECM'!L249)</f>
        <v/>
      </c>
      <c r="AJ248" s="124" t="str">
        <f t="shared" si="15"/>
        <v/>
      </c>
      <c r="AK248" s="1" t="str">
        <f>IF('Sch2a-Imp Price by ECM'!M249="","",'Sch2a-Imp Price by ECM'!M249)</f>
        <v/>
      </c>
    </row>
    <row r="249" spans="1:37" ht="16.5" thickBot="1">
      <c r="A249" s="72" t="str">
        <f>IF('Sch2a-Imp Price by ECM'!B250="","",'Sch2a-Imp Price by ECM'!B250)</f>
        <v/>
      </c>
      <c r="B249" s="139" t="str">
        <f>IF('Sch2a-Imp Price by ECM'!D250="","",'Sch2a-Imp Price by ECM'!D250)</f>
        <v/>
      </c>
      <c r="C249" s="358" t="str">
        <f>IF('Sch2a-Imp Price by ECM'!G250="","",'Sch2a-Imp Price by ECM'!G250)</f>
        <v/>
      </c>
      <c r="D249" s="471"/>
      <c r="E249" s="350"/>
      <c r="F249" s="350"/>
      <c r="G249" s="350"/>
      <c r="H249" s="350"/>
      <c r="I249" s="242"/>
      <c r="J249" s="350"/>
      <c r="K249" s="350"/>
      <c r="L249" s="241"/>
      <c r="M249" s="241"/>
      <c r="N249" s="241"/>
      <c r="O249" s="235"/>
      <c r="P249" s="350"/>
      <c r="Q249" s="241"/>
      <c r="R249" s="351"/>
      <c r="S249" s="241"/>
      <c r="T249" s="351"/>
      <c r="U249" s="352"/>
      <c r="V249" s="351"/>
      <c r="W249" s="352"/>
      <c r="X249" s="383"/>
      <c r="Y249" s="352"/>
      <c r="Z249" s="349">
        <f t="shared" si="12"/>
        <v>0</v>
      </c>
      <c r="AA249" s="13">
        <f t="shared" si="13"/>
        <v>0</v>
      </c>
      <c r="AB249" s="351"/>
      <c r="AC249" s="352"/>
      <c r="AD249" s="351"/>
      <c r="AE249" s="352"/>
      <c r="AF249" s="352"/>
      <c r="AG249" s="352"/>
      <c r="AH249" s="108">
        <f t="shared" si="14"/>
        <v>0</v>
      </c>
      <c r="AI249" s="108" t="str">
        <f>IF('Sch2a-Imp Price by ECM'!C250="Yes", 0, 'Sch2a-Imp Price by ECM'!L250)</f>
        <v/>
      </c>
      <c r="AJ249" s="124" t="str">
        <f t="shared" si="15"/>
        <v/>
      </c>
      <c r="AK249" s="1" t="str">
        <f>IF('Sch2a-Imp Price by ECM'!M250="","",'Sch2a-Imp Price by ECM'!M250)</f>
        <v/>
      </c>
    </row>
    <row r="250" spans="1:37" ht="16.5" thickBot="1">
      <c r="A250" s="72" t="str">
        <f>IF('Sch2a-Imp Price by ECM'!B251="","",'Sch2a-Imp Price by ECM'!B251)</f>
        <v/>
      </c>
      <c r="B250" s="139" t="str">
        <f>IF('Sch2a-Imp Price by ECM'!D251="","",'Sch2a-Imp Price by ECM'!D251)</f>
        <v/>
      </c>
      <c r="C250" s="358" t="str">
        <f>IF('Sch2a-Imp Price by ECM'!G251="","",'Sch2a-Imp Price by ECM'!G251)</f>
        <v/>
      </c>
      <c r="D250" s="471"/>
      <c r="E250" s="350"/>
      <c r="F250" s="350"/>
      <c r="G250" s="350"/>
      <c r="H250" s="350"/>
      <c r="I250" s="242"/>
      <c r="J250" s="350"/>
      <c r="K250" s="350"/>
      <c r="L250" s="241"/>
      <c r="M250" s="241"/>
      <c r="N250" s="241"/>
      <c r="O250" s="235"/>
      <c r="P250" s="350"/>
      <c r="Q250" s="241"/>
      <c r="R250" s="351"/>
      <c r="S250" s="241"/>
      <c r="T250" s="351"/>
      <c r="U250" s="352"/>
      <c r="V250" s="351"/>
      <c r="W250" s="352"/>
      <c r="X250" s="383"/>
      <c r="Y250" s="352"/>
      <c r="Z250" s="349">
        <f t="shared" si="12"/>
        <v>0</v>
      </c>
      <c r="AA250" s="13">
        <f t="shared" si="13"/>
        <v>0</v>
      </c>
      <c r="AB250" s="351"/>
      <c r="AC250" s="352"/>
      <c r="AD250" s="351"/>
      <c r="AE250" s="352"/>
      <c r="AF250" s="352"/>
      <c r="AG250" s="352"/>
      <c r="AH250" s="108">
        <f t="shared" si="14"/>
        <v>0</v>
      </c>
      <c r="AI250" s="108" t="str">
        <f>IF('Sch2a-Imp Price by ECM'!C251="Yes", 0, 'Sch2a-Imp Price by ECM'!L251)</f>
        <v/>
      </c>
      <c r="AJ250" s="124" t="str">
        <f t="shared" si="15"/>
        <v/>
      </c>
      <c r="AK250" s="1" t="str">
        <f>IF('Sch2a-Imp Price by ECM'!M251="","",'Sch2a-Imp Price by ECM'!M251)</f>
        <v/>
      </c>
    </row>
    <row r="251" spans="1:37" ht="16.5" thickBot="1">
      <c r="A251" s="72" t="str">
        <f>IF('Sch2a-Imp Price by ECM'!B252="","",'Sch2a-Imp Price by ECM'!B252)</f>
        <v/>
      </c>
      <c r="B251" s="139" t="str">
        <f>IF('Sch2a-Imp Price by ECM'!D252="","",'Sch2a-Imp Price by ECM'!D252)</f>
        <v/>
      </c>
      <c r="C251" s="358" t="str">
        <f>IF('Sch2a-Imp Price by ECM'!G252="","",'Sch2a-Imp Price by ECM'!G252)</f>
        <v/>
      </c>
      <c r="D251" s="471"/>
      <c r="E251" s="350"/>
      <c r="F251" s="350"/>
      <c r="G251" s="350"/>
      <c r="H251" s="350"/>
      <c r="I251" s="242"/>
      <c r="J251" s="350"/>
      <c r="K251" s="350"/>
      <c r="L251" s="241"/>
      <c r="M251" s="241"/>
      <c r="N251" s="241"/>
      <c r="O251" s="235"/>
      <c r="P251" s="350"/>
      <c r="Q251" s="241"/>
      <c r="R251" s="351"/>
      <c r="S251" s="241"/>
      <c r="T251" s="351"/>
      <c r="U251" s="352"/>
      <c r="V251" s="351"/>
      <c r="W251" s="352"/>
      <c r="X251" s="383"/>
      <c r="Y251" s="352"/>
      <c r="Z251" s="349">
        <f t="shared" si="12"/>
        <v>0</v>
      </c>
      <c r="AA251" s="13">
        <f t="shared" si="13"/>
        <v>0</v>
      </c>
      <c r="AB251" s="351"/>
      <c r="AC251" s="352"/>
      <c r="AD251" s="351"/>
      <c r="AE251" s="352"/>
      <c r="AF251" s="352"/>
      <c r="AG251" s="352"/>
      <c r="AH251" s="108">
        <f t="shared" si="14"/>
        <v>0</v>
      </c>
      <c r="AI251" s="108" t="str">
        <f>IF('Sch2a-Imp Price by ECM'!C252="Yes", 0, 'Sch2a-Imp Price by ECM'!L252)</f>
        <v/>
      </c>
      <c r="AJ251" s="124" t="str">
        <f t="shared" si="15"/>
        <v/>
      </c>
      <c r="AK251" s="1" t="str">
        <f>IF('Sch2a-Imp Price by ECM'!M252="","",'Sch2a-Imp Price by ECM'!M252)</f>
        <v/>
      </c>
    </row>
    <row r="252" spans="1:37" ht="16.5" thickBot="1">
      <c r="A252" s="72" t="str">
        <f>IF('Sch2a-Imp Price by ECM'!B253="","",'Sch2a-Imp Price by ECM'!B253)</f>
        <v/>
      </c>
      <c r="B252" s="139" t="str">
        <f>IF('Sch2a-Imp Price by ECM'!D253="","",'Sch2a-Imp Price by ECM'!D253)</f>
        <v/>
      </c>
      <c r="C252" s="358" t="str">
        <f>IF('Sch2a-Imp Price by ECM'!G253="","",'Sch2a-Imp Price by ECM'!G253)</f>
        <v/>
      </c>
      <c r="D252" s="471"/>
      <c r="E252" s="350"/>
      <c r="F252" s="350"/>
      <c r="G252" s="350"/>
      <c r="H252" s="350"/>
      <c r="I252" s="242"/>
      <c r="J252" s="350"/>
      <c r="K252" s="350"/>
      <c r="L252" s="241"/>
      <c r="M252" s="241"/>
      <c r="N252" s="241"/>
      <c r="O252" s="235"/>
      <c r="P252" s="350"/>
      <c r="Q252" s="241"/>
      <c r="R252" s="351"/>
      <c r="S252" s="241"/>
      <c r="T252" s="351"/>
      <c r="U252" s="352"/>
      <c r="V252" s="351"/>
      <c r="W252" s="352"/>
      <c r="X252" s="383"/>
      <c r="Y252" s="352"/>
      <c r="Z252" s="349">
        <f t="shared" si="12"/>
        <v>0</v>
      </c>
      <c r="AA252" s="13">
        <f t="shared" si="13"/>
        <v>0</v>
      </c>
      <c r="AB252" s="351"/>
      <c r="AC252" s="352"/>
      <c r="AD252" s="351"/>
      <c r="AE252" s="352"/>
      <c r="AF252" s="352"/>
      <c r="AG252" s="352"/>
      <c r="AH252" s="108">
        <f t="shared" si="14"/>
        <v>0</v>
      </c>
      <c r="AI252" s="108" t="str">
        <f>IF('Sch2a-Imp Price by ECM'!C253="Yes", 0, 'Sch2a-Imp Price by ECM'!L253)</f>
        <v/>
      </c>
      <c r="AJ252" s="124" t="str">
        <f t="shared" si="15"/>
        <v/>
      </c>
      <c r="AK252" s="1" t="str">
        <f>IF('Sch2a-Imp Price by ECM'!M253="","",'Sch2a-Imp Price by ECM'!M253)</f>
        <v/>
      </c>
    </row>
    <row r="253" spans="1:37" ht="16.5" thickBot="1">
      <c r="A253" s="72" t="str">
        <f>IF('Sch2a-Imp Price by ECM'!B254="","",'Sch2a-Imp Price by ECM'!B254)</f>
        <v/>
      </c>
      <c r="B253" s="139" t="str">
        <f>IF('Sch2a-Imp Price by ECM'!D254="","",'Sch2a-Imp Price by ECM'!D254)</f>
        <v/>
      </c>
      <c r="C253" s="358" t="str">
        <f>IF('Sch2a-Imp Price by ECM'!G254="","",'Sch2a-Imp Price by ECM'!G254)</f>
        <v/>
      </c>
      <c r="D253" s="471"/>
      <c r="E253" s="350"/>
      <c r="F253" s="350"/>
      <c r="G253" s="350"/>
      <c r="H253" s="350"/>
      <c r="I253" s="242"/>
      <c r="J253" s="350"/>
      <c r="K253" s="350"/>
      <c r="L253" s="241"/>
      <c r="M253" s="241"/>
      <c r="N253" s="241"/>
      <c r="O253" s="235"/>
      <c r="P253" s="350"/>
      <c r="Q253" s="241"/>
      <c r="R253" s="351"/>
      <c r="S253" s="241"/>
      <c r="T253" s="351"/>
      <c r="U253" s="352"/>
      <c r="V253" s="351"/>
      <c r="W253" s="352"/>
      <c r="X253" s="383"/>
      <c r="Y253" s="352"/>
      <c r="Z253" s="349">
        <f t="shared" si="12"/>
        <v>0</v>
      </c>
      <c r="AA253" s="13">
        <f t="shared" si="13"/>
        <v>0</v>
      </c>
      <c r="AB253" s="351"/>
      <c r="AC253" s="352"/>
      <c r="AD253" s="351"/>
      <c r="AE253" s="352"/>
      <c r="AF253" s="352"/>
      <c r="AG253" s="352"/>
      <c r="AH253" s="108">
        <f t="shared" si="14"/>
        <v>0</v>
      </c>
      <c r="AI253" s="108" t="str">
        <f>IF('Sch2a-Imp Price by ECM'!C254="Yes", 0, 'Sch2a-Imp Price by ECM'!L254)</f>
        <v/>
      </c>
      <c r="AJ253" s="124" t="str">
        <f t="shared" si="15"/>
        <v/>
      </c>
      <c r="AK253" s="1" t="str">
        <f>IF('Sch2a-Imp Price by ECM'!M254="","",'Sch2a-Imp Price by ECM'!M254)</f>
        <v/>
      </c>
    </row>
    <row r="254" spans="1:37" ht="16.5" thickBot="1">
      <c r="A254" s="72" t="str">
        <f>IF('Sch2a-Imp Price by ECM'!B255="","",'Sch2a-Imp Price by ECM'!B255)</f>
        <v/>
      </c>
      <c r="B254" s="139" t="str">
        <f>IF('Sch2a-Imp Price by ECM'!D255="","",'Sch2a-Imp Price by ECM'!D255)</f>
        <v/>
      </c>
      <c r="C254" s="358" t="str">
        <f>IF('Sch2a-Imp Price by ECM'!G255="","",'Sch2a-Imp Price by ECM'!G255)</f>
        <v/>
      </c>
      <c r="D254" s="471"/>
      <c r="E254" s="350"/>
      <c r="F254" s="350"/>
      <c r="G254" s="350"/>
      <c r="H254" s="350"/>
      <c r="I254" s="242"/>
      <c r="J254" s="350"/>
      <c r="K254" s="350"/>
      <c r="L254" s="241"/>
      <c r="M254" s="241"/>
      <c r="N254" s="241"/>
      <c r="O254" s="235"/>
      <c r="P254" s="350"/>
      <c r="Q254" s="241"/>
      <c r="R254" s="351"/>
      <c r="S254" s="241"/>
      <c r="T254" s="351"/>
      <c r="U254" s="352"/>
      <c r="V254" s="351"/>
      <c r="W254" s="352"/>
      <c r="X254" s="383"/>
      <c r="Y254" s="352"/>
      <c r="Z254" s="349">
        <f t="shared" si="12"/>
        <v>0</v>
      </c>
      <c r="AA254" s="13">
        <f t="shared" si="13"/>
        <v>0</v>
      </c>
      <c r="AB254" s="351"/>
      <c r="AC254" s="352"/>
      <c r="AD254" s="351"/>
      <c r="AE254" s="352"/>
      <c r="AF254" s="352"/>
      <c r="AG254" s="352"/>
      <c r="AH254" s="108">
        <f t="shared" si="14"/>
        <v>0</v>
      </c>
      <c r="AI254" s="108" t="str">
        <f>IF('Sch2a-Imp Price by ECM'!C255="Yes", 0, 'Sch2a-Imp Price by ECM'!L255)</f>
        <v/>
      </c>
      <c r="AJ254" s="124" t="str">
        <f t="shared" si="15"/>
        <v/>
      </c>
      <c r="AK254" s="1" t="str">
        <f>IF('Sch2a-Imp Price by ECM'!M255="","",'Sch2a-Imp Price by ECM'!M255)</f>
        <v/>
      </c>
    </row>
    <row r="255" spans="1:37" ht="16.5" thickBot="1">
      <c r="A255" s="72" t="str">
        <f>IF('Sch2a-Imp Price by ECM'!B256="","",'Sch2a-Imp Price by ECM'!B256)</f>
        <v/>
      </c>
      <c r="B255" s="139" t="str">
        <f>IF('Sch2a-Imp Price by ECM'!D256="","",'Sch2a-Imp Price by ECM'!D256)</f>
        <v/>
      </c>
      <c r="C255" s="358" t="str">
        <f>IF('Sch2a-Imp Price by ECM'!G256="","",'Sch2a-Imp Price by ECM'!G256)</f>
        <v/>
      </c>
      <c r="D255" s="471"/>
      <c r="E255" s="350"/>
      <c r="F255" s="350"/>
      <c r="G255" s="350"/>
      <c r="H255" s="350"/>
      <c r="I255" s="242"/>
      <c r="J255" s="350"/>
      <c r="K255" s="350"/>
      <c r="L255" s="241"/>
      <c r="M255" s="241"/>
      <c r="N255" s="241"/>
      <c r="O255" s="235"/>
      <c r="P255" s="350"/>
      <c r="Q255" s="241"/>
      <c r="R255" s="351"/>
      <c r="S255" s="241"/>
      <c r="T255" s="351"/>
      <c r="U255" s="352"/>
      <c r="V255" s="351"/>
      <c r="W255" s="352"/>
      <c r="X255" s="383"/>
      <c r="Y255" s="352"/>
      <c r="Z255" s="349">
        <f t="shared" si="12"/>
        <v>0</v>
      </c>
      <c r="AA255" s="13">
        <f t="shared" si="13"/>
        <v>0</v>
      </c>
      <c r="AB255" s="351"/>
      <c r="AC255" s="352"/>
      <c r="AD255" s="351"/>
      <c r="AE255" s="352"/>
      <c r="AF255" s="352"/>
      <c r="AG255" s="352"/>
      <c r="AH255" s="108">
        <f t="shared" si="14"/>
        <v>0</v>
      </c>
      <c r="AI255" s="108" t="str">
        <f>IF('Sch2a-Imp Price by ECM'!C256="Yes", 0, 'Sch2a-Imp Price by ECM'!L256)</f>
        <v/>
      </c>
      <c r="AJ255" s="124" t="str">
        <f t="shared" si="15"/>
        <v/>
      </c>
      <c r="AK255" s="1" t="str">
        <f>IF('Sch2a-Imp Price by ECM'!M256="","",'Sch2a-Imp Price by ECM'!M256)</f>
        <v/>
      </c>
    </row>
    <row r="256" spans="1:37" ht="16.5" thickBot="1">
      <c r="A256" s="72" t="str">
        <f>IF('Sch2a-Imp Price by ECM'!B257="","",'Sch2a-Imp Price by ECM'!B257)</f>
        <v/>
      </c>
      <c r="B256" s="139" t="str">
        <f>IF('Sch2a-Imp Price by ECM'!D257="","",'Sch2a-Imp Price by ECM'!D257)</f>
        <v/>
      </c>
      <c r="C256" s="358" t="str">
        <f>IF('Sch2a-Imp Price by ECM'!G257="","",'Sch2a-Imp Price by ECM'!G257)</f>
        <v/>
      </c>
      <c r="D256" s="471"/>
      <c r="E256" s="350"/>
      <c r="F256" s="350"/>
      <c r="G256" s="350"/>
      <c r="H256" s="350"/>
      <c r="I256" s="242"/>
      <c r="J256" s="350"/>
      <c r="K256" s="350"/>
      <c r="L256" s="241"/>
      <c r="M256" s="241"/>
      <c r="N256" s="241"/>
      <c r="O256" s="235"/>
      <c r="P256" s="350"/>
      <c r="Q256" s="241"/>
      <c r="R256" s="351"/>
      <c r="S256" s="241"/>
      <c r="T256" s="351"/>
      <c r="U256" s="352"/>
      <c r="V256" s="351"/>
      <c r="W256" s="352"/>
      <c r="X256" s="383"/>
      <c r="Y256" s="352"/>
      <c r="Z256" s="349">
        <f t="shared" si="12"/>
        <v>0</v>
      </c>
      <c r="AA256" s="13">
        <f t="shared" si="13"/>
        <v>0</v>
      </c>
      <c r="AB256" s="351"/>
      <c r="AC256" s="352"/>
      <c r="AD256" s="351"/>
      <c r="AE256" s="352"/>
      <c r="AF256" s="352"/>
      <c r="AG256" s="352"/>
      <c r="AH256" s="108">
        <f t="shared" si="14"/>
        <v>0</v>
      </c>
      <c r="AI256" s="108" t="str">
        <f>IF('Sch2a-Imp Price by ECM'!C257="Yes", 0, 'Sch2a-Imp Price by ECM'!L257)</f>
        <v/>
      </c>
      <c r="AJ256" s="124" t="str">
        <f t="shared" si="15"/>
        <v/>
      </c>
      <c r="AK256" s="1" t="str">
        <f>IF('Sch2a-Imp Price by ECM'!M257="","",'Sch2a-Imp Price by ECM'!M257)</f>
        <v/>
      </c>
    </row>
    <row r="257" spans="1:37" ht="16.5" thickBot="1">
      <c r="A257" s="72" t="str">
        <f>IF('Sch2a-Imp Price by ECM'!B258="","",'Sch2a-Imp Price by ECM'!B258)</f>
        <v/>
      </c>
      <c r="B257" s="139" t="str">
        <f>IF('Sch2a-Imp Price by ECM'!D258="","",'Sch2a-Imp Price by ECM'!D258)</f>
        <v/>
      </c>
      <c r="C257" s="358" t="str">
        <f>IF('Sch2a-Imp Price by ECM'!G258="","",'Sch2a-Imp Price by ECM'!G258)</f>
        <v/>
      </c>
      <c r="D257" s="471"/>
      <c r="E257" s="350"/>
      <c r="F257" s="350"/>
      <c r="G257" s="350"/>
      <c r="H257" s="350"/>
      <c r="I257" s="242"/>
      <c r="J257" s="350"/>
      <c r="K257" s="350"/>
      <c r="L257" s="241"/>
      <c r="M257" s="241"/>
      <c r="N257" s="241"/>
      <c r="O257" s="235"/>
      <c r="P257" s="350"/>
      <c r="Q257" s="241"/>
      <c r="R257" s="351"/>
      <c r="S257" s="241"/>
      <c r="T257" s="351"/>
      <c r="U257" s="352"/>
      <c r="V257" s="351"/>
      <c r="W257" s="352"/>
      <c r="X257" s="383"/>
      <c r="Y257" s="352"/>
      <c r="Z257" s="349">
        <f t="shared" si="12"/>
        <v>0</v>
      </c>
      <c r="AA257" s="13">
        <f t="shared" si="13"/>
        <v>0</v>
      </c>
      <c r="AB257" s="351"/>
      <c r="AC257" s="352"/>
      <c r="AD257" s="351"/>
      <c r="AE257" s="352"/>
      <c r="AF257" s="352"/>
      <c r="AG257" s="352"/>
      <c r="AH257" s="108">
        <f t="shared" si="14"/>
        <v>0</v>
      </c>
      <c r="AI257" s="108" t="str">
        <f>IF('Sch2a-Imp Price by ECM'!C258="Yes", 0, 'Sch2a-Imp Price by ECM'!L258)</f>
        <v/>
      </c>
      <c r="AJ257" s="124" t="str">
        <f t="shared" si="15"/>
        <v/>
      </c>
      <c r="AK257" s="1" t="str">
        <f>IF('Sch2a-Imp Price by ECM'!M258="","",'Sch2a-Imp Price by ECM'!M258)</f>
        <v/>
      </c>
    </row>
    <row r="258" spans="1:37" ht="16.5" thickBot="1">
      <c r="A258" s="695" t="s">
        <v>66</v>
      </c>
      <c r="B258" s="696"/>
      <c r="C258" s="696"/>
      <c r="D258" s="697"/>
      <c r="E258" s="258">
        <f>IF('Summary Schedule'!$C$4="ESA",SUMIFS(E8:E257,'Sch2a-Imp Price by ECM'!$C$9:$C$258,"&lt;&gt;Yes",'Sch2a-Imp Price by ECM'!$A$9:$A$258,"&lt;&gt;"),SUMIFS(E8:E257,'Sch2a-Imp Price by ECM'!$A$9:$A$258,"&lt;&gt;"))</f>
        <v>0</v>
      </c>
      <c r="F258" s="258">
        <f>IF('Summary Schedule'!$C$4="ESA",SUMIFS(F8:F257,'Sch2a-Imp Price by ECM'!$C$9:$C$258,"&lt;&gt;Yes",'Sch2a-Imp Price by ECM'!$A$9:$A$258,"&lt;&gt;"),SUMIFS(F8:F257,'Sch2a-Imp Price by ECM'!$A$9:$A$258,"&lt;&gt;"))</f>
        <v>0</v>
      </c>
      <c r="G258" s="258">
        <f>IF('Summary Schedule'!$C$4="ESA",SUMIFS(G8:G257,'Sch2a-Imp Price by ECM'!$C$9:$C$258,"&lt;&gt;Yes",'Sch2a-Imp Price by ECM'!$A$9:$A$258,"&lt;&gt;"),SUMIFS(G8:G257,'Sch2a-Imp Price by ECM'!$A$9:$A$258,"&lt;&gt;"))</f>
        <v>0</v>
      </c>
      <c r="H258" s="258">
        <f>IF('Summary Schedule'!$C$4="ESA",SUMIFS(H8:H257,'Sch2a-Imp Price by ECM'!$C$9:$C$258,"&lt;&gt;Yes",'Sch2a-Imp Price by ECM'!$A$9:$A$258,"&lt;&gt;"),SUMIFS(H8:H257,'Sch2a-Imp Price by ECM'!$A$9:$A$258,"&lt;&gt;"))</f>
        <v>0</v>
      </c>
      <c r="I258" s="258">
        <f>IF('Summary Schedule'!$C$4="ESA",SUMIFS(I8:I257,'Sch2a-Imp Price by ECM'!$C$9:$C$258,"&lt;&gt;Yes",'Sch2a-Imp Price by ECM'!$A$9:$A$258,"&lt;&gt;"),SUMIFS(I8:I257,'Sch2a-Imp Price by ECM'!$A$9:$A$258,"&lt;&gt;"))</f>
        <v>0</v>
      </c>
      <c r="J258" s="258">
        <f>IF('Summary Schedule'!$C$4="ESA",SUMIFS(J8:J257,'Sch2a-Imp Price by ECM'!$C$9:$C$258,"&lt;&gt;Yes",'Sch2a-Imp Price by ECM'!$A$9:$A$258,"&lt;&gt;"),SUMIFS(J8:J257,'Sch2a-Imp Price by ECM'!$A$9:$A$258,"&lt;&gt;"))</f>
        <v>0</v>
      </c>
      <c r="K258" s="258">
        <f>IF('Summary Schedule'!$C$4="ESA",SUMIFS(K8:K257,'Sch2a-Imp Price by ECM'!$C$9:$C$258,"&lt;&gt;Yes",'Sch2a-Imp Price by ECM'!$A$9:$A$258,"&lt;&gt;"),SUMIFS(K8:K257,'Sch2a-Imp Price by ECM'!$A$9:$A$258,"&lt;&gt;"))</f>
        <v>0</v>
      </c>
      <c r="L258" s="104">
        <f>IF('Summary Schedule'!$C$4="ESA",SUMIFS(L8:L257,'Sch2a-Imp Price by ECM'!$C$9:$C$258,"&lt;&gt;Yes",'Sch2a-Imp Price by ECM'!$A$9:$A$258,"&lt;&gt;"),SUMIFS(L8:L257,'Sch2a-Imp Price by ECM'!$A$9:$A$258,"&lt;&gt;"))</f>
        <v>0</v>
      </c>
      <c r="M258" s="104">
        <f>IF('Summary Schedule'!$C$4="ESA",SUMIFS(M8:M257,'Sch2a-Imp Price by ECM'!$C$9:$C$258,"&lt;&gt;Yes",'Sch2a-Imp Price by ECM'!$A$9:$A$258,"&lt;&gt;"),SUMIFS(M8:M257,'Sch2a-Imp Price by ECM'!$A$9:$A$258,"&lt;&gt;"))</f>
        <v>0</v>
      </c>
      <c r="N258" s="104">
        <f>IF('Summary Schedule'!$C$4="ESA",SUMIFS(N8:N257,'Sch2a-Imp Price by ECM'!$C$9:$C$258,"&lt;&gt;Yes",'Sch2a-Imp Price by ECM'!$A$9:$A$258,"&lt;&gt;"),SUMIFS(N8:N257,'Sch2a-Imp Price by ECM'!$A$9:$A$258,"&lt;&gt;"))</f>
        <v>0</v>
      </c>
      <c r="O258" s="15"/>
      <c r="P258" s="258">
        <f>IF('Summary Schedule'!$C$4="ESA",SUMIFS(P8:P257,'Sch2a-Imp Price by ECM'!$C$9:$C$258,"&lt;&gt;Yes",'Sch2a-Imp Price by ECM'!$A$9:$A$258,"&lt;&gt;"),SUMIFS(P8:P257,'Sch2a-Imp Price by ECM'!$A$9:$A$258,"&lt;&gt;"))</f>
        <v>0</v>
      </c>
      <c r="Q258" s="104">
        <f>IF('Summary Schedule'!$C$4="ESA",SUMIFS(Q8:Q257,'Sch2a-Imp Price by ECM'!$C$9:$C$258,"&lt;&gt;Yes",'Sch2a-Imp Price by ECM'!$A$9:$A$258,"&lt;&gt;"),SUMIFS(Q8:Q257,'Sch2a-Imp Price by ECM'!$A$9:$A$258,"&lt;&gt;"))</f>
        <v>0</v>
      </c>
      <c r="R258" s="258">
        <f>IF('Summary Schedule'!$C$4="ESA",SUMIFS(R8:R257,'Sch2a-Imp Price by ECM'!$C$9:$C$258,"&lt;&gt;Yes",'Sch2a-Imp Price by ECM'!$A$9:$A$258,"&lt;&gt;"),SUMIFS(R8:R257,'Sch2a-Imp Price by ECM'!$A$9:$A$258,"&lt;&gt;"))</f>
        <v>0</v>
      </c>
      <c r="S258" s="104">
        <f>IF('Summary Schedule'!$C$4="ESA",SUMIFS(S8:S257,'Sch2a-Imp Price by ECM'!$C$9:$C$258,"&lt;&gt;Yes",'Sch2a-Imp Price by ECM'!$A$9:$A$258,"&lt;&gt;"),SUMIFS(S8:S257,'Sch2a-Imp Price by ECM'!$A$9:$A$258,"&lt;&gt;"))</f>
        <v>0</v>
      </c>
      <c r="T258" s="258">
        <f>IF('Summary Schedule'!$C$4="ESA",SUMIFS(T8:T257,'Sch2a-Imp Price by ECM'!$C$9:$C$258,"&lt;&gt;Yes",'Sch2a-Imp Price by ECM'!$A$9:$A$258,"&lt;&gt;"),SUMIFS(T8:T257,'Sch2a-Imp Price by ECM'!$A$9:$A$258,"&lt;&gt;"))</f>
        <v>0</v>
      </c>
      <c r="U258" s="104">
        <f>IF('Summary Schedule'!$C$4="ESA",SUMIFS(U8:U257,'Sch2a-Imp Price by ECM'!$C$9:$C$258,"&lt;&gt;Yes",'Sch2a-Imp Price by ECM'!$A$9:$A$258,"&lt;&gt;"),SUMIFS(U8:U257,'Sch2a-Imp Price by ECM'!$A$9:$A$258,"&lt;&gt;"))</f>
        <v>0</v>
      </c>
      <c r="V258" s="258">
        <f>IF('Summary Schedule'!$C$4="ESA",SUMIFS(V8:V257,'Sch2a-Imp Price by ECM'!$C$9:$C$258,"&lt;&gt;Yes",'Sch2a-Imp Price by ECM'!$A$9:$A$258,"&lt;&gt;"),SUMIFS(V8:V257,'Sch2a-Imp Price by ECM'!$A$9:$A$258,"&lt;&gt;"))</f>
        <v>0</v>
      </c>
      <c r="W258" s="104">
        <f>IF('Summary Schedule'!$C$4="ESA",SUMIFS(W8:W257,'Sch2a-Imp Price by ECM'!$C$9:$C$258,"&lt;&gt;Yes",'Sch2a-Imp Price by ECM'!$A$9:$A$258,"&lt;&gt;"),SUMIFS(W8:W257,'Sch2a-Imp Price by ECM'!$A$9:$A$258,"&lt;&gt;"))</f>
        <v>0</v>
      </c>
      <c r="X258" s="258">
        <f>IF('Summary Schedule'!$C$4="ESA",SUMIFS(X8:X257,'Sch2a-Imp Price by ECM'!$C$9:$C$258,"&lt;&gt;Yes",'Sch2a-Imp Price by ECM'!$A$9:$A$258,"&lt;&gt;"),SUMIFS(X8:X257,'Sch2a-Imp Price by ECM'!$A$9:$A$258,"&lt;&gt;"))</f>
        <v>0</v>
      </c>
      <c r="Y258" s="104">
        <f>IF('Summary Schedule'!$C$4="ESA",SUMIFS(Y8:Y257,'Sch2a-Imp Price by ECM'!$C$9:$C$258,"&lt;&gt;Yes",'Sch2a-Imp Price by ECM'!$A$9:$A$258,"&lt;&gt;"),SUMIFS(Y8:Y257,'Sch2a-Imp Price by ECM'!$A$9:$A$258,"&lt;&gt;"))</f>
        <v>0</v>
      </c>
      <c r="Z258" s="258">
        <f>IF('Summary Schedule'!$C$4="ESA",SUMIFS(Z8:Z257,'Sch2a-Imp Price by ECM'!$C$9:$C$258,"&lt;&gt;Yes",'Sch2a-Imp Price by ECM'!$A$9:$A$258,"&lt;&gt;"),SUMIFS(Z8:Z257,'Sch2a-Imp Price by ECM'!$A$9:$A$258,"&lt;&gt;"))</f>
        <v>0</v>
      </c>
      <c r="AA258" s="104">
        <f>IF('Summary Schedule'!$C$4="ESA",SUMIFS(AA8:AA257,'Sch2a-Imp Price by ECM'!$C$9:$C$258,"&lt;&gt;Yes",'Sch2a-Imp Price by ECM'!$A$9:$A$258,"&lt;&gt;"),SUMIFS(AA8:AA257,'Sch2a-Imp Price by ECM'!$A$9:$A$258,"&lt;&gt;"))</f>
        <v>0</v>
      </c>
      <c r="AB258" s="258">
        <f>IF('Summary Schedule'!$C$4="ESA",SUMIFS(AB8:AB257,'Sch2a-Imp Price by ECM'!$C$9:$C$258,"&lt;&gt;Yes",'Sch2a-Imp Price by ECM'!$A$9:$A$258,"&lt;&gt;"),SUMIFS(AB8:AB257,'Sch2a-Imp Price by ECM'!$A$9:$A$258,"&lt;&gt;"))</f>
        <v>0</v>
      </c>
      <c r="AC258" s="104">
        <f>IF('Summary Schedule'!$C$4="ESA",SUMIFS(AC8:AC257,'Sch2a-Imp Price by ECM'!$C$9:$C$258,"&lt;&gt;Yes",'Sch2a-Imp Price by ECM'!$A$9:$A$258,"&lt;&gt;"),SUMIFS(AC8:AC257,'Sch2a-Imp Price by ECM'!$A$9:$A$258,"&lt;&gt;"))</f>
        <v>0</v>
      </c>
      <c r="AD258" s="258">
        <f>IF('Summary Schedule'!$C$4="ESA",SUMIFS(AD8:AD257,'Sch2a-Imp Price by ECM'!$C$9:$C$258,"&lt;&gt;Yes",'Sch2a-Imp Price by ECM'!$A$9:$A$258,"&lt;&gt;"),SUMIFS(AD8:AD257,'Sch2a-Imp Price by ECM'!$A$9:$A$258,"&lt;&gt;"))</f>
        <v>0</v>
      </c>
      <c r="AE258" s="104">
        <f>IF('Summary Schedule'!$C$4="ESA",SUMIFS(AE8:AE257,'Sch2a-Imp Price by ECM'!$C$9:$C$258,"&lt;&gt;Yes",'Sch2a-Imp Price by ECM'!$A$9:$A$258,"&lt;&gt;"),SUMIFS(AE8:AE257,'Sch2a-Imp Price by ECM'!$A$9:$A$258,"&lt;&gt;"))</f>
        <v>0</v>
      </c>
      <c r="AF258" s="258">
        <f>IF('Summary Schedule'!$C$4="ESA",SUMIFS(AF8:AF257,'Sch2a-Imp Price by ECM'!$C$9:$C$258,"&lt;&gt;Yes",'Sch2a-Imp Price by ECM'!$A$9:$A$258,"&lt;&gt;"),SUMIFS(AF8:AF257,'Sch2a-Imp Price by ECM'!$A$9:$A$258,"&lt;&gt;"))</f>
        <v>0</v>
      </c>
      <c r="AG258" s="104">
        <f>IF('Summary Schedule'!$C$4="ESA",SUMIFS(AG8:AG257,'Sch2a-Imp Price by ECM'!$C$9:$C$258,"&lt;&gt;Yes",'Sch2a-Imp Price by ECM'!$A$9:$A$258,"&lt;&gt;"),SUMIFS(AG8:AG257,'Sch2a-Imp Price by ECM'!$A$9:$A$258,"&lt;&gt;"))</f>
        <v>0</v>
      </c>
      <c r="AH258" s="104">
        <f>IF('Summary Schedule'!$C$4="ESA",SUMIFS(AH8:AH257,'Sch2a-Imp Price by ECM'!$C$9:$C$258,"&lt;&gt;Yes",'Sch2a-Imp Price by ECM'!$A$9:$A$258,"&lt;&gt;"),SUMIFS(AH8:AH257,'Sch2a-Imp Price by ECM'!$A$9:$A$258,"&lt;&gt;"))</f>
        <v>0</v>
      </c>
      <c r="AI258" s="104">
        <f>'Sch2a-Imp Price by ECM'!L259</f>
        <v>0</v>
      </c>
      <c r="AJ258" s="124" t="e">
        <f t="shared" si="15"/>
        <v>#DIV/0!</v>
      </c>
    </row>
    <row r="259" spans="1:37" ht="16.5" thickBot="1">
      <c r="A259" s="73"/>
      <c r="B259" s="74"/>
      <c r="C259" s="74"/>
      <c r="D259" s="74"/>
      <c r="E259" s="75"/>
      <c r="F259" s="75"/>
      <c r="G259" s="76"/>
      <c r="H259" s="77"/>
      <c r="I259" s="77"/>
      <c r="J259" s="78"/>
      <c r="K259" s="78"/>
      <c r="L259" s="78"/>
      <c r="M259" s="75"/>
      <c r="N259" s="76"/>
      <c r="O259" s="79"/>
      <c r="P259" s="75"/>
      <c r="Q259" s="76"/>
      <c r="R259" s="76"/>
      <c r="S259" s="75"/>
      <c r="T259" s="76"/>
      <c r="U259" s="76"/>
      <c r="V259" s="76"/>
      <c r="W259" s="16"/>
      <c r="X259" s="80"/>
      <c r="Y259" s="80"/>
      <c r="Z259" s="80"/>
      <c r="AA259" s="80"/>
      <c r="AB259" s="80"/>
      <c r="AC259" s="80"/>
      <c r="AD259" s="80"/>
      <c r="AE259" s="80"/>
      <c r="AF259" s="80"/>
      <c r="AG259" s="80"/>
      <c r="AH259" s="80"/>
      <c r="AI259" s="80"/>
      <c r="AJ259" s="81"/>
    </row>
    <row r="260" spans="1:37">
      <c r="A260" s="686" t="s">
        <v>15</v>
      </c>
      <c r="B260" s="687"/>
      <c r="C260" s="687"/>
      <c r="D260" s="687"/>
      <c r="E260" s="687"/>
      <c r="F260" s="687"/>
      <c r="G260" s="687"/>
      <c r="H260" s="687"/>
      <c r="I260" s="687"/>
      <c r="J260" s="687"/>
      <c r="K260" s="687"/>
      <c r="L260" s="687"/>
      <c r="M260" s="687"/>
      <c r="N260" s="687"/>
      <c r="O260" s="687"/>
      <c r="P260" s="687"/>
      <c r="Q260" s="687"/>
      <c r="R260" s="687"/>
      <c r="S260" s="687"/>
      <c r="T260" s="687"/>
      <c r="U260" s="687"/>
      <c r="V260" s="687"/>
      <c r="W260" s="687"/>
      <c r="X260" s="687"/>
      <c r="Y260" s="687"/>
      <c r="Z260" s="687"/>
      <c r="AA260" s="687"/>
      <c r="AB260" s="687"/>
      <c r="AC260" s="687"/>
      <c r="AD260" s="687"/>
      <c r="AE260" s="687"/>
      <c r="AF260" s="687"/>
      <c r="AG260" s="687"/>
      <c r="AH260" s="687"/>
      <c r="AI260" s="687"/>
      <c r="AJ260" s="688"/>
    </row>
    <row r="261" spans="1:37">
      <c r="A261" s="689" t="s">
        <v>229</v>
      </c>
      <c r="B261" s="690"/>
      <c r="C261" s="690"/>
      <c r="D261" s="690"/>
      <c r="E261" s="690"/>
      <c r="F261" s="690"/>
      <c r="G261" s="690"/>
      <c r="H261" s="690"/>
      <c r="I261" s="690"/>
      <c r="J261" s="690"/>
      <c r="K261" s="690"/>
      <c r="L261" s="690"/>
      <c r="M261" s="690"/>
      <c r="N261" s="690"/>
      <c r="O261" s="690"/>
      <c r="P261" s="690"/>
      <c r="Q261" s="690"/>
      <c r="R261" s="690"/>
      <c r="S261" s="690"/>
      <c r="T261" s="690"/>
      <c r="U261" s="690"/>
      <c r="V261" s="690"/>
      <c r="W261" s="690"/>
      <c r="X261" s="690"/>
      <c r="Y261" s="690"/>
      <c r="Z261" s="690"/>
      <c r="AA261" s="690"/>
      <c r="AB261" s="690"/>
      <c r="AC261" s="690"/>
      <c r="AD261" s="690"/>
      <c r="AE261" s="690"/>
      <c r="AF261" s="690"/>
      <c r="AG261" s="690"/>
      <c r="AH261" s="690"/>
      <c r="AI261" s="690"/>
      <c r="AJ261" s="691"/>
    </row>
    <row r="262" spans="1:37" ht="17.25" customHeight="1">
      <c r="A262" s="689" t="s">
        <v>383</v>
      </c>
      <c r="B262" s="690"/>
      <c r="C262" s="690"/>
      <c r="D262" s="690"/>
      <c r="E262" s="690"/>
      <c r="F262" s="690"/>
      <c r="G262" s="690"/>
      <c r="H262" s="690"/>
      <c r="I262" s="690"/>
      <c r="J262" s="690"/>
      <c r="K262" s="690"/>
      <c r="L262" s="690"/>
      <c r="M262" s="690"/>
      <c r="N262" s="690"/>
      <c r="O262" s="690"/>
      <c r="P262" s="690"/>
      <c r="Q262" s="690"/>
      <c r="R262" s="690"/>
      <c r="S262" s="690"/>
      <c r="T262" s="690"/>
      <c r="U262" s="690"/>
      <c r="V262" s="690"/>
      <c r="W262" s="690"/>
      <c r="X262" s="690"/>
      <c r="Y262" s="690"/>
      <c r="Z262" s="690"/>
      <c r="AA262" s="690"/>
      <c r="AB262" s="690"/>
      <c r="AC262" s="690"/>
      <c r="AD262" s="690"/>
      <c r="AE262" s="690"/>
      <c r="AF262" s="690"/>
      <c r="AG262" s="690"/>
      <c r="AH262" s="690"/>
      <c r="AI262" s="690"/>
      <c r="AJ262" s="691"/>
    </row>
    <row r="263" spans="1:37" ht="17.25" customHeight="1">
      <c r="A263" s="689" t="s">
        <v>320</v>
      </c>
      <c r="B263" s="690"/>
      <c r="C263" s="690"/>
      <c r="D263" s="690"/>
      <c r="E263" s="690"/>
      <c r="F263" s="690"/>
      <c r="G263" s="690"/>
      <c r="H263" s="690"/>
      <c r="I263" s="690"/>
      <c r="J263" s="690"/>
      <c r="K263" s="690"/>
      <c r="L263" s="690"/>
      <c r="M263" s="690"/>
      <c r="N263" s="690"/>
      <c r="O263" s="690"/>
      <c r="P263" s="690"/>
      <c r="Q263" s="690"/>
      <c r="R263" s="690"/>
      <c r="S263" s="690"/>
      <c r="T263" s="690"/>
      <c r="U263" s="690"/>
      <c r="V263" s="690"/>
      <c r="W263" s="690"/>
      <c r="X263" s="690"/>
      <c r="Y263" s="690"/>
      <c r="Z263" s="690"/>
      <c r="AA263" s="690"/>
      <c r="AB263" s="690"/>
      <c r="AC263" s="690"/>
      <c r="AD263" s="690"/>
      <c r="AE263" s="690"/>
      <c r="AF263" s="690"/>
      <c r="AG263" s="690"/>
      <c r="AH263" s="690"/>
      <c r="AI263" s="690"/>
      <c r="AJ263" s="691"/>
    </row>
    <row r="264" spans="1:37">
      <c r="A264" s="692" t="s">
        <v>384</v>
      </c>
      <c r="B264" s="693"/>
      <c r="C264" s="693"/>
      <c r="D264" s="693"/>
      <c r="E264" s="693"/>
      <c r="F264" s="693"/>
      <c r="G264" s="693"/>
      <c r="H264" s="693"/>
      <c r="I264" s="693"/>
      <c r="J264" s="693"/>
      <c r="K264" s="693"/>
      <c r="L264" s="693"/>
      <c r="M264" s="693"/>
      <c r="N264" s="693"/>
      <c r="O264" s="693"/>
      <c r="P264" s="693"/>
      <c r="Q264" s="693"/>
      <c r="R264" s="693"/>
      <c r="S264" s="693"/>
      <c r="T264" s="693"/>
      <c r="U264" s="693"/>
      <c r="V264" s="693"/>
      <c r="W264" s="693"/>
      <c r="X264" s="693"/>
      <c r="Y264" s="693"/>
      <c r="Z264" s="693"/>
      <c r="AA264" s="693"/>
      <c r="AB264" s="693"/>
      <c r="AC264" s="693"/>
      <c r="AD264" s="693"/>
      <c r="AE264" s="693"/>
      <c r="AF264" s="693"/>
      <c r="AG264" s="693"/>
      <c r="AH264" s="693"/>
      <c r="AI264" s="693"/>
      <c r="AJ264" s="694"/>
    </row>
    <row r="265" spans="1:37" ht="16.5" thickBot="1">
      <c r="A265" s="698" t="str">
        <f>IF('Summary Schedule'!C4="UESC", "(5) Post-acceptance services as included in contract, e.g., utility to provide one-year wrap-around warranty and/or extended warranty. Utility or agency to perform O&amp;M and RCx as specified in the performance assurance plan included in contract.", "")</f>
        <v/>
      </c>
      <c r="B265" s="699"/>
      <c r="C265" s="699"/>
      <c r="D265" s="699"/>
      <c r="E265" s="699"/>
      <c r="F265" s="699"/>
      <c r="G265" s="699"/>
      <c r="H265" s="699"/>
      <c r="I265" s="699"/>
      <c r="J265" s="699"/>
      <c r="K265" s="699"/>
      <c r="L265" s="699"/>
      <c r="M265" s="699"/>
      <c r="N265" s="699"/>
      <c r="O265" s="699"/>
      <c r="P265" s="699"/>
      <c r="Q265" s="699"/>
      <c r="R265" s="699"/>
      <c r="S265" s="699"/>
      <c r="T265" s="699"/>
      <c r="U265" s="699"/>
      <c r="V265" s="699"/>
      <c r="W265" s="699"/>
      <c r="X265" s="699"/>
      <c r="Y265" s="699"/>
      <c r="Z265" s="699"/>
      <c r="AA265" s="699"/>
      <c r="AB265" s="699"/>
      <c r="AC265" s="699"/>
      <c r="AD265" s="699"/>
      <c r="AE265" s="699"/>
      <c r="AF265" s="699"/>
      <c r="AG265" s="699"/>
      <c r="AH265" s="699"/>
      <c r="AI265" s="699"/>
      <c r="AJ265" s="700"/>
    </row>
    <row r="266" spans="1:37">
      <c r="A266" s="686" t="s">
        <v>173</v>
      </c>
      <c r="B266" s="687"/>
      <c r="C266" s="687"/>
      <c r="D266" s="687"/>
      <c r="E266" s="687"/>
      <c r="F266" s="687"/>
      <c r="G266" s="687"/>
      <c r="H266" s="687"/>
      <c r="I266" s="687"/>
      <c r="J266" s="687"/>
      <c r="K266" s="687"/>
      <c r="L266" s="687"/>
      <c r="M266" s="687"/>
      <c r="N266" s="687"/>
      <c r="O266" s="687"/>
      <c r="P266" s="687"/>
      <c r="Q266" s="687"/>
      <c r="R266" s="687"/>
      <c r="S266" s="687"/>
      <c r="T266" s="687"/>
      <c r="U266" s="687"/>
      <c r="V266" s="687"/>
      <c r="W266" s="687"/>
      <c r="X266" s="687"/>
      <c r="Y266" s="687"/>
      <c r="Z266" s="687"/>
      <c r="AA266" s="687"/>
      <c r="AB266" s="687"/>
      <c r="AC266" s="687"/>
      <c r="AD266" s="687"/>
      <c r="AE266" s="687"/>
      <c r="AF266" s="687"/>
      <c r="AG266" s="687"/>
      <c r="AH266" s="687"/>
      <c r="AI266" s="687"/>
      <c r="AJ266" s="688"/>
    </row>
    <row r="267" spans="1:37" ht="70" customHeight="1" thickBot="1">
      <c r="A267" s="683"/>
      <c r="B267" s="684"/>
      <c r="C267" s="684"/>
      <c r="D267" s="684"/>
      <c r="E267" s="684"/>
      <c r="F267" s="684"/>
      <c r="G267" s="684"/>
      <c r="H267" s="684"/>
      <c r="I267" s="684"/>
      <c r="J267" s="684"/>
      <c r="K267" s="684"/>
      <c r="L267" s="684"/>
      <c r="M267" s="684"/>
      <c r="N267" s="684"/>
      <c r="O267" s="684"/>
      <c r="P267" s="684"/>
      <c r="Q267" s="684"/>
      <c r="R267" s="684"/>
      <c r="S267" s="684"/>
      <c r="T267" s="684"/>
      <c r="U267" s="684"/>
      <c r="V267" s="684"/>
      <c r="W267" s="684"/>
      <c r="X267" s="684"/>
      <c r="Y267" s="684"/>
      <c r="Z267" s="684"/>
      <c r="AA267" s="684"/>
      <c r="AB267" s="684"/>
      <c r="AC267" s="684"/>
      <c r="AD267" s="684"/>
      <c r="AE267" s="684"/>
      <c r="AF267" s="684"/>
      <c r="AG267" s="684"/>
      <c r="AH267" s="684"/>
      <c r="AI267" s="684"/>
      <c r="AJ267" s="685"/>
    </row>
    <row r="268" spans="1:37">
      <c r="A268" s="1" t="str">
        <f>'Sch3-Perf Period Cash Flow'!A32</f>
        <v>4.2.9.c</v>
      </c>
    </row>
    <row r="269" spans="1:37">
      <c r="A269" s="1" t="str">
        <f>'Sch3-Perf Period Cash Flow'!A33</f>
        <v>02112025</v>
      </c>
    </row>
  </sheetData>
  <sheetProtection algorithmName="SHA-512" hashValue="f6kF3vKhLfIa85FWVEsUQnBZdogBcHwVVQ3FfNgQgX49rhhPTOtRNAo2Iz6QsOgMj0rT3tHeyhOwAeLhqyg/Fw==" saltValue="R2fo+4hP+VmjOgwBjAG9AQ==" spinCount="100000" sheet="1" objects="1" scenarios="1"/>
  <mergeCells count="17">
    <mergeCell ref="E4:O4"/>
    <mergeCell ref="A262:AJ262"/>
    <mergeCell ref="A263:AJ263"/>
    <mergeCell ref="A266:AJ266"/>
    <mergeCell ref="A1:AJ1"/>
    <mergeCell ref="A2:AJ2"/>
    <mergeCell ref="A5:A6"/>
    <mergeCell ref="B5:B6"/>
    <mergeCell ref="D5:D6"/>
    <mergeCell ref="A4:D4"/>
    <mergeCell ref="C5:C6"/>
    <mergeCell ref="A267:AJ267"/>
    <mergeCell ref="A260:AJ260"/>
    <mergeCell ref="A261:AJ261"/>
    <mergeCell ref="A264:AJ264"/>
    <mergeCell ref="A258:D258"/>
    <mergeCell ref="A265:AJ265"/>
  </mergeCells>
  <dataValidations count="4">
    <dataValidation type="list" allowBlank="1" showInputMessage="1" showErrorMessage="1" sqref="O8:O257" xr:uid="{9DE2C220-56D7-D946-9C06-044E25EB8F67}">
      <formula1>"Capital Costs, Pollution Costs, Other Costs"</formula1>
    </dataValidation>
    <dataValidation type="whole" allowBlank="1" showInputMessage="1" showErrorMessage="1" error="Please enter a valid value" sqref="E8:N257" xr:uid="{4322C861-D51C-3947-B71F-D5E722BD9B82}">
      <formula1>0</formula1>
      <formula2>1000000000</formula2>
    </dataValidation>
    <dataValidation type="whole" allowBlank="1" showInputMessage="1" showErrorMessage="1" error="Please enter a valid value" sqref="AB8:AG257" xr:uid="{00000000-0002-0000-0A00-000002000000}">
      <formula1>-100000000000</formula1>
      <formula2>1000000000</formula2>
    </dataValidation>
    <dataValidation type="whole" allowBlank="1" showInputMessage="1" showErrorMessage="1" error="Please enter a valid value" sqref="P8:Y257" xr:uid="{A6B55BDA-7027-ED44-8D77-7FAD43A26B48}">
      <formula1>-1000000000</formula1>
      <formula2>1000000000</formula2>
    </dataValidation>
  </dataValidations>
  <pageMargins left="0.75" right="0.75" top="1" bottom="1" header="0.5" footer="0.5"/>
  <pageSetup scale="24" fitToHeight="0" orientation="landscape" horizontalDpi="4294967292" verticalDpi="4294967292"/>
  <headerFooter>
    <oddFooter>&amp;C_x000D_&amp;1#&amp;"Calibri"&amp;6&amp;K626469 General</oddFooter>
  </headerFooter>
  <drawing r:id="rId1"/>
  <extLst>
    <ext xmlns:x14="http://schemas.microsoft.com/office/spreadsheetml/2009/9/main" uri="{78C0D931-6437-407d-A8EE-F0AAD7539E65}">
      <x14:conditionalFormattings>
        <x14:conditionalFormatting xmlns:xm="http://schemas.microsoft.com/office/excel/2006/main">
          <x14:cfRule type="expression" priority="1" id="{1C1FE792-6702-DC4A-95C7-4F6AB32FEE99}">
            <xm:f>'Sch2a-Imp Price by ECM'!$C9:$C1048335="Yes"</xm:f>
            <x14:dxf>
              <fill>
                <patternFill>
                  <fgColor theme="9"/>
                  <bgColor theme="9"/>
                </patternFill>
              </fill>
            </x14:dxf>
          </x14:cfRule>
          <xm:sqref>A8:C257 E8:Y257</xm:sqref>
        </x14:conditionalFormatting>
        <x14:conditionalFormatting xmlns:xm="http://schemas.microsoft.com/office/excel/2006/main">
          <x14:cfRule type="expression" priority="3" id="{449912C8-C80E-4042-A4EC-E295FDB0837A}">
            <xm:f>'Sch2a-Imp Price by ECM'!$C259:$C509="Yes"</xm:f>
            <x14:dxf>
              <font>
                <color theme="1"/>
              </font>
              <fill>
                <patternFill>
                  <bgColor theme="9"/>
                </patternFill>
              </fill>
            </x14:dxf>
          </x14:cfRule>
          <xm:sqref>A258:AH258</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27D45AB-5A54-DC46-95D4-DCD9B164C190}">
          <x14:formula1>
            <xm:f>ECM!$D$2:$D$10</xm:f>
          </x14:formula1>
          <xm:sqref>D8:D257</xm:sqref>
        </x14:dataValidation>
      </x14:dataValidations>
    </ex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D8C65-47CC-A54C-98F4-3AE9B33A887D}">
  <sheetPr codeName="Sheet24">
    <pageSetUpPr fitToPage="1"/>
  </sheetPr>
  <dimension ref="A1:U270"/>
  <sheetViews>
    <sheetView zoomScale="90" zoomScaleNormal="90" zoomScalePageLayoutView="75" workbookViewId="0">
      <pane ySplit="9" topLeftCell="A10" activePane="bottomLeft" state="frozenSplit"/>
      <selection activeCell="N8" sqref="N8"/>
      <selection pane="bottomLeft" sqref="A1:Q1"/>
    </sheetView>
  </sheetViews>
  <sheetFormatPr defaultColWidth="11" defaultRowHeight="16"/>
  <cols>
    <col min="1" max="1" width="18" style="1" bestFit="1" customWidth="1"/>
    <col min="2" max="2" width="47.83203125" style="1" customWidth="1"/>
    <col min="3" max="3" width="15.83203125" style="1" customWidth="1"/>
    <col min="4" max="6" width="13.5" style="1" customWidth="1"/>
    <col min="7" max="9" width="14" style="1" customWidth="1"/>
    <col min="10" max="10" width="12.33203125" style="1" customWidth="1"/>
    <col min="11" max="11" width="13" style="1" customWidth="1"/>
    <col min="12" max="12" width="13.33203125" style="1" customWidth="1"/>
    <col min="13" max="13" width="10.83203125" style="1" customWidth="1"/>
    <col min="14" max="15" width="13" style="1" customWidth="1"/>
    <col min="16" max="16" width="12.33203125" style="1" bestFit="1" customWidth="1"/>
    <col min="17" max="17" width="11" style="1"/>
    <col min="18" max="18" width="13.33203125" style="1" customWidth="1"/>
    <col min="19" max="19" width="12" style="1" customWidth="1"/>
    <col min="20" max="20" width="17.83203125" style="1" bestFit="1" customWidth="1"/>
    <col min="21" max="21" width="16.33203125" style="1" customWidth="1"/>
    <col min="22" max="22" width="13" style="1" bestFit="1" customWidth="1"/>
    <col min="23" max="24" width="11" style="1"/>
    <col min="25" max="25" width="18" style="1" customWidth="1"/>
    <col min="26" max="16384" width="11" style="1"/>
  </cols>
  <sheetData>
    <row r="1" spans="1:21" ht="20">
      <c r="A1" s="633" t="s">
        <v>422</v>
      </c>
      <c r="B1" s="633"/>
      <c r="C1" s="633"/>
      <c r="D1" s="633"/>
      <c r="E1" s="633"/>
      <c r="F1" s="633"/>
      <c r="G1" s="633"/>
      <c r="H1" s="633"/>
      <c r="I1" s="633"/>
      <c r="J1" s="633"/>
      <c r="K1" s="633"/>
      <c r="L1" s="633"/>
      <c r="M1" s="633"/>
      <c r="N1" s="633"/>
      <c r="O1" s="633"/>
      <c r="P1" s="633"/>
      <c r="Q1" s="633"/>
      <c r="R1" s="378"/>
      <c r="S1" s="378"/>
      <c r="T1" s="378"/>
    </row>
    <row r="2" spans="1:21" ht="20.5" thickBot="1">
      <c r="A2" s="701" t="s">
        <v>603</v>
      </c>
      <c r="B2" s="701"/>
      <c r="C2" s="701"/>
      <c r="D2" s="701"/>
      <c r="E2" s="701"/>
      <c r="F2" s="701"/>
      <c r="G2" s="701"/>
      <c r="H2" s="701"/>
      <c r="I2" s="701"/>
      <c r="J2" s="701"/>
      <c r="K2" s="701"/>
      <c r="L2" s="701"/>
      <c r="M2" s="701"/>
      <c r="N2" s="701"/>
      <c r="O2" s="701"/>
      <c r="P2" s="701"/>
      <c r="Q2" s="701"/>
      <c r="R2" s="379"/>
      <c r="S2" s="379"/>
      <c r="T2" s="379"/>
    </row>
    <row r="3" spans="1:21" ht="16.5" thickBot="1">
      <c r="A3" s="3"/>
      <c r="B3" s="4"/>
      <c r="C3" s="4"/>
      <c r="D3" s="4"/>
      <c r="E3" s="4"/>
      <c r="F3" s="4"/>
      <c r="G3" s="4"/>
      <c r="H3" s="4"/>
      <c r="I3" s="4"/>
      <c r="J3" s="4"/>
      <c r="K3" s="4"/>
      <c r="L3" s="4"/>
      <c r="M3" s="5"/>
      <c r="N3" s="5"/>
      <c r="O3" s="5"/>
      <c r="P3" s="5"/>
      <c r="Q3" s="5"/>
      <c r="R3" s="5"/>
      <c r="S3" s="5"/>
      <c r="T3" s="5"/>
    </row>
    <row r="4" spans="1:21" ht="56.5" thickBot="1">
      <c r="A4" s="705" t="s">
        <v>16</v>
      </c>
      <c r="B4" s="706"/>
      <c r="C4" s="706"/>
      <c r="D4" s="7" t="s">
        <v>42</v>
      </c>
      <c r="E4" s="8"/>
      <c r="F4" s="8"/>
      <c r="G4" s="8" t="s">
        <v>36</v>
      </c>
      <c r="H4" s="8"/>
      <c r="I4" s="8"/>
      <c r="J4" s="8" t="s">
        <v>49</v>
      </c>
      <c r="K4" s="8"/>
      <c r="L4" s="8"/>
      <c r="M4" s="8" t="s">
        <v>51</v>
      </c>
      <c r="N4" s="8"/>
      <c r="O4" s="8"/>
      <c r="P4" s="8" t="s">
        <v>289</v>
      </c>
      <c r="Q4" s="8" t="s">
        <v>38</v>
      </c>
      <c r="R4" s="8"/>
      <c r="S4" s="8"/>
      <c r="T4" s="8"/>
    </row>
    <row r="5" spans="1:21" ht="73.5" customHeight="1">
      <c r="A5" s="702" t="s">
        <v>27</v>
      </c>
      <c r="B5" s="703" t="s">
        <v>43</v>
      </c>
      <c r="C5" s="702" t="s">
        <v>601</v>
      </c>
      <c r="D5" s="40" t="s">
        <v>17</v>
      </c>
      <c r="E5" s="119" t="s">
        <v>423</v>
      </c>
      <c r="F5" s="40" t="s">
        <v>424</v>
      </c>
      <c r="G5" s="40" t="s">
        <v>21</v>
      </c>
      <c r="H5" s="382" t="s">
        <v>425</v>
      </c>
      <c r="I5" s="40" t="s">
        <v>426</v>
      </c>
      <c r="J5" s="119" t="str">
        <f>'Annual Escalation Rates'!E4</f>
        <v>Other Savings Type 1: Other</v>
      </c>
      <c r="K5" s="119" t="s">
        <v>425</v>
      </c>
      <c r="L5" s="119" t="str">
        <f>J5</f>
        <v>Other Savings Type 1: Other</v>
      </c>
      <c r="M5" s="119" t="str">
        <f>'Annual Escalation Rates'!F4</f>
        <v>Other Savings Type 2: Other</v>
      </c>
      <c r="N5" s="119" t="s">
        <v>425</v>
      </c>
      <c r="O5" s="119" t="str">
        <f>M5</f>
        <v>Other Savings Type 2: Other</v>
      </c>
      <c r="P5" s="40" t="s">
        <v>22</v>
      </c>
      <c r="Q5" s="40" t="s">
        <v>24</v>
      </c>
      <c r="R5" s="40" t="s">
        <v>597</v>
      </c>
      <c r="S5" s="40" t="s">
        <v>598</v>
      </c>
      <c r="T5" s="40" t="s">
        <v>599</v>
      </c>
    </row>
    <row r="6" spans="1:21" ht="27" customHeight="1" thickBot="1">
      <c r="A6" s="630"/>
      <c r="B6" s="704"/>
      <c r="C6" s="707"/>
      <c r="D6" s="40" t="s">
        <v>18</v>
      </c>
      <c r="E6" s="40"/>
      <c r="F6" s="40" t="s">
        <v>427</v>
      </c>
      <c r="G6" s="40" t="s">
        <v>54</v>
      </c>
      <c r="H6" s="40"/>
      <c r="I6" s="40" t="s">
        <v>427</v>
      </c>
      <c r="J6" s="40" t="s">
        <v>54</v>
      </c>
      <c r="K6" s="40"/>
      <c r="L6" s="40" t="s">
        <v>427</v>
      </c>
      <c r="M6" s="40" t="s">
        <v>54</v>
      </c>
      <c r="N6" s="40"/>
      <c r="O6" s="40" t="s">
        <v>427</v>
      </c>
      <c r="P6" s="40" t="s">
        <v>54</v>
      </c>
      <c r="Q6" s="40" t="s">
        <v>29</v>
      </c>
      <c r="R6" s="40" t="s">
        <v>427</v>
      </c>
      <c r="S6" s="40" t="s">
        <v>427</v>
      </c>
      <c r="T6" s="40" t="s">
        <v>427</v>
      </c>
    </row>
    <row r="7" spans="1:21" ht="27.5" thickBot="1">
      <c r="A7" s="348"/>
      <c r="B7" s="141" t="str">
        <f>IF('Sch2a-Imp Price by ECM'!A8="","",'Sch2a-Imp Price by ECM'!A8)</f>
        <v>Project Development Price (PDP)-Technical Energy Audit and Project Proposal</v>
      </c>
      <c r="C7" s="357"/>
      <c r="D7" s="10"/>
      <c r="E7" s="10"/>
      <c r="F7" s="10"/>
      <c r="G7" s="10"/>
      <c r="H7" s="10"/>
      <c r="I7" s="10"/>
      <c r="J7" s="10"/>
      <c r="K7" s="10"/>
      <c r="L7" s="10"/>
      <c r="M7" s="10"/>
      <c r="N7" s="10"/>
      <c r="O7" s="10"/>
      <c r="P7" s="11"/>
      <c r="Q7" s="10"/>
      <c r="R7" s="10"/>
      <c r="S7" s="10"/>
      <c r="T7" s="10"/>
    </row>
    <row r="8" spans="1:21" ht="43" customHeight="1" thickBot="1">
      <c r="A8" s="72" t="str">
        <f>IF('Sch2a-Imp Price by ECM'!B9="","",'Sch2a-Imp Price by ECM'!B9)</f>
        <v/>
      </c>
      <c r="B8" s="139" t="str">
        <f>IF('Sch2a-Imp Price by ECM'!D9="","",'Sch2a-Imp Price by ECM'!D9)</f>
        <v/>
      </c>
      <c r="C8" s="414" t="s">
        <v>430</v>
      </c>
      <c r="D8" s="410">
        <f>'Sch4-Cost Savings by ECM'!P8</f>
        <v>0</v>
      </c>
      <c r="E8" s="410">
        <f>VLOOKUP(C8,'eGRID subregion name'!$A$2:$N$30,8,0)</f>
        <v>189.83531623683197</v>
      </c>
      <c r="F8" s="410">
        <f t="shared" ref="F8" si="0">D8*3412*E8/1000000</f>
        <v>0</v>
      </c>
      <c r="G8" s="411">
        <f>'Sch4-Cost Savings by ECM'!T8</f>
        <v>0</v>
      </c>
      <c r="H8" s="411">
        <f>VLOOKUP("Natural Gas", 'GHG Emissions'!$D$2:$M$66,4,FALSE)+VLOOKUP("Natural Gas", 'GHG Emissions'!$D$2:$M$66,6,FALSE)*'eGRID subregion name'!$P$3+VLOOKUP("Natural Gas", 'GHG Emissions'!$D$2:$M$66,8,FALSE)*'eGRID subregion name'!$P$4</f>
        <v>53.114800000000002</v>
      </c>
      <c r="I8" s="411">
        <f>G8*H8</f>
        <v>0</v>
      </c>
      <c r="J8" s="411">
        <f>'Sch4-Cost Savings by ECM'!V8</f>
        <v>0</v>
      </c>
      <c r="K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 s="411">
        <f>K8*J8</f>
        <v>0</v>
      </c>
      <c r="M8" s="411">
        <f>'Sch4-Cost Savings by ECM'!X8</f>
        <v>0</v>
      </c>
      <c r="N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 s="411">
        <f>M8*N8</f>
        <v>0</v>
      </c>
      <c r="P8" s="413">
        <f t="shared" ref="P8:P71" si="1">(D8*3412/10^6)+G8+J8+M8</f>
        <v>0</v>
      </c>
      <c r="Q8" s="411">
        <f>'Sch4-Cost Savings by ECM'!AB8</f>
        <v>0</v>
      </c>
      <c r="R8" s="411">
        <f>I8+IF(AND($L$5&lt;&gt;"Other Savings Type 1: Chilled Water",$L$5&lt;&gt;"Other Savings Type 1: Purchased Steam"),L8,0)+IF(AND($O$5&lt;&gt;"Other Savings Type 2: Chilled Water",$O$5&lt;&gt;"Other Savings Type 2: Purchased Steam"),O8,0)</f>
        <v>0</v>
      </c>
      <c r="S8" s="411">
        <f>F8+IF(OR($L$5="Other Savings Type 1: Chilled Water",$L$5="Other Savings Type 1: Purchased Steam"),L8,0)+IF(OR($O$5="Other Savings Type 2: Chilled Water",$O$5="Other Savings Type 2: Purchased Steam"),O8,0)</f>
        <v>0</v>
      </c>
      <c r="T8" s="411">
        <f>R8+S8</f>
        <v>0</v>
      </c>
      <c r="U8" s="422"/>
    </row>
    <row r="9" spans="1:21" ht="16.5" thickBot="1">
      <c r="A9" s="72" t="str">
        <f>IF('Sch2a-Imp Price by ECM'!B10="","",'Sch2a-Imp Price by ECM'!B10)</f>
        <v/>
      </c>
      <c r="B9" s="139" t="str">
        <f>IF('Sch2a-Imp Price by ECM'!D10="","",'Sch2a-Imp Price by ECM'!D10)</f>
        <v/>
      </c>
      <c r="C9" s="414" t="s">
        <v>430</v>
      </c>
      <c r="D9" s="410">
        <f>'Sch4-Cost Savings by ECM'!P9</f>
        <v>0</v>
      </c>
      <c r="E9" s="410">
        <f>VLOOKUP(C9,'eGRID subregion name'!$A$2:$N$30,8,0)</f>
        <v>189.83531623683197</v>
      </c>
      <c r="F9" s="410">
        <f>D9*3412*E9/1000000</f>
        <v>0</v>
      </c>
      <c r="G9" s="411">
        <f>'Sch4-Cost Savings by ECM'!T9</f>
        <v>0</v>
      </c>
      <c r="H9" s="411">
        <f>VLOOKUP("Natural Gas", 'GHG Emissions'!$D$2:$M$66,4,FALSE)+VLOOKUP("Natural Gas", 'GHG Emissions'!$D$2:$M$66,6,FALSE)*'eGRID subregion name'!$P$3+VLOOKUP("Natural Gas", 'GHG Emissions'!$D$2:$M$66,8,FALSE)*'eGRID subregion name'!$P$4</f>
        <v>53.114800000000002</v>
      </c>
      <c r="I9" s="411">
        <f t="shared" ref="I9:I72" si="2">G9*H9</f>
        <v>0</v>
      </c>
      <c r="J9" s="411">
        <f>'Sch4-Cost Savings by ECM'!V9</f>
        <v>0</v>
      </c>
      <c r="K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 s="411">
        <f>K9*J9</f>
        <v>0</v>
      </c>
      <c r="M9" s="411">
        <f>'Sch4-Cost Savings by ECM'!X9</f>
        <v>0</v>
      </c>
      <c r="N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 s="411">
        <f t="shared" ref="O9:O72" si="3">M9*N9</f>
        <v>0</v>
      </c>
      <c r="P9" s="413">
        <f t="shared" si="1"/>
        <v>0</v>
      </c>
      <c r="Q9" s="411">
        <f>'Sch4-Cost Savings by ECM'!AB9</f>
        <v>0</v>
      </c>
      <c r="R9" s="411">
        <f t="shared" ref="R9:R72" si="4">I9+IF(AND($L$5&lt;&gt;"Other Savings Type 1: Chilled Water",$L$5&lt;&gt;"Other Savings Type 1: Purchased Steam"),L9,0)+IF(AND($O$5&lt;&gt;"Other Savings Type 2: Chilled Water",$O$5&lt;&gt;"Other Savings Type 2: Purchased Steam"),O9,0)</f>
        <v>0</v>
      </c>
      <c r="S9" s="411">
        <f t="shared" ref="S9:S72" si="5">F9+IF(OR($L$5="Other Savings Type 1: Chilled Water",$L$5="Other Savings Type 1: Purchased Steam"),L9,0)+IF(OR($O$5="Other Savings Type 2: Chilled Water",$O$5="Other Savings Type 2: Purchased Steam"),O9,0)</f>
        <v>0</v>
      </c>
      <c r="T9" s="411">
        <f t="shared" ref="T9:T72" si="6">R9+S9</f>
        <v>0</v>
      </c>
      <c r="U9" s="422"/>
    </row>
    <row r="10" spans="1:21" ht="16.5" thickBot="1">
      <c r="A10" s="72" t="str">
        <f>IF('Sch2a-Imp Price by ECM'!B11="","",'Sch2a-Imp Price by ECM'!B11)</f>
        <v/>
      </c>
      <c r="B10" s="139" t="str">
        <f>IF('Sch2a-Imp Price by ECM'!D11="","",'Sch2a-Imp Price by ECM'!D11)</f>
        <v/>
      </c>
      <c r="C10" s="414" t="s">
        <v>430</v>
      </c>
      <c r="D10" s="410">
        <f>'Sch4-Cost Savings by ECM'!P10</f>
        <v>0</v>
      </c>
      <c r="E10" s="410">
        <f>VLOOKUP(C10,'eGRID subregion name'!$A$2:$N$30,8,0)</f>
        <v>189.83531623683197</v>
      </c>
      <c r="F10" s="410">
        <f t="shared" ref="F10:F73" si="7">D10*3412*E10/1000000</f>
        <v>0</v>
      </c>
      <c r="G10" s="411">
        <f>'Sch4-Cost Savings by ECM'!T10</f>
        <v>0</v>
      </c>
      <c r="H10" s="411">
        <f>VLOOKUP("Natural Gas", 'GHG Emissions'!$D$2:$M$66,4,FALSE)+VLOOKUP("Natural Gas", 'GHG Emissions'!$D$2:$M$66,6,FALSE)*'eGRID subregion name'!$P$3+VLOOKUP("Natural Gas", 'GHG Emissions'!$D$2:$M$66,8,FALSE)*'eGRID subregion name'!$P$4</f>
        <v>53.114800000000002</v>
      </c>
      <c r="I10" s="411">
        <f t="shared" si="2"/>
        <v>0</v>
      </c>
      <c r="J10" s="411">
        <f>'Sch4-Cost Savings by ECM'!V10</f>
        <v>0</v>
      </c>
      <c r="K1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 s="411">
        <f t="shared" ref="L10:L72" si="8">K10*J10</f>
        <v>0</v>
      </c>
      <c r="M10" s="411">
        <f>'Sch4-Cost Savings by ECM'!X10</f>
        <v>0</v>
      </c>
      <c r="N1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 s="411">
        <f t="shared" si="3"/>
        <v>0</v>
      </c>
      <c r="P10" s="413">
        <f t="shared" si="1"/>
        <v>0</v>
      </c>
      <c r="Q10" s="411">
        <f>'Sch4-Cost Savings by ECM'!AB10</f>
        <v>0</v>
      </c>
      <c r="R10" s="411">
        <f t="shared" si="4"/>
        <v>0</v>
      </c>
      <c r="S10" s="411">
        <f t="shared" si="5"/>
        <v>0</v>
      </c>
      <c r="T10" s="411">
        <f t="shared" si="6"/>
        <v>0</v>
      </c>
      <c r="U10" s="422"/>
    </row>
    <row r="11" spans="1:21" ht="16.5" thickBot="1">
      <c r="A11" s="72" t="str">
        <f>IF('Sch2a-Imp Price by ECM'!B12="","",'Sch2a-Imp Price by ECM'!B12)</f>
        <v/>
      </c>
      <c r="B11" s="139" t="str">
        <f>IF('Sch2a-Imp Price by ECM'!D12="","",'Sch2a-Imp Price by ECM'!D12)</f>
        <v/>
      </c>
      <c r="C11" s="414" t="s">
        <v>430</v>
      </c>
      <c r="D11" s="410">
        <f>'Sch4-Cost Savings by ECM'!P11</f>
        <v>0</v>
      </c>
      <c r="E11" s="410">
        <f>VLOOKUP(C11,'eGRID subregion name'!$A$2:$N$30,8,0)</f>
        <v>189.83531623683197</v>
      </c>
      <c r="F11" s="410">
        <f t="shared" si="7"/>
        <v>0</v>
      </c>
      <c r="G11" s="411">
        <f>'Sch4-Cost Savings by ECM'!T11</f>
        <v>0</v>
      </c>
      <c r="H11" s="411">
        <f>VLOOKUP("Natural Gas", 'GHG Emissions'!$D$2:$M$66,4,FALSE)+VLOOKUP("Natural Gas", 'GHG Emissions'!$D$2:$M$66,6,FALSE)*'eGRID subregion name'!$P$3+VLOOKUP("Natural Gas", 'GHG Emissions'!$D$2:$M$66,8,FALSE)*'eGRID subregion name'!$P$4</f>
        <v>53.114800000000002</v>
      </c>
      <c r="I11" s="411">
        <f t="shared" si="2"/>
        <v>0</v>
      </c>
      <c r="J11" s="411">
        <f>'Sch4-Cost Savings by ECM'!V11</f>
        <v>0</v>
      </c>
      <c r="K1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 s="411">
        <f t="shared" si="8"/>
        <v>0</v>
      </c>
      <c r="M11" s="411">
        <f>'Sch4-Cost Savings by ECM'!X11</f>
        <v>0</v>
      </c>
      <c r="N1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 s="411">
        <f t="shared" si="3"/>
        <v>0</v>
      </c>
      <c r="P11" s="413">
        <f t="shared" si="1"/>
        <v>0</v>
      </c>
      <c r="Q11" s="411">
        <f>'Sch4-Cost Savings by ECM'!AB11</f>
        <v>0</v>
      </c>
      <c r="R11" s="411">
        <f t="shared" si="4"/>
        <v>0</v>
      </c>
      <c r="S11" s="411">
        <f t="shared" si="5"/>
        <v>0</v>
      </c>
      <c r="T11" s="411">
        <f t="shared" si="6"/>
        <v>0</v>
      </c>
      <c r="U11" s="422"/>
    </row>
    <row r="12" spans="1:21" ht="16.5" thickBot="1">
      <c r="A12" s="72" t="str">
        <f>IF('Sch2a-Imp Price by ECM'!B13="","",'Sch2a-Imp Price by ECM'!B13)</f>
        <v/>
      </c>
      <c r="B12" s="139" t="str">
        <f>IF('Sch2a-Imp Price by ECM'!D13="","",'Sch2a-Imp Price by ECM'!D13)</f>
        <v/>
      </c>
      <c r="C12" s="414" t="s">
        <v>430</v>
      </c>
      <c r="D12" s="410">
        <f>'Sch4-Cost Savings by ECM'!P12</f>
        <v>0</v>
      </c>
      <c r="E12" s="410">
        <f>VLOOKUP(C12,'eGRID subregion name'!$A$2:$N$30,8,0)</f>
        <v>189.83531623683197</v>
      </c>
      <c r="F12" s="410">
        <f t="shared" si="7"/>
        <v>0</v>
      </c>
      <c r="G12" s="411">
        <f>'Sch4-Cost Savings by ECM'!T12</f>
        <v>0</v>
      </c>
      <c r="H12" s="411">
        <f>VLOOKUP("Natural Gas", 'GHG Emissions'!$D$2:$M$66,4,FALSE)+VLOOKUP("Natural Gas", 'GHG Emissions'!$D$2:$M$66,6,FALSE)*'eGRID subregion name'!$P$3+VLOOKUP("Natural Gas", 'GHG Emissions'!$D$2:$M$66,8,FALSE)*'eGRID subregion name'!$P$4</f>
        <v>53.114800000000002</v>
      </c>
      <c r="I12" s="411">
        <f t="shared" si="2"/>
        <v>0</v>
      </c>
      <c r="J12" s="411">
        <f>'Sch4-Cost Savings by ECM'!V12</f>
        <v>0</v>
      </c>
      <c r="K1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 s="411">
        <f t="shared" si="8"/>
        <v>0</v>
      </c>
      <c r="M12" s="411">
        <f>'Sch4-Cost Savings by ECM'!X12</f>
        <v>0</v>
      </c>
      <c r="N1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 s="411">
        <f t="shared" si="3"/>
        <v>0</v>
      </c>
      <c r="P12" s="413">
        <f t="shared" si="1"/>
        <v>0</v>
      </c>
      <c r="Q12" s="411">
        <f>'Sch4-Cost Savings by ECM'!AB12</f>
        <v>0</v>
      </c>
      <c r="R12" s="411">
        <f t="shared" si="4"/>
        <v>0</v>
      </c>
      <c r="S12" s="411">
        <f t="shared" si="5"/>
        <v>0</v>
      </c>
      <c r="T12" s="411">
        <f t="shared" si="6"/>
        <v>0</v>
      </c>
      <c r="U12" s="422"/>
    </row>
    <row r="13" spans="1:21" ht="18" customHeight="1" thickBot="1">
      <c r="A13" s="72" t="str">
        <f>IF('Sch2a-Imp Price by ECM'!B14="","",'Sch2a-Imp Price by ECM'!B14)</f>
        <v/>
      </c>
      <c r="B13" s="139" t="str">
        <f>IF('Sch2a-Imp Price by ECM'!D14="","",'Sch2a-Imp Price by ECM'!D14)</f>
        <v/>
      </c>
      <c r="C13" s="414" t="s">
        <v>430</v>
      </c>
      <c r="D13" s="410">
        <f>'Sch4-Cost Savings by ECM'!P13</f>
        <v>0</v>
      </c>
      <c r="E13" s="410">
        <f>VLOOKUP(C13,'eGRID subregion name'!$A$2:$N$30,8,0)</f>
        <v>189.83531623683197</v>
      </c>
      <c r="F13" s="410">
        <f t="shared" si="7"/>
        <v>0</v>
      </c>
      <c r="G13" s="411">
        <f>'Sch4-Cost Savings by ECM'!T13</f>
        <v>0</v>
      </c>
      <c r="H13" s="411">
        <f>VLOOKUP("Natural Gas", 'GHG Emissions'!$D$2:$M$66,4,FALSE)+VLOOKUP("Natural Gas", 'GHG Emissions'!$D$2:$M$66,6,FALSE)*'eGRID subregion name'!$P$3+VLOOKUP("Natural Gas", 'GHG Emissions'!$D$2:$M$66,8,FALSE)*'eGRID subregion name'!$P$4</f>
        <v>53.114800000000002</v>
      </c>
      <c r="I13" s="411">
        <f t="shared" si="2"/>
        <v>0</v>
      </c>
      <c r="J13" s="411">
        <f>'Sch4-Cost Savings by ECM'!V13</f>
        <v>0</v>
      </c>
      <c r="K1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 s="411">
        <f t="shared" si="8"/>
        <v>0</v>
      </c>
      <c r="M13" s="411">
        <f>'Sch4-Cost Savings by ECM'!X13</f>
        <v>0</v>
      </c>
      <c r="N1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 s="411">
        <f t="shared" si="3"/>
        <v>0</v>
      </c>
      <c r="P13" s="413">
        <f t="shared" si="1"/>
        <v>0</v>
      </c>
      <c r="Q13" s="411">
        <f>'Sch4-Cost Savings by ECM'!AB13</f>
        <v>0</v>
      </c>
      <c r="R13" s="411">
        <f t="shared" si="4"/>
        <v>0</v>
      </c>
      <c r="S13" s="411">
        <f t="shared" si="5"/>
        <v>0</v>
      </c>
      <c r="T13" s="411">
        <f t="shared" si="6"/>
        <v>0</v>
      </c>
      <c r="U13" s="422"/>
    </row>
    <row r="14" spans="1:21" ht="18" customHeight="1" thickBot="1">
      <c r="A14" s="72" t="str">
        <f>IF('Sch2a-Imp Price by ECM'!B15="","",'Sch2a-Imp Price by ECM'!B15)</f>
        <v/>
      </c>
      <c r="B14" s="139" t="str">
        <f>IF('Sch2a-Imp Price by ECM'!D15="","",'Sch2a-Imp Price by ECM'!D15)</f>
        <v/>
      </c>
      <c r="C14" s="414" t="s">
        <v>430</v>
      </c>
      <c r="D14" s="410">
        <f>'Sch4-Cost Savings by ECM'!P14</f>
        <v>0</v>
      </c>
      <c r="E14" s="410">
        <f>VLOOKUP(C14,'eGRID subregion name'!$A$2:$N$30,8,0)</f>
        <v>189.83531623683197</v>
      </c>
      <c r="F14" s="410">
        <f t="shared" si="7"/>
        <v>0</v>
      </c>
      <c r="G14" s="411">
        <f>'Sch4-Cost Savings by ECM'!T14</f>
        <v>0</v>
      </c>
      <c r="H14" s="411">
        <f>VLOOKUP("Natural Gas", 'GHG Emissions'!$D$2:$M$66,4,FALSE)+VLOOKUP("Natural Gas", 'GHG Emissions'!$D$2:$M$66,6,FALSE)*'eGRID subregion name'!$P$3+VLOOKUP("Natural Gas", 'GHG Emissions'!$D$2:$M$66,8,FALSE)*'eGRID subregion name'!$P$4</f>
        <v>53.114800000000002</v>
      </c>
      <c r="I14" s="411">
        <f t="shared" si="2"/>
        <v>0</v>
      </c>
      <c r="J14" s="411">
        <f>'Sch4-Cost Savings by ECM'!V14</f>
        <v>0</v>
      </c>
      <c r="K1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 s="411">
        <f t="shared" si="8"/>
        <v>0</v>
      </c>
      <c r="M14" s="411">
        <f>'Sch4-Cost Savings by ECM'!X14</f>
        <v>0</v>
      </c>
      <c r="N1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 s="411">
        <f t="shared" si="3"/>
        <v>0</v>
      </c>
      <c r="P14" s="413">
        <f t="shared" si="1"/>
        <v>0</v>
      </c>
      <c r="Q14" s="411">
        <f>'Sch4-Cost Savings by ECM'!AB14</f>
        <v>0</v>
      </c>
      <c r="R14" s="411">
        <f t="shared" si="4"/>
        <v>0</v>
      </c>
      <c r="S14" s="411">
        <f t="shared" si="5"/>
        <v>0</v>
      </c>
      <c r="T14" s="411">
        <f t="shared" si="6"/>
        <v>0</v>
      </c>
      <c r="U14" s="422"/>
    </row>
    <row r="15" spans="1:21" ht="16.5" thickBot="1">
      <c r="A15" s="72" t="str">
        <f>IF('Sch2a-Imp Price by ECM'!B16="","",'Sch2a-Imp Price by ECM'!B16)</f>
        <v/>
      </c>
      <c r="B15" s="139" t="str">
        <f>IF('Sch2a-Imp Price by ECM'!D16="","",'Sch2a-Imp Price by ECM'!D16)</f>
        <v/>
      </c>
      <c r="C15" s="414" t="s">
        <v>430</v>
      </c>
      <c r="D15" s="410">
        <f>'Sch4-Cost Savings by ECM'!P15</f>
        <v>0</v>
      </c>
      <c r="E15" s="410">
        <f>VLOOKUP(C15,'eGRID subregion name'!$A$2:$N$30,8,0)</f>
        <v>189.83531623683197</v>
      </c>
      <c r="F15" s="410">
        <f t="shared" si="7"/>
        <v>0</v>
      </c>
      <c r="G15" s="411">
        <f>'Sch4-Cost Savings by ECM'!T15</f>
        <v>0</v>
      </c>
      <c r="H15" s="411">
        <f>VLOOKUP("Natural Gas", 'GHG Emissions'!$D$2:$M$66,4,FALSE)+VLOOKUP("Natural Gas", 'GHG Emissions'!$D$2:$M$66,6,FALSE)*'eGRID subregion name'!$P$3+VLOOKUP("Natural Gas", 'GHG Emissions'!$D$2:$M$66,8,FALSE)*'eGRID subregion name'!$P$4</f>
        <v>53.114800000000002</v>
      </c>
      <c r="I15" s="411">
        <f t="shared" si="2"/>
        <v>0</v>
      </c>
      <c r="J15" s="411">
        <f>'Sch4-Cost Savings by ECM'!V15</f>
        <v>0</v>
      </c>
      <c r="K1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 s="411">
        <f t="shared" si="8"/>
        <v>0</v>
      </c>
      <c r="M15" s="411">
        <f>'Sch4-Cost Savings by ECM'!X15</f>
        <v>0</v>
      </c>
      <c r="N1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 s="411">
        <f t="shared" si="3"/>
        <v>0</v>
      </c>
      <c r="P15" s="413">
        <f t="shared" si="1"/>
        <v>0</v>
      </c>
      <c r="Q15" s="411">
        <f>'Sch4-Cost Savings by ECM'!AB15</f>
        <v>0</v>
      </c>
      <c r="R15" s="411">
        <f t="shared" si="4"/>
        <v>0</v>
      </c>
      <c r="S15" s="411">
        <f t="shared" si="5"/>
        <v>0</v>
      </c>
      <c r="T15" s="411">
        <f t="shared" si="6"/>
        <v>0</v>
      </c>
      <c r="U15" s="422"/>
    </row>
    <row r="16" spans="1:21" ht="16.5" thickBot="1">
      <c r="A16" s="72" t="str">
        <f>IF('Sch2a-Imp Price by ECM'!B17="","",'Sch2a-Imp Price by ECM'!B17)</f>
        <v/>
      </c>
      <c r="B16" s="139" t="str">
        <f>IF('Sch2a-Imp Price by ECM'!D17="","",'Sch2a-Imp Price by ECM'!D17)</f>
        <v/>
      </c>
      <c r="C16" s="414" t="s">
        <v>430</v>
      </c>
      <c r="D16" s="410">
        <f>'Sch4-Cost Savings by ECM'!P16</f>
        <v>0</v>
      </c>
      <c r="E16" s="410">
        <f>VLOOKUP(C16,'eGRID subregion name'!$A$2:$N$30,8,0)</f>
        <v>189.83531623683197</v>
      </c>
      <c r="F16" s="410">
        <f t="shared" si="7"/>
        <v>0</v>
      </c>
      <c r="G16" s="411">
        <f>'Sch4-Cost Savings by ECM'!T16</f>
        <v>0</v>
      </c>
      <c r="H16" s="411">
        <f>VLOOKUP("Natural Gas", 'GHG Emissions'!$D$2:$M$66,4,FALSE)+VLOOKUP("Natural Gas", 'GHG Emissions'!$D$2:$M$66,6,FALSE)*'eGRID subregion name'!$P$3+VLOOKUP("Natural Gas", 'GHG Emissions'!$D$2:$M$66,8,FALSE)*'eGRID subregion name'!$P$4</f>
        <v>53.114800000000002</v>
      </c>
      <c r="I16" s="411">
        <f t="shared" si="2"/>
        <v>0</v>
      </c>
      <c r="J16" s="411">
        <f>'Sch4-Cost Savings by ECM'!V16</f>
        <v>0</v>
      </c>
      <c r="K1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 s="411">
        <f t="shared" si="8"/>
        <v>0</v>
      </c>
      <c r="M16" s="411">
        <f>'Sch4-Cost Savings by ECM'!X16</f>
        <v>0</v>
      </c>
      <c r="N1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 s="411">
        <f t="shared" si="3"/>
        <v>0</v>
      </c>
      <c r="P16" s="413">
        <f t="shared" si="1"/>
        <v>0</v>
      </c>
      <c r="Q16" s="411">
        <f>'Sch4-Cost Savings by ECM'!AB16</f>
        <v>0</v>
      </c>
      <c r="R16" s="411">
        <f t="shared" si="4"/>
        <v>0</v>
      </c>
      <c r="S16" s="411">
        <f t="shared" si="5"/>
        <v>0</v>
      </c>
      <c r="T16" s="411">
        <f t="shared" si="6"/>
        <v>0</v>
      </c>
      <c r="U16" s="422"/>
    </row>
    <row r="17" spans="1:21" ht="16.5" thickBot="1">
      <c r="A17" s="72" t="str">
        <f>IF('Sch2a-Imp Price by ECM'!B18="","",'Sch2a-Imp Price by ECM'!B18)</f>
        <v/>
      </c>
      <c r="B17" s="139" t="str">
        <f>IF('Sch2a-Imp Price by ECM'!D18="","",'Sch2a-Imp Price by ECM'!D18)</f>
        <v/>
      </c>
      <c r="C17" s="414" t="s">
        <v>430</v>
      </c>
      <c r="D17" s="410">
        <f>'Sch4-Cost Savings by ECM'!P17</f>
        <v>0</v>
      </c>
      <c r="E17" s="410">
        <f>VLOOKUP(C17,'eGRID subregion name'!$A$2:$N$30,8,0)</f>
        <v>189.83531623683197</v>
      </c>
      <c r="F17" s="410">
        <f t="shared" si="7"/>
        <v>0</v>
      </c>
      <c r="G17" s="411">
        <f>'Sch4-Cost Savings by ECM'!T17</f>
        <v>0</v>
      </c>
      <c r="H17" s="411">
        <f>VLOOKUP("Natural Gas", 'GHG Emissions'!$D$2:$M$66,4,FALSE)+VLOOKUP("Natural Gas", 'GHG Emissions'!$D$2:$M$66,6,FALSE)*'eGRID subregion name'!$P$3+VLOOKUP("Natural Gas", 'GHG Emissions'!$D$2:$M$66,8,FALSE)*'eGRID subregion name'!$P$4</f>
        <v>53.114800000000002</v>
      </c>
      <c r="I17" s="411">
        <f t="shared" si="2"/>
        <v>0</v>
      </c>
      <c r="J17" s="411">
        <f>'Sch4-Cost Savings by ECM'!V17</f>
        <v>0</v>
      </c>
      <c r="K1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 s="411">
        <f t="shared" si="8"/>
        <v>0</v>
      </c>
      <c r="M17" s="411">
        <f>'Sch4-Cost Savings by ECM'!X17</f>
        <v>0</v>
      </c>
      <c r="N1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 s="411">
        <f t="shared" si="3"/>
        <v>0</v>
      </c>
      <c r="P17" s="413">
        <f t="shared" si="1"/>
        <v>0</v>
      </c>
      <c r="Q17" s="411">
        <f>'Sch4-Cost Savings by ECM'!AB17</f>
        <v>0</v>
      </c>
      <c r="R17" s="411">
        <f t="shared" si="4"/>
        <v>0</v>
      </c>
      <c r="S17" s="411">
        <f t="shared" si="5"/>
        <v>0</v>
      </c>
      <c r="T17" s="411">
        <f t="shared" si="6"/>
        <v>0</v>
      </c>
      <c r="U17" s="422"/>
    </row>
    <row r="18" spans="1:21" ht="16.5" thickBot="1">
      <c r="A18" s="72" t="str">
        <f>IF('Sch2a-Imp Price by ECM'!B19="","",'Sch2a-Imp Price by ECM'!B19)</f>
        <v/>
      </c>
      <c r="B18" s="139" t="str">
        <f>IF('Sch2a-Imp Price by ECM'!D19="","",'Sch2a-Imp Price by ECM'!D19)</f>
        <v/>
      </c>
      <c r="C18" s="414" t="s">
        <v>430</v>
      </c>
      <c r="D18" s="410">
        <f>'Sch4-Cost Savings by ECM'!P18</f>
        <v>0</v>
      </c>
      <c r="E18" s="410">
        <f>VLOOKUP(C18,'eGRID subregion name'!$A$2:$N$30,8,0)</f>
        <v>189.83531623683197</v>
      </c>
      <c r="F18" s="410">
        <f t="shared" si="7"/>
        <v>0</v>
      </c>
      <c r="G18" s="411">
        <f>'Sch4-Cost Savings by ECM'!T18</f>
        <v>0</v>
      </c>
      <c r="H18" s="411">
        <f>VLOOKUP("Natural Gas", 'GHG Emissions'!$D$2:$M$66,4,FALSE)+VLOOKUP("Natural Gas", 'GHG Emissions'!$D$2:$M$66,6,FALSE)*'eGRID subregion name'!$P$3+VLOOKUP("Natural Gas", 'GHG Emissions'!$D$2:$M$66,8,FALSE)*'eGRID subregion name'!$P$4</f>
        <v>53.114800000000002</v>
      </c>
      <c r="I18" s="411">
        <f t="shared" si="2"/>
        <v>0</v>
      </c>
      <c r="J18" s="411">
        <f>'Sch4-Cost Savings by ECM'!V18</f>
        <v>0</v>
      </c>
      <c r="K1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 s="411">
        <f t="shared" si="8"/>
        <v>0</v>
      </c>
      <c r="M18" s="411">
        <f>'Sch4-Cost Savings by ECM'!X18</f>
        <v>0</v>
      </c>
      <c r="N1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 s="411">
        <f t="shared" si="3"/>
        <v>0</v>
      </c>
      <c r="P18" s="413">
        <f t="shared" si="1"/>
        <v>0</v>
      </c>
      <c r="Q18" s="411">
        <f>'Sch4-Cost Savings by ECM'!AB18</f>
        <v>0</v>
      </c>
      <c r="R18" s="411">
        <f t="shared" si="4"/>
        <v>0</v>
      </c>
      <c r="S18" s="411">
        <f t="shared" si="5"/>
        <v>0</v>
      </c>
      <c r="T18" s="411">
        <f t="shared" si="6"/>
        <v>0</v>
      </c>
      <c r="U18" s="422"/>
    </row>
    <row r="19" spans="1:21" ht="16.5" thickBot="1">
      <c r="A19" s="72" t="str">
        <f>IF('Sch2a-Imp Price by ECM'!B20="","",'Sch2a-Imp Price by ECM'!B20)</f>
        <v/>
      </c>
      <c r="B19" s="139" t="str">
        <f>IF('Sch2a-Imp Price by ECM'!D20="","",'Sch2a-Imp Price by ECM'!D20)</f>
        <v/>
      </c>
      <c r="C19" s="414" t="s">
        <v>430</v>
      </c>
      <c r="D19" s="410">
        <f>'Sch4-Cost Savings by ECM'!P19</f>
        <v>0</v>
      </c>
      <c r="E19" s="410">
        <f>VLOOKUP(C19,'eGRID subregion name'!$A$2:$N$30,8,0)</f>
        <v>189.83531623683197</v>
      </c>
      <c r="F19" s="410">
        <f t="shared" si="7"/>
        <v>0</v>
      </c>
      <c r="G19" s="411">
        <f>'Sch4-Cost Savings by ECM'!T19</f>
        <v>0</v>
      </c>
      <c r="H19" s="411">
        <f>VLOOKUP("Natural Gas", 'GHG Emissions'!$D$2:$M$66,4,FALSE)+VLOOKUP("Natural Gas", 'GHG Emissions'!$D$2:$M$66,6,FALSE)*'eGRID subregion name'!$P$3+VLOOKUP("Natural Gas", 'GHG Emissions'!$D$2:$M$66,8,FALSE)*'eGRID subregion name'!$P$4</f>
        <v>53.114800000000002</v>
      </c>
      <c r="I19" s="411">
        <f t="shared" si="2"/>
        <v>0</v>
      </c>
      <c r="J19" s="411">
        <f>'Sch4-Cost Savings by ECM'!V19</f>
        <v>0</v>
      </c>
      <c r="K1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 s="411">
        <f t="shared" si="8"/>
        <v>0</v>
      </c>
      <c r="M19" s="411">
        <f>'Sch4-Cost Savings by ECM'!X19</f>
        <v>0</v>
      </c>
      <c r="N1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 s="411">
        <f t="shared" si="3"/>
        <v>0</v>
      </c>
      <c r="P19" s="413">
        <f t="shared" si="1"/>
        <v>0</v>
      </c>
      <c r="Q19" s="411">
        <f>'Sch4-Cost Savings by ECM'!AB19</f>
        <v>0</v>
      </c>
      <c r="R19" s="411">
        <f t="shared" si="4"/>
        <v>0</v>
      </c>
      <c r="S19" s="411">
        <f t="shared" si="5"/>
        <v>0</v>
      </c>
      <c r="T19" s="411">
        <f t="shared" si="6"/>
        <v>0</v>
      </c>
      <c r="U19" s="422"/>
    </row>
    <row r="20" spans="1:21" ht="16.5" thickBot="1">
      <c r="A20" s="72" t="str">
        <f>IF('Sch2a-Imp Price by ECM'!B21="","",'Sch2a-Imp Price by ECM'!B21)</f>
        <v/>
      </c>
      <c r="B20" s="139" t="str">
        <f>IF('Sch2a-Imp Price by ECM'!D21="","",'Sch2a-Imp Price by ECM'!D21)</f>
        <v/>
      </c>
      <c r="C20" s="414" t="s">
        <v>430</v>
      </c>
      <c r="D20" s="410">
        <f>'Sch4-Cost Savings by ECM'!P20</f>
        <v>0</v>
      </c>
      <c r="E20" s="410">
        <f>VLOOKUP(C20,'eGRID subregion name'!$A$2:$N$30,8,0)</f>
        <v>189.83531623683197</v>
      </c>
      <c r="F20" s="410">
        <f t="shared" si="7"/>
        <v>0</v>
      </c>
      <c r="G20" s="411">
        <f>'Sch4-Cost Savings by ECM'!T20</f>
        <v>0</v>
      </c>
      <c r="H20" s="411">
        <f>VLOOKUP("Natural Gas", 'GHG Emissions'!$D$2:$M$66,4,FALSE)+VLOOKUP("Natural Gas", 'GHG Emissions'!$D$2:$M$66,6,FALSE)*'eGRID subregion name'!$P$3+VLOOKUP("Natural Gas", 'GHG Emissions'!$D$2:$M$66,8,FALSE)*'eGRID subregion name'!$P$4</f>
        <v>53.114800000000002</v>
      </c>
      <c r="I20" s="411">
        <f t="shared" si="2"/>
        <v>0</v>
      </c>
      <c r="J20" s="411">
        <f>'Sch4-Cost Savings by ECM'!V20</f>
        <v>0</v>
      </c>
      <c r="K2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 s="411">
        <f t="shared" si="8"/>
        <v>0</v>
      </c>
      <c r="M20" s="411">
        <f>'Sch4-Cost Savings by ECM'!X20</f>
        <v>0</v>
      </c>
      <c r="N2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 s="411">
        <f t="shared" si="3"/>
        <v>0</v>
      </c>
      <c r="P20" s="413">
        <f t="shared" si="1"/>
        <v>0</v>
      </c>
      <c r="Q20" s="411">
        <f>'Sch4-Cost Savings by ECM'!AB20</f>
        <v>0</v>
      </c>
      <c r="R20" s="411">
        <f t="shared" si="4"/>
        <v>0</v>
      </c>
      <c r="S20" s="411">
        <f t="shared" si="5"/>
        <v>0</v>
      </c>
      <c r="T20" s="411">
        <f t="shared" si="6"/>
        <v>0</v>
      </c>
      <c r="U20" s="422"/>
    </row>
    <row r="21" spans="1:21" ht="16.5" thickBot="1">
      <c r="A21" s="72" t="str">
        <f>IF('Sch2a-Imp Price by ECM'!B22="","",'Sch2a-Imp Price by ECM'!B22)</f>
        <v/>
      </c>
      <c r="B21" s="139" t="str">
        <f>IF('Sch2a-Imp Price by ECM'!D22="","",'Sch2a-Imp Price by ECM'!D22)</f>
        <v/>
      </c>
      <c r="C21" s="414" t="s">
        <v>430</v>
      </c>
      <c r="D21" s="410">
        <f>'Sch4-Cost Savings by ECM'!P21</f>
        <v>0</v>
      </c>
      <c r="E21" s="410">
        <f>VLOOKUP(C21,'eGRID subregion name'!$A$2:$N$30,8,0)</f>
        <v>189.83531623683197</v>
      </c>
      <c r="F21" s="410">
        <f t="shared" si="7"/>
        <v>0</v>
      </c>
      <c r="G21" s="411">
        <f>'Sch4-Cost Savings by ECM'!T21</f>
        <v>0</v>
      </c>
      <c r="H21" s="411">
        <f>VLOOKUP("Natural Gas", 'GHG Emissions'!$D$2:$M$66,4,FALSE)+VLOOKUP("Natural Gas", 'GHG Emissions'!$D$2:$M$66,6,FALSE)*'eGRID subregion name'!$P$3+VLOOKUP("Natural Gas", 'GHG Emissions'!$D$2:$M$66,8,FALSE)*'eGRID subregion name'!$P$4</f>
        <v>53.114800000000002</v>
      </c>
      <c r="I21" s="411">
        <f t="shared" si="2"/>
        <v>0</v>
      </c>
      <c r="J21" s="411">
        <f>'Sch4-Cost Savings by ECM'!V21</f>
        <v>0</v>
      </c>
      <c r="K2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 s="411">
        <f t="shared" si="8"/>
        <v>0</v>
      </c>
      <c r="M21" s="411">
        <f>'Sch4-Cost Savings by ECM'!X21</f>
        <v>0</v>
      </c>
      <c r="N2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 s="411">
        <f t="shared" si="3"/>
        <v>0</v>
      </c>
      <c r="P21" s="413">
        <f t="shared" si="1"/>
        <v>0</v>
      </c>
      <c r="Q21" s="411">
        <f>'Sch4-Cost Savings by ECM'!AB21</f>
        <v>0</v>
      </c>
      <c r="R21" s="411">
        <f t="shared" si="4"/>
        <v>0</v>
      </c>
      <c r="S21" s="411">
        <f t="shared" si="5"/>
        <v>0</v>
      </c>
      <c r="T21" s="411">
        <f t="shared" si="6"/>
        <v>0</v>
      </c>
      <c r="U21" s="422"/>
    </row>
    <row r="22" spans="1:21" ht="16.5" thickBot="1">
      <c r="A22" s="72" t="str">
        <f>IF('Sch2a-Imp Price by ECM'!B23="","",'Sch2a-Imp Price by ECM'!B23)</f>
        <v/>
      </c>
      <c r="B22" s="139" t="str">
        <f>IF('Sch2a-Imp Price by ECM'!D23="","",'Sch2a-Imp Price by ECM'!D23)</f>
        <v/>
      </c>
      <c r="C22" s="414" t="s">
        <v>430</v>
      </c>
      <c r="D22" s="410">
        <f>'Sch4-Cost Savings by ECM'!P22</f>
        <v>0</v>
      </c>
      <c r="E22" s="410">
        <f>VLOOKUP(C22,'eGRID subregion name'!$A$2:$N$30,8,0)</f>
        <v>189.83531623683197</v>
      </c>
      <c r="F22" s="410">
        <f t="shared" si="7"/>
        <v>0</v>
      </c>
      <c r="G22" s="411">
        <f>'Sch4-Cost Savings by ECM'!T22</f>
        <v>0</v>
      </c>
      <c r="H22" s="411">
        <f>VLOOKUP("Natural Gas", 'GHG Emissions'!$D$2:$M$66,4,FALSE)+VLOOKUP("Natural Gas", 'GHG Emissions'!$D$2:$M$66,6,FALSE)*'eGRID subregion name'!$P$3+VLOOKUP("Natural Gas", 'GHG Emissions'!$D$2:$M$66,8,FALSE)*'eGRID subregion name'!$P$4</f>
        <v>53.114800000000002</v>
      </c>
      <c r="I22" s="411">
        <f t="shared" si="2"/>
        <v>0</v>
      </c>
      <c r="J22" s="411">
        <f>'Sch4-Cost Savings by ECM'!V22</f>
        <v>0</v>
      </c>
      <c r="K2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 s="411">
        <f t="shared" si="8"/>
        <v>0</v>
      </c>
      <c r="M22" s="411">
        <f>'Sch4-Cost Savings by ECM'!X22</f>
        <v>0</v>
      </c>
      <c r="N2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 s="411">
        <f t="shared" si="3"/>
        <v>0</v>
      </c>
      <c r="P22" s="413">
        <f t="shared" si="1"/>
        <v>0</v>
      </c>
      <c r="Q22" s="411">
        <f>'Sch4-Cost Savings by ECM'!AB22</f>
        <v>0</v>
      </c>
      <c r="R22" s="411">
        <f t="shared" si="4"/>
        <v>0</v>
      </c>
      <c r="S22" s="411">
        <f t="shared" si="5"/>
        <v>0</v>
      </c>
      <c r="T22" s="411">
        <f t="shared" si="6"/>
        <v>0</v>
      </c>
      <c r="U22" s="422"/>
    </row>
    <row r="23" spans="1:21" ht="16.5" thickBot="1">
      <c r="A23" s="72" t="str">
        <f>IF('Sch2a-Imp Price by ECM'!B24="","",'Sch2a-Imp Price by ECM'!B24)</f>
        <v/>
      </c>
      <c r="B23" s="139" t="str">
        <f>IF('Sch2a-Imp Price by ECM'!D24="","",'Sch2a-Imp Price by ECM'!D24)</f>
        <v/>
      </c>
      <c r="C23" s="414" t="s">
        <v>430</v>
      </c>
      <c r="D23" s="410">
        <f>'Sch4-Cost Savings by ECM'!P23</f>
        <v>0</v>
      </c>
      <c r="E23" s="410">
        <f>VLOOKUP(C23,'eGRID subregion name'!$A$2:$N$30,8,0)</f>
        <v>189.83531623683197</v>
      </c>
      <c r="F23" s="410">
        <f t="shared" si="7"/>
        <v>0</v>
      </c>
      <c r="G23" s="411">
        <f>'Sch4-Cost Savings by ECM'!T23</f>
        <v>0</v>
      </c>
      <c r="H23" s="411">
        <f>VLOOKUP("Natural Gas", 'GHG Emissions'!$D$2:$M$66,4,FALSE)+VLOOKUP("Natural Gas", 'GHG Emissions'!$D$2:$M$66,6,FALSE)*'eGRID subregion name'!$P$3+VLOOKUP("Natural Gas", 'GHG Emissions'!$D$2:$M$66,8,FALSE)*'eGRID subregion name'!$P$4</f>
        <v>53.114800000000002</v>
      </c>
      <c r="I23" s="411">
        <f t="shared" si="2"/>
        <v>0</v>
      </c>
      <c r="J23" s="411">
        <f>'Sch4-Cost Savings by ECM'!V23</f>
        <v>0</v>
      </c>
      <c r="K2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 s="411">
        <f t="shared" si="8"/>
        <v>0</v>
      </c>
      <c r="M23" s="411">
        <f>'Sch4-Cost Savings by ECM'!X23</f>
        <v>0</v>
      </c>
      <c r="N2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 s="411">
        <f t="shared" si="3"/>
        <v>0</v>
      </c>
      <c r="P23" s="413">
        <f t="shared" si="1"/>
        <v>0</v>
      </c>
      <c r="Q23" s="411">
        <f>'Sch4-Cost Savings by ECM'!AB23</f>
        <v>0</v>
      </c>
      <c r="R23" s="411">
        <f t="shared" si="4"/>
        <v>0</v>
      </c>
      <c r="S23" s="411">
        <f t="shared" si="5"/>
        <v>0</v>
      </c>
      <c r="T23" s="411">
        <f t="shared" si="6"/>
        <v>0</v>
      </c>
      <c r="U23" s="422"/>
    </row>
    <row r="24" spans="1:21" ht="16.5" thickBot="1">
      <c r="A24" s="72" t="str">
        <f>IF('Sch2a-Imp Price by ECM'!B25="","",'Sch2a-Imp Price by ECM'!B25)</f>
        <v/>
      </c>
      <c r="B24" s="139" t="str">
        <f>IF('Sch2a-Imp Price by ECM'!D25="","",'Sch2a-Imp Price by ECM'!D25)</f>
        <v/>
      </c>
      <c r="C24" s="414" t="s">
        <v>430</v>
      </c>
      <c r="D24" s="410">
        <f>'Sch4-Cost Savings by ECM'!P24</f>
        <v>0</v>
      </c>
      <c r="E24" s="410">
        <f>VLOOKUP(C24,'eGRID subregion name'!$A$2:$N$30,8,0)</f>
        <v>189.83531623683197</v>
      </c>
      <c r="F24" s="410">
        <f t="shared" si="7"/>
        <v>0</v>
      </c>
      <c r="G24" s="411">
        <f>'Sch4-Cost Savings by ECM'!T24</f>
        <v>0</v>
      </c>
      <c r="H24" s="411">
        <f>VLOOKUP("Natural Gas", 'GHG Emissions'!$D$2:$M$66,4,FALSE)+VLOOKUP("Natural Gas", 'GHG Emissions'!$D$2:$M$66,6,FALSE)*'eGRID subregion name'!$P$3+VLOOKUP("Natural Gas", 'GHG Emissions'!$D$2:$M$66,8,FALSE)*'eGRID subregion name'!$P$4</f>
        <v>53.114800000000002</v>
      </c>
      <c r="I24" s="411">
        <f t="shared" si="2"/>
        <v>0</v>
      </c>
      <c r="J24" s="411">
        <f>'Sch4-Cost Savings by ECM'!V24</f>
        <v>0</v>
      </c>
      <c r="K2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 s="411">
        <f t="shared" si="8"/>
        <v>0</v>
      </c>
      <c r="M24" s="411">
        <f>'Sch4-Cost Savings by ECM'!X24</f>
        <v>0</v>
      </c>
      <c r="N2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 s="411">
        <f t="shared" si="3"/>
        <v>0</v>
      </c>
      <c r="P24" s="413">
        <f t="shared" si="1"/>
        <v>0</v>
      </c>
      <c r="Q24" s="411">
        <f>'Sch4-Cost Savings by ECM'!AB24</f>
        <v>0</v>
      </c>
      <c r="R24" s="411">
        <f t="shared" si="4"/>
        <v>0</v>
      </c>
      <c r="S24" s="411">
        <f t="shared" si="5"/>
        <v>0</v>
      </c>
      <c r="T24" s="411">
        <f t="shared" si="6"/>
        <v>0</v>
      </c>
      <c r="U24" s="422"/>
    </row>
    <row r="25" spans="1:21" ht="16.5" thickBot="1">
      <c r="A25" s="72" t="str">
        <f>IF('Sch2a-Imp Price by ECM'!B26="","",'Sch2a-Imp Price by ECM'!B26)</f>
        <v/>
      </c>
      <c r="B25" s="139" t="str">
        <f>IF('Sch2a-Imp Price by ECM'!D26="","",'Sch2a-Imp Price by ECM'!D26)</f>
        <v/>
      </c>
      <c r="C25" s="414" t="s">
        <v>430</v>
      </c>
      <c r="D25" s="410">
        <f>'Sch4-Cost Savings by ECM'!P25</f>
        <v>0</v>
      </c>
      <c r="E25" s="410">
        <f>VLOOKUP(C25,'eGRID subregion name'!$A$2:$N$30,8,0)</f>
        <v>189.83531623683197</v>
      </c>
      <c r="F25" s="410">
        <f t="shared" si="7"/>
        <v>0</v>
      </c>
      <c r="G25" s="411">
        <f>'Sch4-Cost Savings by ECM'!T25</f>
        <v>0</v>
      </c>
      <c r="H25" s="411">
        <f>VLOOKUP("Natural Gas", 'GHG Emissions'!$D$2:$M$66,4,FALSE)+VLOOKUP("Natural Gas", 'GHG Emissions'!$D$2:$M$66,6,FALSE)*'eGRID subregion name'!$P$3+VLOOKUP("Natural Gas", 'GHG Emissions'!$D$2:$M$66,8,FALSE)*'eGRID subregion name'!$P$4</f>
        <v>53.114800000000002</v>
      </c>
      <c r="I25" s="411">
        <f t="shared" si="2"/>
        <v>0</v>
      </c>
      <c r="J25" s="411">
        <f>'Sch4-Cost Savings by ECM'!V25</f>
        <v>0</v>
      </c>
      <c r="K2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 s="411">
        <f t="shared" si="8"/>
        <v>0</v>
      </c>
      <c r="M25" s="411">
        <f>'Sch4-Cost Savings by ECM'!X25</f>
        <v>0</v>
      </c>
      <c r="N2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 s="411">
        <f t="shared" si="3"/>
        <v>0</v>
      </c>
      <c r="P25" s="413">
        <f t="shared" si="1"/>
        <v>0</v>
      </c>
      <c r="Q25" s="411">
        <f>'Sch4-Cost Savings by ECM'!AB25</f>
        <v>0</v>
      </c>
      <c r="R25" s="411">
        <f t="shared" si="4"/>
        <v>0</v>
      </c>
      <c r="S25" s="411">
        <f t="shared" si="5"/>
        <v>0</v>
      </c>
      <c r="T25" s="411">
        <f t="shared" si="6"/>
        <v>0</v>
      </c>
      <c r="U25" s="422"/>
    </row>
    <row r="26" spans="1:21" ht="16.5" thickBot="1">
      <c r="A26" s="72" t="str">
        <f>IF('Sch2a-Imp Price by ECM'!B27="","",'Sch2a-Imp Price by ECM'!B27)</f>
        <v/>
      </c>
      <c r="B26" s="139" t="str">
        <f>IF('Sch2a-Imp Price by ECM'!D27="","",'Sch2a-Imp Price by ECM'!D27)</f>
        <v/>
      </c>
      <c r="C26" s="414" t="s">
        <v>430</v>
      </c>
      <c r="D26" s="410">
        <f>'Sch4-Cost Savings by ECM'!P26</f>
        <v>0</v>
      </c>
      <c r="E26" s="410">
        <f>VLOOKUP(C26,'eGRID subregion name'!$A$2:$N$30,8,0)</f>
        <v>189.83531623683197</v>
      </c>
      <c r="F26" s="410">
        <f t="shared" si="7"/>
        <v>0</v>
      </c>
      <c r="G26" s="411">
        <f>'Sch4-Cost Savings by ECM'!T26</f>
        <v>0</v>
      </c>
      <c r="H26" s="411">
        <f>VLOOKUP("Natural Gas", 'GHG Emissions'!$D$2:$M$66,4,FALSE)+VLOOKUP("Natural Gas", 'GHG Emissions'!$D$2:$M$66,6,FALSE)*'eGRID subregion name'!$P$3+VLOOKUP("Natural Gas", 'GHG Emissions'!$D$2:$M$66,8,FALSE)*'eGRID subregion name'!$P$4</f>
        <v>53.114800000000002</v>
      </c>
      <c r="I26" s="411">
        <f t="shared" si="2"/>
        <v>0</v>
      </c>
      <c r="J26" s="411">
        <f>'Sch4-Cost Savings by ECM'!V26</f>
        <v>0</v>
      </c>
      <c r="K2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6" s="411">
        <f t="shared" si="8"/>
        <v>0</v>
      </c>
      <c r="M26" s="411">
        <f>'Sch4-Cost Savings by ECM'!X26</f>
        <v>0</v>
      </c>
      <c r="N2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6" s="411">
        <f t="shared" si="3"/>
        <v>0</v>
      </c>
      <c r="P26" s="413">
        <f t="shared" si="1"/>
        <v>0</v>
      </c>
      <c r="Q26" s="411">
        <f>'Sch4-Cost Savings by ECM'!AB26</f>
        <v>0</v>
      </c>
      <c r="R26" s="411">
        <f t="shared" si="4"/>
        <v>0</v>
      </c>
      <c r="S26" s="411">
        <f t="shared" si="5"/>
        <v>0</v>
      </c>
      <c r="T26" s="411">
        <f t="shared" si="6"/>
        <v>0</v>
      </c>
      <c r="U26" s="422"/>
    </row>
    <row r="27" spans="1:21" ht="16.5" thickBot="1">
      <c r="A27" s="72" t="str">
        <f>IF('Sch2a-Imp Price by ECM'!B28="","",'Sch2a-Imp Price by ECM'!B28)</f>
        <v/>
      </c>
      <c r="B27" s="139" t="str">
        <f>IF('Sch2a-Imp Price by ECM'!D28="","",'Sch2a-Imp Price by ECM'!D28)</f>
        <v/>
      </c>
      <c r="C27" s="414" t="s">
        <v>430</v>
      </c>
      <c r="D27" s="410">
        <f>'Sch4-Cost Savings by ECM'!P27</f>
        <v>0</v>
      </c>
      <c r="E27" s="410">
        <f>VLOOKUP(C27,'eGRID subregion name'!$A$2:$N$30,8,0)</f>
        <v>189.83531623683197</v>
      </c>
      <c r="F27" s="410">
        <f t="shared" si="7"/>
        <v>0</v>
      </c>
      <c r="G27" s="411">
        <f>'Sch4-Cost Savings by ECM'!T27</f>
        <v>0</v>
      </c>
      <c r="H27" s="411">
        <f>VLOOKUP("Natural Gas", 'GHG Emissions'!$D$2:$M$66,4,FALSE)+VLOOKUP("Natural Gas", 'GHG Emissions'!$D$2:$M$66,6,FALSE)*'eGRID subregion name'!$P$3+VLOOKUP("Natural Gas", 'GHG Emissions'!$D$2:$M$66,8,FALSE)*'eGRID subregion name'!$P$4</f>
        <v>53.114800000000002</v>
      </c>
      <c r="I27" s="411">
        <f t="shared" si="2"/>
        <v>0</v>
      </c>
      <c r="J27" s="411">
        <f>'Sch4-Cost Savings by ECM'!V27</f>
        <v>0</v>
      </c>
      <c r="K2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7" s="411">
        <f t="shared" si="8"/>
        <v>0</v>
      </c>
      <c r="M27" s="411">
        <f>'Sch4-Cost Savings by ECM'!X27</f>
        <v>0</v>
      </c>
      <c r="N2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7" s="411">
        <f t="shared" si="3"/>
        <v>0</v>
      </c>
      <c r="P27" s="413">
        <f t="shared" si="1"/>
        <v>0</v>
      </c>
      <c r="Q27" s="411">
        <f>'Sch4-Cost Savings by ECM'!AB27</f>
        <v>0</v>
      </c>
      <c r="R27" s="411">
        <f t="shared" si="4"/>
        <v>0</v>
      </c>
      <c r="S27" s="411">
        <f t="shared" si="5"/>
        <v>0</v>
      </c>
      <c r="T27" s="411">
        <f t="shared" si="6"/>
        <v>0</v>
      </c>
      <c r="U27" s="422"/>
    </row>
    <row r="28" spans="1:21" ht="16.5" thickBot="1">
      <c r="A28" s="72" t="str">
        <f>IF('Sch2a-Imp Price by ECM'!B29="","",'Sch2a-Imp Price by ECM'!B29)</f>
        <v/>
      </c>
      <c r="B28" s="139" t="str">
        <f>IF('Sch2a-Imp Price by ECM'!D29="","",'Sch2a-Imp Price by ECM'!D29)</f>
        <v/>
      </c>
      <c r="C28" s="414" t="s">
        <v>430</v>
      </c>
      <c r="D28" s="410">
        <f>'Sch4-Cost Savings by ECM'!P28</f>
        <v>0</v>
      </c>
      <c r="E28" s="410">
        <f>VLOOKUP(C28,'eGRID subregion name'!$A$2:$N$30,8,0)</f>
        <v>189.83531623683197</v>
      </c>
      <c r="F28" s="410">
        <f t="shared" si="7"/>
        <v>0</v>
      </c>
      <c r="G28" s="411">
        <f>'Sch4-Cost Savings by ECM'!T28</f>
        <v>0</v>
      </c>
      <c r="H28" s="411">
        <f>VLOOKUP("Natural Gas", 'GHG Emissions'!$D$2:$M$66,4,FALSE)+VLOOKUP("Natural Gas", 'GHG Emissions'!$D$2:$M$66,6,FALSE)*'eGRID subregion name'!$P$3+VLOOKUP("Natural Gas", 'GHG Emissions'!$D$2:$M$66,8,FALSE)*'eGRID subregion name'!$P$4</f>
        <v>53.114800000000002</v>
      </c>
      <c r="I28" s="411">
        <f t="shared" si="2"/>
        <v>0</v>
      </c>
      <c r="J28" s="411">
        <f>'Sch4-Cost Savings by ECM'!V28</f>
        <v>0</v>
      </c>
      <c r="K2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8" s="411">
        <f t="shared" si="8"/>
        <v>0</v>
      </c>
      <c r="M28" s="411">
        <f>'Sch4-Cost Savings by ECM'!X28</f>
        <v>0</v>
      </c>
      <c r="N2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8" s="411">
        <f t="shared" si="3"/>
        <v>0</v>
      </c>
      <c r="P28" s="413">
        <f t="shared" si="1"/>
        <v>0</v>
      </c>
      <c r="Q28" s="411">
        <f>'Sch4-Cost Savings by ECM'!AB28</f>
        <v>0</v>
      </c>
      <c r="R28" s="411">
        <f t="shared" si="4"/>
        <v>0</v>
      </c>
      <c r="S28" s="411">
        <f t="shared" si="5"/>
        <v>0</v>
      </c>
      <c r="T28" s="411">
        <f t="shared" si="6"/>
        <v>0</v>
      </c>
      <c r="U28" s="422"/>
    </row>
    <row r="29" spans="1:21" ht="16.5" thickBot="1">
      <c r="A29" s="72" t="str">
        <f>IF('Sch2a-Imp Price by ECM'!B30="","",'Sch2a-Imp Price by ECM'!B30)</f>
        <v/>
      </c>
      <c r="B29" s="139" t="str">
        <f>IF('Sch2a-Imp Price by ECM'!D30="","",'Sch2a-Imp Price by ECM'!D30)</f>
        <v/>
      </c>
      <c r="C29" s="414" t="s">
        <v>430</v>
      </c>
      <c r="D29" s="410">
        <f>'Sch4-Cost Savings by ECM'!P29</f>
        <v>0</v>
      </c>
      <c r="E29" s="410">
        <f>VLOOKUP(C29,'eGRID subregion name'!$A$2:$N$30,8,0)</f>
        <v>189.83531623683197</v>
      </c>
      <c r="F29" s="410">
        <f t="shared" si="7"/>
        <v>0</v>
      </c>
      <c r="G29" s="411">
        <f>'Sch4-Cost Savings by ECM'!T29</f>
        <v>0</v>
      </c>
      <c r="H29" s="411">
        <f>VLOOKUP("Natural Gas", 'GHG Emissions'!$D$2:$M$66,4,FALSE)+VLOOKUP("Natural Gas", 'GHG Emissions'!$D$2:$M$66,6,FALSE)*'eGRID subregion name'!$P$3+VLOOKUP("Natural Gas", 'GHG Emissions'!$D$2:$M$66,8,FALSE)*'eGRID subregion name'!$P$4</f>
        <v>53.114800000000002</v>
      </c>
      <c r="I29" s="411">
        <f t="shared" si="2"/>
        <v>0</v>
      </c>
      <c r="J29" s="411">
        <f>'Sch4-Cost Savings by ECM'!V29</f>
        <v>0</v>
      </c>
      <c r="K2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9" s="411">
        <f t="shared" si="8"/>
        <v>0</v>
      </c>
      <c r="M29" s="411">
        <f>'Sch4-Cost Savings by ECM'!X29</f>
        <v>0</v>
      </c>
      <c r="N2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9" s="411">
        <f t="shared" si="3"/>
        <v>0</v>
      </c>
      <c r="P29" s="413">
        <f t="shared" si="1"/>
        <v>0</v>
      </c>
      <c r="Q29" s="411">
        <f>'Sch4-Cost Savings by ECM'!AB29</f>
        <v>0</v>
      </c>
      <c r="R29" s="411">
        <f t="shared" si="4"/>
        <v>0</v>
      </c>
      <c r="S29" s="411">
        <f t="shared" si="5"/>
        <v>0</v>
      </c>
      <c r="T29" s="411">
        <f t="shared" si="6"/>
        <v>0</v>
      </c>
      <c r="U29" s="422"/>
    </row>
    <row r="30" spans="1:21" ht="16.5" thickBot="1">
      <c r="A30" s="72" t="str">
        <f>IF('Sch2a-Imp Price by ECM'!B31="","",'Sch2a-Imp Price by ECM'!B31)</f>
        <v/>
      </c>
      <c r="B30" s="139" t="str">
        <f>IF('Sch2a-Imp Price by ECM'!D31="","",'Sch2a-Imp Price by ECM'!D31)</f>
        <v/>
      </c>
      <c r="C30" s="414" t="s">
        <v>430</v>
      </c>
      <c r="D30" s="410">
        <f>'Sch4-Cost Savings by ECM'!P30</f>
        <v>0</v>
      </c>
      <c r="E30" s="410">
        <f>VLOOKUP(C30,'eGRID subregion name'!$A$2:$N$30,8,0)</f>
        <v>189.83531623683197</v>
      </c>
      <c r="F30" s="410">
        <f t="shared" si="7"/>
        <v>0</v>
      </c>
      <c r="G30" s="411">
        <f>'Sch4-Cost Savings by ECM'!T30</f>
        <v>0</v>
      </c>
      <c r="H30" s="411">
        <f>VLOOKUP("Natural Gas", 'GHG Emissions'!$D$2:$M$66,4,FALSE)+VLOOKUP("Natural Gas", 'GHG Emissions'!$D$2:$M$66,6,FALSE)*'eGRID subregion name'!$P$3+VLOOKUP("Natural Gas", 'GHG Emissions'!$D$2:$M$66,8,FALSE)*'eGRID subregion name'!$P$4</f>
        <v>53.114800000000002</v>
      </c>
      <c r="I30" s="411">
        <f t="shared" si="2"/>
        <v>0</v>
      </c>
      <c r="J30" s="411">
        <f>'Sch4-Cost Savings by ECM'!V30</f>
        <v>0</v>
      </c>
      <c r="K3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0" s="411">
        <f t="shared" si="8"/>
        <v>0</v>
      </c>
      <c r="M30" s="411">
        <f>'Sch4-Cost Savings by ECM'!X30</f>
        <v>0</v>
      </c>
      <c r="N3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0" s="411">
        <f t="shared" si="3"/>
        <v>0</v>
      </c>
      <c r="P30" s="413">
        <f t="shared" si="1"/>
        <v>0</v>
      </c>
      <c r="Q30" s="411">
        <f>'Sch4-Cost Savings by ECM'!AB30</f>
        <v>0</v>
      </c>
      <c r="R30" s="411">
        <f t="shared" si="4"/>
        <v>0</v>
      </c>
      <c r="S30" s="411">
        <f t="shared" si="5"/>
        <v>0</v>
      </c>
      <c r="T30" s="411">
        <f t="shared" si="6"/>
        <v>0</v>
      </c>
      <c r="U30" s="422"/>
    </row>
    <row r="31" spans="1:21" ht="16.5" thickBot="1">
      <c r="A31" s="72" t="str">
        <f>IF('Sch2a-Imp Price by ECM'!B32="","",'Sch2a-Imp Price by ECM'!B32)</f>
        <v/>
      </c>
      <c r="B31" s="139" t="str">
        <f>IF('Sch2a-Imp Price by ECM'!D32="","",'Sch2a-Imp Price by ECM'!D32)</f>
        <v/>
      </c>
      <c r="C31" s="414" t="s">
        <v>430</v>
      </c>
      <c r="D31" s="410">
        <f>'Sch4-Cost Savings by ECM'!P31</f>
        <v>0</v>
      </c>
      <c r="E31" s="410">
        <f>VLOOKUP(C31,'eGRID subregion name'!$A$2:$N$30,8,0)</f>
        <v>189.83531623683197</v>
      </c>
      <c r="F31" s="410">
        <f t="shared" si="7"/>
        <v>0</v>
      </c>
      <c r="G31" s="411">
        <f>'Sch4-Cost Savings by ECM'!T31</f>
        <v>0</v>
      </c>
      <c r="H31" s="411">
        <f>VLOOKUP("Natural Gas", 'GHG Emissions'!$D$2:$M$66,4,FALSE)+VLOOKUP("Natural Gas", 'GHG Emissions'!$D$2:$M$66,6,FALSE)*'eGRID subregion name'!$P$3+VLOOKUP("Natural Gas", 'GHG Emissions'!$D$2:$M$66,8,FALSE)*'eGRID subregion name'!$P$4</f>
        <v>53.114800000000002</v>
      </c>
      <c r="I31" s="411">
        <f t="shared" si="2"/>
        <v>0</v>
      </c>
      <c r="J31" s="411">
        <f>'Sch4-Cost Savings by ECM'!V31</f>
        <v>0</v>
      </c>
      <c r="K3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1" s="411">
        <f t="shared" si="8"/>
        <v>0</v>
      </c>
      <c r="M31" s="411">
        <f>'Sch4-Cost Savings by ECM'!X31</f>
        <v>0</v>
      </c>
      <c r="N3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1" s="411">
        <f t="shared" si="3"/>
        <v>0</v>
      </c>
      <c r="P31" s="413">
        <f t="shared" si="1"/>
        <v>0</v>
      </c>
      <c r="Q31" s="411">
        <f>'Sch4-Cost Savings by ECM'!AB31</f>
        <v>0</v>
      </c>
      <c r="R31" s="411">
        <f t="shared" si="4"/>
        <v>0</v>
      </c>
      <c r="S31" s="411">
        <f t="shared" si="5"/>
        <v>0</v>
      </c>
      <c r="T31" s="411">
        <f t="shared" si="6"/>
        <v>0</v>
      </c>
    </row>
    <row r="32" spans="1:21" ht="16.5" thickBot="1">
      <c r="A32" s="72" t="str">
        <f>IF('Sch2a-Imp Price by ECM'!B33="","",'Sch2a-Imp Price by ECM'!B33)</f>
        <v/>
      </c>
      <c r="B32" s="139" t="str">
        <f>IF('Sch2a-Imp Price by ECM'!D33="","",'Sch2a-Imp Price by ECM'!D33)</f>
        <v/>
      </c>
      <c r="C32" s="414" t="s">
        <v>430</v>
      </c>
      <c r="D32" s="410">
        <f>'Sch4-Cost Savings by ECM'!P32</f>
        <v>0</v>
      </c>
      <c r="E32" s="410">
        <f>VLOOKUP(C32,'eGRID subregion name'!$A$2:$N$30,8,0)</f>
        <v>189.83531623683197</v>
      </c>
      <c r="F32" s="410">
        <f t="shared" si="7"/>
        <v>0</v>
      </c>
      <c r="G32" s="411">
        <f>'Sch4-Cost Savings by ECM'!T32</f>
        <v>0</v>
      </c>
      <c r="H32" s="411">
        <f>VLOOKUP("Natural Gas", 'GHG Emissions'!$D$2:$M$66,4,FALSE)+VLOOKUP("Natural Gas", 'GHG Emissions'!$D$2:$M$66,6,FALSE)*'eGRID subregion name'!$P$3+VLOOKUP("Natural Gas", 'GHG Emissions'!$D$2:$M$66,8,FALSE)*'eGRID subregion name'!$P$4</f>
        <v>53.114800000000002</v>
      </c>
      <c r="I32" s="411">
        <f t="shared" si="2"/>
        <v>0</v>
      </c>
      <c r="J32" s="411">
        <f>'Sch4-Cost Savings by ECM'!V32</f>
        <v>0</v>
      </c>
      <c r="K3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2" s="411">
        <f t="shared" si="8"/>
        <v>0</v>
      </c>
      <c r="M32" s="411">
        <f>'Sch4-Cost Savings by ECM'!X32</f>
        <v>0</v>
      </c>
      <c r="N3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2" s="411">
        <f t="shared" si="3"/>
        <v>0</v>
      </c>
      <c r="P32" s="413">
        <f t="shared" si="1"/>
        <v>0</v>
      </c>
      <c r="Q32" s="411">
        <f>'Sch4-Cost Savings by ECM'!AB32</f>
        <v>0</v>
      </c>
      <c r="R32" s="411">
        <f t="shared" si="4"/>
        <v>0</v>
      </c>
      <c r="S32" s="411">
        <f t="shared" si="5"/>
        <v>0</v>
      </c>
      <c r="T32" s="411">
        <f t="shared" si="6"/>
        <v>0</v>
      </c>
    </row>
    <row r="33" spans="1:20" ht="16.5" thickBot="1">
      <c r="A33" s="72" t="str">
        <f>IF('Sch2a-Imp Price by ECM'!B34="","",'Sch2a-Imp Price by ECM'!B34)</f>
        <v/>
      </c>
      <c r="B33" s="139" t="str">
        <f>IF('Sch2a-Imp Price by ECM'!D34="","",'Sch2a-Imp Price by ECM'!D34)</f>
        <v/>
      </c>
      <c r="C33" s="414" t="s">
        <v>430</v>
      </c>
      <c r="D33" s="410">
        <f>'Sch4-Cost Savings by ECM'!P33</f>
        <v>0</v>
      </c>
      <c r="E33" s="410">
        <f>VLOOKUP(C33,'eGRID subregion name'!$A$2:$N$30,8,0)</f>
        <v>189.83531623683197</v>
      </c>
      <c r="F33" s="410">
        <f t="shared" si="7"/>
        <v>0</v>
      </c>
      <c r="G33" s="411">
        <f>'Sch4-Cost Savings by ECM'!T33</f>
        <v>0</v>
      </c>
      <c r="H33" s="411">
        <f>VLOOKUP("Natural Gas", 'GHG Emissions'!$D$2:$M$66,4,FALSE)+VLOOKUP("Natural Gas", 'GHG Emissions'!$D$2:$M$66,6,FALSE)*'eGRID subregion name'!$P$3+VLOOKUP("Natural Gas", 'GHG Emissions'!$D$2:$M$66,8,FALSE)*'eGRID subregion name'!$P$4</f>
        <v>53.114800000000002</v>
      </c>
      <c r="I33" s="411">
        <f t="shared" si="2"/>
        <v>0</v>
      </c>
      <c r="J33" s="411">
        <f>'Sch4-Cost Savings by ECM'!V33</f>
        <v>0</v>
      </c>
      <c r="K3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3" s="411">
        <f t="shared" si="8"/>
        <v>0</v>
      </c>
      <c r="M33" s="411">
        <f>'Sch4-Cost Savings by ECM'!X33</f>
        <v>0</v>
      </c>
      <c r="N3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3" s="411">
        <f t="shared" si="3"/>
        <v>0</v>
      </c>
      <c r="P33" s="413">
        <f t="shared" si="1"/>
        <v>0</v>
      </c>
      <c r="Q33" s="411">
        <f>'Sch4-Cost Savings by ECM'!AB33</f>
        <v>0</v>
      </c>
      <c r="R33" s="411">
        <f t="shared" si="4"/>
        <v>0</v>
      </c>
      <c r="S33" s="411">
        <f t="shared" si="5"/>
        <v>0</v>
      </c>
      <c r="T33" s="411">
        <f t="shared" si="6"/>
        <v>0</v>
      </c>
    </row>
    <row r="34" spans="1:20" ht="18" customHeight="1" thickBot="1">
      <c r="A34" s="72" t="str">
        <f>IF('Sch2a-Imp Price by ECM'!B35="","",'Sch2a-Imp Price by ECM'!B35)</f>
        <v/>
      </c>
      <c r="B34" s="139" t="str">
        <f>IF('Sch2a-Imp Price by ECM'!D35="","",'Sch2a-Imp Price by ECM'!D35)</f>
        <v/>
      </c>
      <c r="C34" s="414" t="s">
        <v>430</v>
      </c>
      <c r="D34" s="410">
        <f>'Sch4-Cost Savings by ECM'!P34</f>
        <v>0</v>
      </c>
      <c r="E34" s="410">
        <f>VLOOKUP(C34,'eGRID subregion name'!$A$2:$N$30,8,0)</f>
        <v>189.83531623683197</v>
      </c>
      <c r="F34" s="410">
        <f t="shared" si="7"/>
        <v>0</v>
      </c>
      <c r="G34" s="411">
        <f>'Sch4-Cost Savings by ECM'!T34</f>
        <v>0</v>
      </c>
      <c r="H34" s="411">
        <f>VLOOKUP("Natural Gas", 'GHG Emissions'!$D$2:$M$66,4,FALSE)+VLOOKUP("Natural Gas", 'GHG Emissions'!$D$2:$M$66,6,FALSE)*'eGRID subregion name'!$P$3+VLOOKUP("Natural Gas", 'GHG Emissions'!$D$2:$M$66,8,FALSE)*'eGRID subregion name'!$P$4</f>
        <v>53.114800000000002</v>
      </c>
      <c r="I34" s="411">
        <f t="shared" si="2"/>
        <v>0</v>
      </c>
      <c r="J34" s="411">
        <f>'Sch4-Cost Savings by ECM'!V34</f>
        <v>0</v>
      </c>
      <c r="K3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4" s="411">
        <f t="shared" si="8"/>
        <v>0</v>
      </c>
      <c r="M34" s="411">
        <f>'Sch4-Cost Savings by ECM'!X34</f>
        <v>0</v>
      </c>
      <c r="N3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4" s="411">
        <f t="shared" si="3"/>
        <v>0</v>
      </c>
      <c r="P34" s="413">
        <f t="shared" si="1"/>
        <v>0</v>
      </c>
      <c r="Q34" s="411">
        <f>'Sch4-Cost Savings by ECM'!AB34</f>
        <v>0</v>
      </c>
      <c r="R34" s="411">
        <f t="shared" si="4"/>
        <v>0</v>
      </c>
      <c r="S34" s="411">
        <f t="shared" si="5"/>
        <v>0</v>
      </c>
      <c r="T34" s="411">
        <f t="shared" si="6"/>
        <v>0</v>
      </c>
    </row>
    <row r="35" spans="1:20" ht="16.5" thickBot="1">
      <c r="A35" s="72" t="str">
        <f>IF('Sch2a-Imp Price by ECM'!B36="","",'Sch2a-Imp Price by ECM'!B36)</f>
        <v/>
      </c>
      <c r="B35" s="139" t="str">
        <f>IF('Sch2a-Imp Price by ECM'!D36="","",'Sch2a-Imp Price by ECM'!D36)</f>
        <v/>
      </c>
      <c r="C35" s="414" t="s">
        <v>430</v>
      </c>
      <c r="D35" s="410">
        <f>'Sch4-Cost Savings by ECM'!P35</f>
        <v>0</v>
      </c>
      <c r="E35" s="410">
        <f>VLOOKUP(C35,'eGRID subregion name'!$A$2:$N$30,8,0)</f>
        <v>189.83531623683197</v>
      </c>
      <c r="F35" s="410">
        <f t="shared" si="7"/>
        <v>0</v>
      </c>
      <c r="G35" s="411">
        <f>'Sch4-Cost Savings by ECM'!T35</f>
        <v>0</v>
      </c>
      <c r="H35" s="411">
        <f>VLOOKUP("Natural Gas", 'GHG Emissions'!$D$2:$M$66,4,FALSE)+VLOOKUP("Natural Gas", 'GHG Emissions'!$D$2:$M$66,6,FALSE)*'eGRID subregion name'!$P$3+VLOOKUP("Natural Gas", 'GHG Emissions'!$D$2:$M$66,8,FALSE)*'eGRID subregion name'!$P$4</f>
        <v>53.114800000000002</v>
      </c>
      <c r="I35" s="411">
        <f t="shared" si="2"/>
        <v>0</v>
      </c>
      <c r="J35" s="411">
        <f>'Sch4-Cost Savings by ECM'!V35</f>
        <v>0</v>
      </c>
      <c r="K3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5" s="411">
        <f t="shared" si="8"/>
        <v>0</v>
      </c>
      <c r="M35" s="411">
        <f>'Sch4-Cost Savings by ECM'!X35</f>
        <v>0</v>
      </c>
      <c r="N3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5" s="411">
        <f t="shared" si="3"/>
        <v>0</v>
      </c>
      <c r="P35" s="413">
        <f t="shared" si="1"/>
        <v>0</v>
      </c>
      <c r="Q35" s="411">
        <f>'Sch4-Cost Savings by ECM'!AB35</f>
        <v>0</v>
      </c>
      <c r="R35" s="411">
        <f t="shared" si="4"/>
        <v>0</v>
      </c>
      <c r="S35" s="411">
        <f t="shared" si="5"/>
        <v>0</v>
      </c>
      <c r="T35" s="411">
        <f t="shared" si="6"/>
        <v>0</v>
      </c>
    </row>
    <row r="36" spans="1:20" ht="16.5" thickBot="1">
      <c r="A36" s="72" t="str">
        <f>IF('Sch2a-Imp Price by ECM'!B37="","",'Sch2a-Imp Price by ECM'!B37)</f>
        <v/>
      </c>
      <c r="B36" s="139" t="str">
        <f>IF('Sch2a-Imp Price by ECM'!D37="","",'Sch2a-Imp Price by ECM'!D37)</f>
        <v/>
      </c>
      <c r="C36" s="414" t="s">
        <v>430</v>
      </c>
      <c r="D36" s="410">
        <f>'Sch4-Cost Savings by ECM'!P36</f>
        <v>0</v>
      </c>
      <c r="E36" s="410">
        <f>VLOOKUP(C36,'eGRID subregion name'!$A$2:$N$30,8,0)</f>
        <v>189.83531623683197</v>
      </c>
      <c r="F36" s="410">
        <f t="shared" si="7"/>
        <v>0</v>
      </c>
      <c r="G36" s="411">
        <f>'Sch4-Cost Savings by ECM'!T36</f>
        <v>0</v>
      </c>
      <c r="H36" s="411">
        <f>VLOOKUP("Natural Gas", 'GHG Emissions'!$D$2:$M$66,4,FALSE)+VLOOKUP("Natural Gas", 'GHG Emissions'!$D$2:$M$66,6,FALSE)*'eGRID subregion name'!$P$3+VLOOKUP("Natural Gas", 'GHG Emissions'!$D$2:$M$66,8,FALSE)*'eGRID subregion name'!$P$4</f>
        <v>53.114800000000002</v>
      </c>
      <c r="I36" s="411">
        <f t="shared" si="2"/>
        <v>0</v>
      </c>
      <c r="J36" s="411">
        <f>'Sch4-Cost Savings by ECM'!V36</f>
        <v>0</v>
      </c>
      <c r="K3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6" s="411">
        <f t="shared" si="8"/>
        <v>0</v>
      </c>
      <c r="M36" s="411">
        <f>'Sch4-Cost Savings by ECM'!X36</f>
        <v>0</v>
      </c>
      <c r="N3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6" s="411">
        <f t="shared" si="3"/>
        <v>0</v>
      </c>
      <c r="P36" s="413">
        <f t="shared" si="1"/>
        <v>0</v>
      </c>
      <c r="Q36" s="411">
        <f>'Sch4-Cost Savings by ECM'!AB36</f>
        <v>0</v>
      </c>
      <c r="R36" s="411">
        <f t="shared" si="4"/>
        <v>0</v>
      </c>
      <c r="S36" s="411">
        <f t="shared" si="5"/>
        <v>0</v>
      </c>
      <c r="T36" s="411">
        <f t="shared" si="6"/>
        <v>0</v>
      </c>
    </row>
    <row r="37" spans="1:20" ht="16.5" thickBot="1">
      <c r="A37" s="72" t="str">
        <f>IF('Sch2a-Imp Price by ECM'!B38="","",'Sch2a-Imp Price by ECM'!B38)</f>
        <v/>
      </c>
      <c r="B37" s="139" t="str">
        <f>IF('Sch2a-Imp Price by ECM'!D38="","",'Sch2a-Imp Price by ECM'!D38)</f>
        <v/>
      </c>
      <c r="C37" s="414" t="s">
        <v>430</v>
      </c>
      <c r="D37" s="410">
        <f>'Sch4-Cost Savings by ECM'!P37</f>
        <v>0</v>
      </c>
      <c r="E37" s="410">
        <f>VLOOKUP(C37,'eGRID subregion name'!$A$2:$N$30,8,0)</f>
        <v>189.83531623683197</v>
      </c>
      <c r="F37" s="410">
        <f t="shared" si="7"/>
        <v>0</v>
      </c>
      <c r="G37" s="411">
        <f>'Sch4-Cost Savings by ECM'!T37</f>
        <v>0</v>
      </c>
      <c r="H37" s="411">
        <f>VLOOKUP("Natural Gas", 'GHG Emissions'!$D$2:$M$66,4,FALSE)+VLOOKUP("Natural Gas", 'GHG Emissions'!$D$2:$M$66,6,FALSE)*'eGRID subregion name'!$P$3+VLOOKUP("Natural Gas", 'GHG Emissions'!$D$2:$M$66,8,FALSE)*'eGRID subregion name'!$P$4</f>
        <v>53.114800000000002</v>
      </c>
      <c r="I37" s="411">
        <f t="shared" si="2"/>
        <v>0</v>
      </c>
      <c r="J37" s="411">
        <f>'Sch4-Cost Savings by ECM'!V37</f>
        <v>0</v>
      </c>
      <c r="K3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7" s="411">
        <f t="shared" si="8"/>
        <v>0</v>
      </c>
      <c r="M37" s="411">
        <f>'Sch4-Cost Savings by ECM'!X37</f>
        <v>0</v>
      </c>
      <c r="N3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7" s="411">
        <f t="shared" si="3"/>
        <v>0</v>
      </c>
      <c r="P37" s="413">
        <f t="shared" si="1"/>
        <v>0</v>
      </c>
      <c r="Q37" s="411">
        <f>'Sch4-Cost Savings by ECM'!AB37</f>
        <v>0</v>
      </c>
      <c r="R37" s="411">
        <f t="shared" si="4"/>
        <v>0</v>
      </c>
      <c r="S37" s="411">
        <f t="shared" si="5"/>
        <v>0</v>
      </c>
      <c r="T37" s="411">
        <f t="shared" si="6"/>
        <v>0</v>
      </c>
    </row>
    <row r="38" spans="1:20" ht="16.5" thickBot="1">
      <c r="A38" s="72" t="str">
        <f>IF('Sch2a-Imp Price by ECM'!B39="","",'Sch2a-Imp Price by ECM'!B39)</f>
        <v/>
      </c>
      <c r="B38" s="139" t="str">
        <f>IF('Sch2a-Imp Price by ECM'!D39="","",'Sch2a-Imp Price by ECM'!D39)</f>
        <v/>
      </c>
      <c r="C38" s="414" t="s">
        <v>430</v>
      </c>
      <c r="D38" s="410">
        <f>'Sch4-Cost Savings by ECM'!P38</f>
        <v>0</v>
      </c>
      <c r="E38" s="410">
        <f>VLOOKUP(C38,'eGRID subregion name'!$A$2:$N$30,8,0)</f>
        <v>189.83531623683197</v>
      </c>
      <c r="F38" s="410">
        <f t="shared" si="7"/>
        <v>0</v>
      </c>
      <c r="G38" s="411">
        <f>'Sch4-Cost Savings by ECM'!T38</f>
        <v>0</v>
      </c>
      <c r="H38" s="411">
        <f>VLOOKUP("Natural Gas", 'GHG Emissions'!$D$2:$M$66,4,FALSE)+VLOOKUP("Natural Gas", 'GHG Emissions'!$D$2:$M$66,6,FALSE)*'eGRID subregion name'!$P$3+VLOOKUP("Natural Gas", 'GHG Emissions'!$D$2:$M$66,8,FALSE)*'eGRID subregion name'!$P$4</f>
        <v>53.114800000000002</v>
      </c>
      <c r="I38" s="411">
        <f t="shared" si="2"/>
        <v>0</v>
      </c>
      <c r="J38" s="411">
        <f>'Sch4-Cost Savings by ECM'!V38</f>
        <v>0</v>
      </c>
      <c r="K3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8" s="411">
        <f t="shared" si="8"/>
        <v>0</v>
      </c>
      <c r="M38" s="411">
        <f>'Sch4-Cost Savings by ECM'!X38</f>
        <v>0</v>
      </c>
      <c r="N3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8" s="411">
        <f t="shared" si="3"/>
        <v>0</v>
      </c>
      <c r="P38" s="413">
        <f t="shared" si="1"/>
        <v>0</v>
      </c>
      <c r="Q38" s="411">
        <f>'Sch4-Cost Savings by ECM'!AB38</f>
        <v>0</v>
      </c>
      <c r="R38" s="411">
        <f t="shared" si="4"/>
        <v>0</v>
      </c>
      <c r="S38" s="411">
        <f t="shared" si="5"/>
        <v>0</v>
      </c>
      <c r="T38" s="411">
        <f t="shared" si="6"/>
        <v>0</v>
      </c>
    </row>
    <row r="39" spans="1:20" ht="16.5" thickBot="1">
      <c r="A39" s="72" t="str">
        <f>IF('Sch2a-Imp Price by ECM'!B40="","",'Sch2a-Imp Price by ECM'!B40)</f>
        <v/>
      </c>
      <c r="B39" s="139" t="str">
        <f>IF('Sch2a-Imp Price by ECM'!D40="","",'Sch2a-Imp Price by ECM'!D40)</f>
        <v/>
      </c>
      <c r="C39" s="414" t="s">
        <v>430</v>
      </c>
      <c r="D39" s="410">
        <f>'Sch4-Cost Savings by ECM'!P39</f>
        <v>0</v>
      </c>
      <c r="E39" s="410">
        <f>VLOOKUP(C39,'eGRID subregion name'!$A$2:$N$30,8,0)</f>
        <v>189.83531623683197</v>
      </c>
      <c r="F39" s="410">
        <f t="shared" si="7"/>
        <v>0</v>
      </c>
      <c r="G39" s="411">
        <f>'Sch4-Cost Savings by ECM'!T39</f>
        <v>0</v>
      </c>
      <c r="H39" s="411">
        <f>VLOOKUP("Natural Gas", 'GHG Emissions'!$D$2:$M$66,4,FALSE)+VLOOKUP("Natural Gas", 'GHG Emissions'!$D$2:$M$66,6,FALSE)*'eGRID subregion name'!$P$3+VLOOKUP("Natural Gas", 'GHG Emissions'!$D$2:$M$66,8,FALSE)*'eGRID subregion name'!$P$4</f>
        <v>53.114800000000002</v>
      </c>
      <c r="I39" s="411">
        <f t="shared" si="2"/>
        <v>0</v>
      </c>
      <c r="J39" s="411">
        <f>'Sch4-Cost Savings by ECM'!V39</f>
        <v>0</v>
      </c>
      <c r="K3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9" s="411">
        <f t="shared" si="8"/>
        <v>0</v>
      </c>
      <c r="M39" s="411">
        <f>'Sch4-Cost Savings by ECM'!X39</f>
        <v>0</v>
      </c>
      <c r="N3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9" s="411">
        <f t="shared" si="3"/>
        <v>0</v>
      </c>
      <c r="P39" s="413">
        <f t="shared" si="1"/>
        <v>0</v>
      </c>
      <c r="Q39" s="411">
        <f>'Sch4-Cost Savings by ECM'!AB39</f>
        <v>0</v>
      </c>
      <c r="R39" s="411">
        <f t="shared" si="4"/>
        <v>0</v>
      </c>
      <c r="S39" s="411">
        <f t="shared" si="5"/>
        <v>0</v>
      </c>
      <c r="T39" s="411">
        <f t="shared" si="6"/>
        <v>0</v>
      </c>
    </row>
    <row r="40" spans="1:20" ht="16.5" thickBot="1">
      <c r="A40" s="72" t="str">
        <f>IF('Sch2a-Imp Price by ECM'!B41="","",'Sch2a-Imp Price by ECM'!B41)</f>
        <v/>
      </c>
      <c r="B40" s="139" t="str">
        <f>IF('Sch2a-Imp Price by ECM'!D41="","",'Sch2a-Imp Price by ECM'!D41)</f>
        <v/>
      </c>
      <c r="C40" s="414" t="s">
        <v>430</v>
      </c>
      <c r="D40" s="410">
        <f>'Sch4-Cost Savings by ECM'!P40</f>
        <v>0</v>
      </c>
      <c r="E40" s="410">
        <f>VLOOKUP(C40,'eGRID subregion name'!$A$2:$N$30,8,0)</f>
        <v>189.83531623683197</v>
      </c>
      <c r="F40" s="410">
        <f t="shared" si="7"/>
        <v>0</v>
      </c>
      <c r="G40" s="411">
        <f>'Sch4-Cost Savings by ECM'!T40</f>
        <v>0</v>
      </c>
      <c r="H40" s="411">
        <f>VLOOKUP("Natural Gas", 'GHG Emissions'!$D$2:$M$66,4,FALSE)+VLOOKUP("Natural Gas", 'GHG Emissions'!$D$2:$M$66,6,FALSE)*'eGRID subregion name'!$P$3+VLOOKUP("Natural Gas", 'GHG Emissions'!$D$2:$M$66,8,FALSE)*'eGRID subregion name'!$P$4</f>
        <v>53.114800000000002</v>
      </c>
      <c r="I40" s="411">
        <f t="shared" si="2"/>
        <v>0</v>
      </c>
      <c r="J40" s="411">
        <f>'Sch4-Cost Savings by ECM'!V40</f>
        <v>0</v>
      </c>
      <c r="K4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0" s="411">
        <f t="shared" si="8"/>
        <v>0</v>
      </c>
      <c r="M40" s="411">
        <f>'Sch4-Cost Savings by ECM'!X40</f>
        <v>0</v>
      </c>
      <c r="N4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0" s="411">
        <f t="shared" si="3"/>
        <v>0</v>
      </c>
      <c r="P40" s="413">
        <f t="shared" si="1"/>
        <v>0</v>
      </c>
      <c r="Q40" s="411">
        <f>'Sch4-Cost Savings by ECM'!AB40</f>
        <v>0</v>
      </c>
      <c r="R40" s="411">
        <f t="shared" si="4"/>
        <v>0</v>
      </c>
      <c r="S40" s="411">
        <f t="shared" si="5"/>
        <v>0</v>
      </c>
      <c r="T40" s="411">
        <f t="shared" si="6"/>
        <v>0</v>
      </c>
    </row>
    <row r="41" spans="1:20" ht="16.5" thickBot="1">
      <c r="A41" s="72" t="str">
        <f>IF('Sch2a-Imp Price by ECM'!B42="","",'Sch2a-Imp Price by ECM'!B42)</f>
        <v/>
      </c>
      <c r="B41" s="139" t="str">
        <f>IF('Sch2a-Imp Price by ECM'!D42="","",'Sch2a-Imp Price by ECM'!D42)</f>
        <v/>
      </c>
      <c r="C41" s="414" t="s">
        <v>430</v>
      </c>
      <c r="D41" s="410">
        <f>'Sch4-Cost Savings by ECM'!P41</f>
        <v>0</v>
      </c>
      <c r="E41" s="410">
        <f>VLOOKUP(C41,'eGRID subregion name'!$A$2:$N$30,8,0)</f>
        <v>189.83531623683197</v>
      </c>
      <c r="F41" s="410">
        <f t="shared" si="7"/>
        <v>0</v>
      </c>
      <c r="G41" s="411">
        <f>'Sch4-Cost Savings by ECM'!T41</f>
        <v>0</v>
      </c>
      <c r="H41" s="411">
        <f>VLOOKUP("Natural Gas", 'GHG Emissions'!$D$2:$M$66,4,FALSE)+VLOOKUP("Natural Gas", 'GHG Emissions'!$D$2:$M$66,6,FALSE)*'eGRID subregion name'!$P$3+VLOOKUP("Natural Gas", 'GHG Emissions'!$D$2:$M$66,8,FALSE)*'eGRID subregion name'!$P$4</f>
        <v>53.114800000000002</v>
      </c>
      <c r="I41" s="411">
        <f t="shared" si="2"/>
        <v>0</v>
      </c>
      <c r="J41" s="411">
        <f>'Sch4-Cost Savings by ECM'!V41</f>
        <v>0</v>
      </c>
      <c r="K4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1" s="411">
        <f t="shared" si="8"/>
        <v>0</v>
      </c>
      <c r="M41" s="411">
        <f>'Sch4-Cost Savings by ECM'!X41</f>
        <v>0</v>
      </c>
      <c r="N4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1" s="411">
        <f t="shared" si="3"/>
        <v>0</v>
      </c>
      <c r="P41" s="413">
        <f t="shared" si="1"/>
        <v>0</v>
      </c>
      <c r="Q41" s="411">
        <f>'Sch4-Cost Savings by ECM'!AB41</f>
        <v>0</v>
      </c>
      <c r="R41" s="411">
        <f t="shared" si="4"/>
        <v>0</v>
      </c>
      <c r="S41" s="411">
        <f t="shared" si="5"/>
        <v>0</v>
      </c>
      <c r="T41" s="411">
        <f t="shared" si="6"/>
        <v>0</v>
      </c>
    </row>
    <row r="42" spans="1:20" ht="16.5" thickBot="1">
      <c r="A42" s="72" t="str">
        <f>IF('Sch2a-Imp Price by ECM'!B43="","",'Sch2a-Imp Price by ECM'!B43)</f>
        <v/>
      </c>
      <c r="B42" s="139" t="str">
        <f>IF('Sch2a-Imp Price by ECM'!D43="","",'Sch2a-Imp Price by ECM'!D43)</f>
        <v/>
      </c>
      <c r="C42" s="414" t="s">
        <v>430</v>
      </c>
      <c r="D42" s="410">
        <f>'Sch4-Cost Savings by ECM'!P42</f>
        <v>0</v>
      </c>
      <c r="E42" s="410">
        <f>VLOOKUP(C42,'eGRID subregion name'!$A$2:$N$30,8,0)</f>
        <v>189.83531623683197</v>
      </c>
      <c r="F42" s="410">
        <f t="shared" si="7"/>
        <v>0</v>
      </c>
      <c r="G42" s="411">
        <f>'Sch4-Cost Savings by ECM'!T42</f>
        <v>0</v>
      </c>
      <c r="H42" s="411">
        <f>VLOOKUP("Natural Gas", 'GHG Emissions'!$D$2:$M$66,4,FALSE)+VLOOKUP("Natural Gas", 'GHG Emissions'!$D$2:$M$66,6,FALSE)*'eGRID subregion name'!$P$3+VLOOKUP("Natural Gas", 'GHG Emissions'!$D$2:$M$66,8,FALSE)*'eGRID subregion name'!$P$4</f>
        <v>53.114800000000002</v>
      </c>
      <c r="I42" s="411">
        <f t="shared" si="2"/>
        <v>0</v>
      </c>
      <c r="J42" s="411">
        <f>'Sch4-Cost Savings by ECM'!V42</f>
        <v>0</v>
      </c>
      <c r="K4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2" s="411">
        <f t="shared" si="8"/>
        <v>0</v>
      </c>
      <c r="M42" s="411">
        <f>'Sch4-Cost Savings by ECM'!X42</f>
        <v>0</v>
      </c>
      <c r="N4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2" s="411">
        <f t="shared" si="3"/>
        <v>0</v>
      </c>
      <c r="P42" s="413">
        <f t="shared" si="1"/>
        <v>0</v>
      </c>
      <c r="Q42" s="411">
        <f>'Sch4-Cost Savings by ECM'!AB42</f>
        <v>0</v>
      </c>
      <c r="R42" s="411">
        <f t="shared" si="4"/>
        <v>0</v>
      </c>
      <c r="S42" s="411">
        <f t="shared" si="5"/>
        <v>0</v>
      </c>
      <c r="T42" s="411">
        <f t="shared" si="6"/>
        <v>0</v>
      </c>
    </row>
    <row r="43" spans="1:20" ht="16.5" thickBot="1">
      <c r="A43" s="72" t="str">
        <f>IF('Sch2a-Imp Price by ECM'!B44="","",'Sch2a-Imp Price by ECM'!B44)</f>
        <v/>
      </c>
      <c r="B43" s="139" t="str">
        <f>IF('Sch2a-Imp Price by ECM'!D44="","",'Sch2a-Imp Price by ECM'!D44)</f>
        <v/>
      </c>
      <c r="C43" s="414" t="s">
        <v>430</v>
      </c>
      <c r="D43" s="410">
        <f>'Sch4-Cost Savings by ECM'!P43</f>
        <v>0</v>
      </c>
      <c r="E43" s="410">
        <f>VLOOKUP(C43,'eGRID subregion name'!$A$2:$N$30,8,0)</f>
        <v>189.83531623683197</v>
      </c>
      <c r="F43" s="410">
        <f t="shared" si="7"/>
        <v>0</v>
      </c>
      <c r="G43" s="411">
        <f>'Sch4-Cost Savings by ECM'!T43</f>
        <v>0</v>
      </c>
      <c r="H43" s="411">
        <f>VLOOKUP("Natural Gas", 'GHG Emissions'!$D$2:$M$66,4,FALSE)+VLOOKUP("Natural Gas", 'GHG Emissions'!$D$2:$M$66,6,FALSE)*'eGRID subregion name'!$P$3+VLOOKUP("Natural Gas", 'GHG Emissions'!$D$2:$M$66,8,FALSE)*'eGRID subregion name'!$P$4</f>
        <v>53.114800000000002</v>
      </c>
      <c r="I43" s="411">
        <f t="shared" si="2"/>
        <v>0</v>
      </c>
      <c r="J43" s="411">
        <f>'Sch4-Cost Savings by ECM'!V43</f>
        <v>0</v>
      </c>
      <c r="K4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3" s="411">
        <f t="shared" si="8"/>
        <v>0</v>
      </c>
      <c r="M43" s="411">
        <f>'Sch4-Cost Savings by ECM'!X43</f>
        <v>0</v>
      </c>
      <c r="N4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3" s="411">
        <f t="shared" si="3"/>
        <v>0</v>
      </c>
      <c r="P43" s="413">
        <f t="shared" si="1"/>
        <v>0</v>
      </c>
      <c r="Q43" s="411">
        <f>'Sch4-Cost Savings by ECM'!AB43</f>
        <v>0</v>
      </c>
      <c r="R43" s="411">
        <f t="shared" si="4"/>
        <v>0</v>
      </c>
      <c r="S43" s="411">
        <f t="shared" si="5"/>
        <v>0</v>
      </c>
      <c r="T43" s="411">
        <f t="shared" si="6"/>
        <v>0</v>
      </c>
    </row>
    <row r="44" spans="1:20" ht="16.5" thickBot="1">
      <c r="A44" s="72" t="str">
        <f>IF('Sch2a-Imp Price by ECM'!B45="","",'Sch2a-Imp Price by ECM'!B45)</f>
        <v/>
      </c>
      <c r="B44" s="139" t="str">
        <f>IF('Sch2a-Imp Price by ECM'!D45="","",'Sch2a-Imp Price by ECM'!D45)</f>
        <v/>
      </c>
      <c r="C44" s="414" t="s">
        <v>430</v>
      </c>
      <c r="D44" s="410">
        <f>'Sch4-Cost Savings by ECM'!P44</f>
        <v>0</v>
      </c>
      <c r="E44" s="410">
        <f>VLOOKUP(C44,'eGRID subregion name'!$A$2:$N$30,8,0)</f>
        <v>189.83531623683197</v>
      </c>
      <c r="F44" s="410">
        <f t="shared" si="7"/>
        <v>0</v>
      </c>
      <c r="G44" s="411">
        <f>'Sch4-Cost Savings by ECM'!T44</f>
        <v>0</v>
      </c>
      <c r="H44" s="411">
        <f>VLOOKUP("Natural Gas", 'GHG Emissions'!$D$2:$M$66,4,FALSE)+VLOOKUP("Natural Gas", 'GHG Emissions'!$D$2:$M$66,6,FALSE)*'eGRID subregion name'!$P$3+VLOOKUP("Natural Gas", 'GHG Emissions'!$D$2:$M$66,8,FALSE)*'eGRID subregion name'!$P$4</f>
        <v>53.114800000000002</v>
      </c>
      <c r="I44" s="411">
        <f t="shared" si="2"/>
        <v>0</v>
      </c>
      <c r="J44" s="411">
        <f>'Sch4-Cost Savings by ECM'!V44</f>
        <v>0</v>
      </c>
      <c r="K4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4" s="411">
        <f t="shared" si="8"/>
        <v>0</v>
      </c>
      <c r="M44" s="411">
        <f>'Sch4-Cost Savings by ECM'!X44</f>
        <v>0</v>
      </c>
      <c r="N4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4" s="411">
        <f t="shared" si="3"/>
        <v>0</v>
      </c>
      <c r="P44" s="413">
        <f t="shared" si="1"/>
        <v>0</v>
      </c>
      <c r="Q44" s="411">
        <f>'Sch4-Cost Savings by ECM'!AB44</f>
        <v>0</v>
      </c>
      <c r="R44" s="411">
        <f t="shared" si="4"/>
        <v>0</v>
      </c>
      <c r="S44" s="411">
        <f t="shared" si="5"/>
        <v>0</v>
      </c>
      <c r="T44" s="411">
        <f t="shared" si="6"/>
        <v>0</v>
      </c>
    </row>
    <row r="45" spans="1:20" ht="16.5" thickBot="1">
      <c r="A45" s="72" t="str">
        <f>IF('Sch2a-Imp Price by ECM'!B46="","",'Sch2a-Imp Price by ECM'!B46)</f>
        <v/>
      </c>
      <c r="B45" s="139" t="str">
        <f>IF('Sch2a-Imp Price by ECM'!D46="","",'Sch2a-Imp Price by ECM'!D46)</f>
        <v/>
      </c>
      <c r="C45" s="414" t="s">
        <v>430</v>
      </c>
      <c r="D45" s="410">
        <f>'Sch4-Cost Savings by ECM'!P45</f>
        <v>0</v>
      </c>
      <c r="E45" s="410">
        <f>VLOOKUP(C45,'eGRID subregion name'!$A$2:$N$30,8,0)</f>
        <v>189.83531623683197</v>
      </c>
      <c r="F45" s="410">
        <f t="shared" si="7"/>
        <v>0</v>
      </c>
      <c r="G45" s="411">
        <f>'Sch4-Cost Savings by ECM'!T45</f>
        <v>0</v>
      </c>
      <c r="H45" s="411">
        <f>VLOOKUP("Natural Gas", 'GHG Emissions'!$D$2:$M$66,4,FALSE)+VLOOKUP("Natural Gas", 'GHG Emissions'!$D$2:$M$66,6,FALSE)*'eGRID subregion name'!$P$3+VLOOKUP("Natural Gas", 'GHG Emissions'!$D$2:$M$66,8,FALSE)*'eGRID subregion name'!$P$4</f>
        <v>53.114800000000002</v>
      </c>
      <c r="I45" s="411">
        <f t="shared" si="2"/>
        <v>0</v>
      </c>
      <c r="J45" s="411">
        <f>'Sch4-Cost Savings by ECM'!V45</f>
        <v>0</v>
      </c>
      <c r="K4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5" s="411">
        <f t="shared" si="8"/>
        <v>0</v>
      </c>
      <c r="M45" s="411">
        <f>'Sch4-Cost Savings by ECM'!X45</f>
        <v>0</v>
      </c>
      <c r="N4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5" s="411">
        <f t="shared" si="3"/>
        <v>0</v>
      </c>
      <c r="P45" s="413">
        <f t="shared" si="1"/>
        <v>0</v>
      </c>
      <c r="Q45" s="411">
        <f>'Sch4-Cost Savings by ECM'!AB45</f>
        <v>0</v>
      </c>
      <c r="R45" s="411">
        <f t="shared" si="4"/>
        <v>0</v>
      </c>
      <c r="S45" s="411">
        <f t="shared" si="5"/>
        <v>0</v>
      </c>
      <c r="T45" s="411">
        <f t="shared" si="6"/>
        <v>0</v>
      </c>
    </row>
    <row r="46" spans="1:20" ht="16.5" thickBot="1">
      <c r="A46" s="72" t="str">
        <f>IF('Sch2a-Imp Price by ECM'!B47="","",'Sch2a-Imp Price by ECM'!B47)</f>
        <v/>
      </c>
      <c r="B46" s="139" t="str">
        <f>IF('Sch2a-Imp Price by ECM'!D47="","",'Sch2a-Imp Price by ECM'!D47)</f>
        <v/>
      </c>
      <c r="C46" s="414" t="s">
        <v>430</v>
      </c>
      <c r="D46" s="410">
        <f>'Sch4-Cost Savings by ECM'!P46</f>
        <v>0</v>
      </c>
      <c r="E46" s="410">
        <f>VLOOKUP(C46,'eGRID subregion name'!$A$2:$N$30,8,0)</f>
        <v>189.83531623683197</v>
      </c>
      <c r="F46" s="410">
        <f t="shared" si="7"/>
        <v>0</v>
      </c>
      <c r="G46" s="411">
        <f>'Sch4-Cost Savings by ECM'!T46</f>
        <v>0</v>
      </c>
      <c r="H46" s="411">
        <f>VLOOKUP("Natural Gas", 'GHG Emissions'!$D$2:$M$66,4,FALSE)+VLOOKUP("Natural Gas", 'GHG Emissions'!$D$2:$M$66,6,FALSE)*'eGRID subregion name'!$P$3+VLOOKUP("Natural Gas", 'GHG Emissions'!$D$2:$M$66,8,FALSE)*'eGRID subregion name'!$P$4</f>
        <v>53.114800000000002</v>
      </c>
      <c r="I46" s="411">
        <f t="shared" si="2"/>
        <v>0</v>
      </c>
      <c r="J46" s="411">
        <f>'Sch4-Cost Savings by ECM'!V46</f>
        <v>0</v>
      </c>
      <c r="K4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6" s="411">
        <f t="shared" si="8"/>
        <v>0</v>
      </c>
      <c r="M46" s="411">
        <f>'Sch4-Cost Savings by ECM'!X46</f>
        <v>0</v>
      </c>
      <c r="N4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6" s="411">
        <f t="shared" si="3"/>
        <v>0</v>
      </c>
      <c r="P46" s="413">
        <f t="shared" si="1"/>
        <v>0</v>
      </c>
      <c r="Q46" s="411">
        <f>'Sch4-Cost Savings by ECM'!AB46</f>
        <v>0</v>
      </c>
      <c r="R46" s="411">
        <f t="shared" si="4"/>
        <v>0</v>
      </c>
      <c r="S46" s="411">
        <f t="shared" si="5"/>
        <v>0</v>
      </c>
      <c r="T46" s="411">
        <f t="shared" si="6"/>
        <v>0</v>
      </c>
    </row>
    <row r="47" spans="1:20" ht="16.5" thickBot="1">
      <c r="A47" s="72" t="str">
        <f>IF('Sch2a-Imp Price by ECM'!B48="","",'Sch2a-Imp Price by ECM'!B48)</f>
        <v/>
      </c>
      <c r="B47" s="139" t="str">
        <f>IF('Sch2a-Imp Price by ECM'!D48="","",'Sch2a-Imp Price by ECM'!D48)</f>
        <v/>
      </c>
      <c r="C47" s="414" t="s">
        <v>430</v>
      </c>
      <c r="D47" s="410">
        <f>'Sch4-Cost Savings by ECM'!P47</f>
        <v>0</v>
      </c>
      <c r="E47" s="410">
        <f>VLOOKUP(C47,'eGRID subregion name'!$A$2:$N$30,8,0)</f>
        <v>189.83531623683197</v>
      </c>
      <c r="F47" s="410">
        <f t="shared" si="7"/>
        <v>0</v>
      </c>
      <c r="G47" s="411">
        <f>'Sch4-Cost Savings by ECM'!T47</f>
        <v>0</v>
      </c>
      <c r="H47" s="411">
        <f>VLOOKUP("Natural Gas", 'GHG Emissions'!$D$2:$M$66,4,FALSE)+VLOOKUP("Natural Gas", 'GHG Emissions'!$D$2:$M$66,6,FALSE)*'eGRID subregion name'!$P$3+VLOOKUP("Natural Gas", 'GHG Emissions'!$D$2:$M$66,8,FALSE)*'eGRID subregion name'!$P$4</f>
        <v>53.114800000000002</v>
      </c>
      <c r="I47" s="411">
        <f t="shared" si="2"/>
        <v>0</v>
      </c>
      <c r="J47" s="411">
        <f>'Sch4-Cost Savings by ECM'!V47</f>
        <v>0</v>
      </c>
      <c r="K4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7" s="411">
        <f t="shared" si="8"/>
        <v>0</v>
      </c>
      <c r="M47" s="411">
        <f>'Sch4-Cost Savings by ECM'!X47</f>
        <v>0</v>
      </c>
      <c r="N4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7" s="411">
        <f t="shared" si="3"/>
        <v>0</v>
      </c>
      <c r="P47" s="413">
        <f t="shared" si="1"/>
        <v>0</v>
      </c>
      <c r="Q47" s="411">
        <f>'Sch4-Cost Savings by ECM'!AB47</f>
        <v>0</v>
      </c>
      <c r="R47" s="411">
        <f t="shared" si="4"/>
        <v>0</v>
      </c>
      <c r="S47" s="411">
        <f t="shared" si="5"/>
        <v>0</v>
      </c>
      <c r="T47" s="411">
        <f t="shared" si="6"/>
        <v>0</v>
      </c>
    </row>
    <row r="48" spans="1:20" ht="16.5" thickBot="1">
      <c r="A48" s="72" t="str">
        <f>IF('Sch2a-Imp Price by ECM'!B49="","",'Sch2a-Imp Price by ECM'!B49)</f>
        <v/>
      </c>
      <c r="B48" s="139" t="str">
        <f>IF('Sch2a-Imp Price by ECM'!D49="","",'Sch2a-Imp Price by ECM'!D49)</f>
        <v/>
      </c>
      <c r="C48" s="414" t="s">
        <v>430</v>
      </c>
      <c r="D48" s="410">
        <f>'Sch4-Cost Savings by ECM'!P48</f>
        <v>0</v>
      </c>
      <c r="E48" s="410">
        <f>VLOOKUP(C48,'eGRID subregion name'!$A$2:$N$30,8,0)</f>
        <v>189.83531623683197</v>
      </c>
      <c r="F48" s="410">
        <f t="shared" si="7"/>
        <v>0</v>
      </c>
      <c r="G48" s="411">
        <f>'Sch4-Cost Savings by ECM'!T48</f>
        <v>0</v>
      </c>
      <c r="H48" s="411">
        <f>VLOOKUP("Natural Gas", 'GHG Emissions'!$D$2:$M$66,4,FALSE)+VLOOKUP("Natural Gas", 'GHG Emissions'!$D$2:$M$66,6,FALSE)*'eGRID subregion name'!$P$3+VLOOKUP("Natural Gas", 'GHG Emissions'!$D$2:$M$66,8,FALSE)*'eGRID subregion name'!$P$4</f>
        <v>53.114800000000002</v>
      </c>
      <c r="I48" s="411">
        <f t="shared" si="2"/>
        <v>0</v>
      </c>
      <c r="J48" s="411">
        <f>'Sch4-Cost Savings by ECM'!V48</f>
        <v>0</v>
      </c>
      <c r="K4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8" s="411">
        <f t="shared" si="8"/>
        <v>0</v>
      </c>
      <c r="M48" s="411">
        <f>'Sch4-Cost Savings by ECM'!X48</f>
        <v>0</v>
      </c>
      <c r="N4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8" s="411">
        <f t="shared" si="3"/>
        <v>0</v>
      </c>
      <c r="P48" s="413">
        <f t="shared" si="1"/>
        <v>0</v>
      </c>
      <c r="Q48" s="411">
        <f>'Sch4-Cost Savings by ECM'!AB48</f>
        <v>0</v>
      </c>
      <c r="R48" s="411">
        <f t="shared" si="4"/>
        <v>0</v>
      </c>
      <c r="S48" s="411">
        <f t="shared" si="5"/>
        <v>0</v>
      </c>
      <c r="T48" s="411">
        <f t="shared" si="6"/>
        <v>0</v>
      </c>
    </row>
    <row r="49" spans="1:20" ht="16.5" thickBot="1">
      <c r="A49" s="72" t="str">
        <f>IF('Sch2a-Imp Price by ECM'!B50="","",'Sch2a-Imp Price by ECM'!B50)</f>
        <v/>
      </c>
      <c r="B49" s="139" t="str">
        <f>IF('Sch2a-Imp Price by ECM'!D50="","",'Sch2a-Imp Price by ECM'!D50)</f>
        <v/>
      </c>
      <c r="C49" s="414" t="s">
        <v>430</v>
      </c>
      <c r="D49" s="410">
        <f>'Sch4-Cost Savings by ECM'!P49</f>
        <v>0</v>
      </c>
      <c r="E49" s="410">
        <f>VLOOKUP(C49,'eGRID subregion name'!$A$2:$N$30,8,0)</f>
        <v>189.83531623683197</v>
      </c>
      <c r="F49" s="410">
        <f t="shared" si="7"/>
        <v>0</v>
      </c>
      <c r="G49" s="411">
        <f>'Sch4-Cost Savings by ECM'!T49</f>
        <v>0</v>
      </c>
      <c r="H49" s="411">
        <f>VLOOKUP("Natural Gas", 'GHG Emissions'!$D$2:$M$66,4,FALSE)+VLOOKUP("Natural Gas", 'GHG Emissions'!$D$2:$M$66,6,FALSE)*'eGRID subregion name'!$P$3+VLOOKUP("Natural Gas", 'GHG Emissions'!$D$2:$M$66,8,FALSE)*'eGRID subregion name'!$P$4</f>
        <v>53.114800000000002</v>
      </c>
      <c r="I49" s="411">
        <f t="shared" si="2"/>
        <v>0</v>
      </c>
      <c r="J49" s="411">
        <f>'Sch4-Cost Savings by ECM'!V49</f>
        <v>0</v>
      </c>
      <c r="K4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9" s="411">
        <f t="shared" si="8"/>
        <v>0</v>
      </c>
      <c r="M49" s="411">
        <f>'Sch4-Cost Savings by ECM'!X49</f>
        <v>0</v>
      </c>
      <c r="N4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9" s="411">
        <f t="shared" si="3"/>
        <v>0</v>
      </c>
      <c r="P49" s="413">
        <f t="shared" si="1"/>
        <v>0</v>
      </c>
      <c r="Q49" s="411">
        <f>'Sch4-Cost Savings by ECM'!AB49</f>
        <v>0</v>
      </c>
      <c r="R49" s="411">
        <f t="shared" si="4"/>
        <v>0</v>
      </c>
      <c r="S49" s="411">
        <f t="shared" si="5"/>
        <v>0</v>
      </c>
      <c r="T49" s="411">
        <f t="shared" si="6"/>
        <v>0</v>
      </c>
    </row>
    <row r="50" spans="1:20" ht="16.5" thickBot="1">
      <c r="A50" s="72" t="str">
        <f>IF('Sch2a-Imp Price by ECM'!B51="","",'Sch2a-Imp Price by ECM'!B51)</f>
        <v/>
      </c>
      <c r="B50" s="139" t="str">
        <f>IF('Sch2a-Imp Price by ECM'!D51="","",'Sch2a-Imp Price by ECM'!D51)</f>
        <v/>
      </c>
      <c r="C50" s="414" t="s">
        <v>430</v>
      </c>
      <c r="D50" s="410">
        <f>'Sch4-Cost Savings by ECM'!P50</f>
        <v>0</v>
      </c>
      <c r="E50" s="410">
        <f>VLOOKUP(C50,'eGRID subregion name'!$A$2:$N$30,8,0)</f>
        <v>189.83531623683197</v>
      </c>
      <c r="F50" s="410">
        <f t="shared" si="7"/>
        <v>0</v>
      </c>
      <c r="G50" s="411">
        <f>'Sch4-Cost Savings by ECM'!T50</f>
        <v>0</v>
      </c>
      <c r="H50" s="411">
        <f>VLOOKUP("Natural Gas", 'GHG Emissions'!$D$2:$M$66,4,FALSE)+VLOOKUP("Natural Gas", 'GHG Emissions'!$D$2:$M$66,6,FALSE)*'eGRID subregion name'!$P$3+VLOOKUP("Natural Gas", 'GHG Emissions'!$D$2:$M$66,8,FALSE)*'eGRID subregion name'!$P$4</f>
        <v>53.114800000000002</v>
      </c>
      <c r="I50" s="411">
        <f t="shared" si="2"/>
        <v>0</v>
      </c>
      <c r="J50" s="411">
        <f>'Sch4-Cost Savings by ECM'!V50</f>
        <v>0</v>
      </c>
      <c r="K5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0" s="411">
        <f t="shared" si="8"/>
        <v>0</v>
      </c>
      <c r="M50" s="411">
        <f>'Sch4-Cost Savings by ECM'!X50</f>
        <v>0</v>
      </c>
      <c r="N5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0" s="411">
        <f t="shared" si="3"/>
        <v>0</v>
      </c>
      <c r="P50" s="413">
        <f t="shared" si="1"/>
        <v>0</v>
      </c>
      <c r="Q50" s="411">
        <f>'Sch4-Cost Savings by ECM'!AB50</f>
        <v>0</v>
      </c>
      <c r="R50" s="411">
        <f t="shared" si="4"/>
        <v>0</v>
      </c>
      <c r="S50" s="411">
        <f t="shared" si="5"/>
        <v>0</v>
      </c>
      <c r="T50" s="411">
        <f t="shared" si="6"/>
        <v>0</v>
      </c>
    </row>
    <row r="51" spans="1:20" ht="16.5" thickBot="1">
      <c r="A51" s="72" t="str">
        <f>IF('Sch2a-Imp Price by ECM'!B52="","",'Sch2a-Imp Price by ECM'!B52)</f>
        <v/>
      </c>
      <c r="B51" s="139" t="str">
        <f>IF('Sch2a-Imp Price by ECM'!D52="","",'Sch2a-Imp Price by ECM'!D52)</f>
        <v/>
      </c>
      <c r="C51" s="414" t="s">
        <v>430</v>
      </c>
      <c r="D51" s="410">
        <f>'Sch4-Cost Savings by ECM'!P51</f>
        <v>0</v>
      </c>
      <c r="E51" s="410">
        <f>VLOOKUP(C51,'eGRID subregion name'!$A$2:$N$30,8,0)</f>
        <v>189.83531623683197</v>
      </c>
      <c r="F51" s="410">
        <f t="shared" si="7"/>
        <v>0</v>
      </c>
      <c r="G51" s="411">
        <f>'Sch4-Cost Savings by ECM'!T51</f>
        <v>0</v>
      </c>
      <c r="H51" s="411">
        <f>VLOOKUP("Natural Gas", 'GHG Emissions'!$D$2:$M$66,4,FALSE)+VLOOKUP("Natural Gas", 'GHG Emissions'!$D$2:$M$66,6,FALSE)*'eGRID subregion name'!$P$3+VLOOKUP("Natural Gas", 'GHG Emissions'!$D$2:$M$66,8,FALSE)*'eGRID subregion name'!$P$4</f>
        <v>53.114800000000002</v>
      </c>
      <c r="I51" s="411">
        <f t="shared" si="2"/>
        <v>0</v>
      </c>
      <c r="J51" s="411">
        <f>'Sch4-Cost Savings by ECM'!V51</f>
        <v>0</v>
      </c>
      <c r="K5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1" s="411">
        <f t="shared" si="8"/>
        <v>0</v>
      </c>
      <c r="M51" s="411">
        <f>'Sch4-Cost Savings by ECM'!X51</f>
        <v>0</v>
      </c>
      <c r="N5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1" s="411">
        <f t="shared" si="3"/>
        <v>0</v>
      </c>
      <c r="P51" s="413">
        <f t="shared" si="1"/>
        <v>0</v>
      </c>
      <c r="Q51" s="411">
        <f>'Sch4-Cost Savings by ECM'!AB51</f>
        <v>0</v>
      </c>
      <c r="R51" s="411">
        <f t="shared" si="4"/>
        <v>0</v>
      </c>
      <c r="S51" s="411">
        <f t="shared" si="5"/>
        <v>0</v>
      </c>
      <c r="T51" s="411">
        <f t="shared" si="6"/>
        <v>0</v>
      </c>
    </row>
    <row r="52" spans="1:20" ht="16.5" thickBot="1">
      <c r="A52" s="72" t="str">
        <f>IF('Sch2a-Imp Price by ECM'!B53="","",'Sch2a-Imp Price by ECM'!B53)</f>
        <v/>
      </c>
      <c r="B52" s="139" t="str">
        <f>IF('Sch2a-Imp Price by ECM'!D53="","",'Sch2a-Imp Price by ECM'!D53)</f>
        <v/>
      </c>
      <c r="C52" s="414" t="s">
        <v>430</v>
      </c>
      <c r="D52" s="410">
        <f>'Sch4-Cost Savings by ECM'!P52</f>
        <v>0</v>
      </c>
      <c r="E52" s="410">
        <f>VLOOKUP(C52,'eGRID subregion name'!$A$2:$N$30,8,0)</f>
        <v>189.83531623683197</v>
      </c>
      <c r="F52" s="410">
        <f t="shared" si="7"/>
        <v>0</v>
      </c>
      <c r="G52" s="411">
        <f>'Sch4-Cost Savings by ECM'!T52</f>
        <v>0</v>
      </c>
      <c r="H52" s="411">
        <f>VLOOKUP("Natural Gas", 'GHG Emissions'!$D$2:$M$66,4,FALSE)+VLOOKUP("Natural Gas", 'GHG Emissions'!$D$2:$M$66,6,FALSE)*'eGRID subregion name'!$P$3+VLOOKUP("Natural Gas", 'GHG Emissions'!$D$2:$M$66,8,FALSE)*'eGRID subregion name'!$P$4</f>
        <v>53.114800000000002</v>
      </c>
      <c r="I52" s="411">
        <f t="shared" si="2"/>
        <v>0</v>
      </c>
      <c r="J52" s="411">
        <f>'Sch4-Cost Savings by ECM'!V52</f>
        <v>0</v>
      </c>
      <c r="K5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2" s="411">
        <f t="shared" si="8"/>
        <v>0</v>
      </c>
      <c r="M52" s="411">
        <f>'Sch4-Cost Savings by ECM'!X52</f>
        <v>0</v>
      </c>
      <c r="N5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2" s="411">
        <f t="shared" si="3"/>
        <v>0</v>
      </c>
      <c r="P52" s="413">
        <f t="shared" si="1"/>
        <v>0</v>
      </c>
      <c r="Q52" s="411">
        <f>'Sch4-Cost Savings by ECM'!AB52</f>
        <v>0</v>
      </c>
      <c r="R52" s="411">
        <f t="shared" si="4"/>
        <v>0</v>
      </c>
      <c r="S52" s="411">
        <f t="shared" si="5"/>
        <v>0</v>
      </c>
      <c r="T52" s="411">
        <f t="shared" si="6"/>
        <v>0</v>
      </c>
    </row>
    <row r="53" spans="1:20" ht="16.5" thickBot="1">
      <c r="A53" s="72" t="str">
        <f>IF('Sch2a-Imp Price by ECM'!B54="","",'Sch2a-Imp Price by ECM'!B54)</f>
        <v/>
      </c>
      <c r="B53" s="139" t="str">
        <f>IF('Sch2a-Imp Price by ECM'!D54="","",'Sch2a-Imp Price by ECM'!D54)</f>
        <v/>
      </c>
      <c r="C53" s="414" t="s">
        <v>430</v>
      </c>
      <c r="D53" s="410">
        <f>'Sch4-Cost Savings by ECM'!P53</f>
        <v>0</v>
      </c>
      <c r="E53" s="410">
        <f>VLOOKUP(C53,'eGRID subregion name'!$A$2:$N$30,8,0)</f>
        <v>189.83531623683197</v>
      </c>
      <c r="F53" s="410">
        <f t="shared" si="7"/>
        <v>0</v>
      </c>
      <c r="G53" s="411">
        <f>'Sch4-Cost Savings by ECM'!T53</f>
        <v>0</v>
      </c>
      <c r="H53" s="411">
        <f>VLOOKUP("Natural Gas", 'GHG Emissions'!$D$2:$M$66,4,FALSE)+VLOOKUP("Natural Gas", 'GHG Emissions'!$D$2:$M$66,6,FALSE)*'eGRID subregion name'!$P$3+VLOOKUP("Natural Gas", 'GHG Emissions'!$D$2:$M$66,8,FALSE)*'eGRID subregion name'!$P$4</f>
        <v>53.114800000000002</v>
      </c>
      <c r="I53" s="411">
        <f t="shared" si="2"/>
        <v>0</v>
      </c>
      <c r="J53" s="411">
        <f>'Sch4-Cost Savings by ECM'!V53</f>
        <v>0</v>
      </c>
      <c r="K5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3" s="411">
        <f t="shared" si="8"/>
        <v>0</v>
      </c>
      <c r="M53" s="411">
        <f>'Sch4-Cost Savings by ECM'!X53</f>
        <v>0</v>
      </c>
      <c r="N5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3" s="411">
        <f t="shared" si="3"/>
        <v>0</v>
      </c>
      <c r="P53" s="413">
        <f t="shared" si="1"/>
        <v>0</v>
      </c>
      <c r="Q53" s="411">
        <f>'Sch4-Cost Savings by ECM'!AB53</f>
        <v>0</v>
      </c>
      <c r="R53" s="411">
        <f t="shared" si="4"/>
        <v>0</v>
      </c>
      <c r="S53" s="411">
        <f t="shared" si="5"/>
        <v>0</v>
      </c>
      <c r="T53" s="411">
        <f t="shared" si="6"/>
        <v>0</v>
      </c>
    </row>
    <row r="54" spans="1:20" ht="16.5" thickBot="1">
      <c r="A54" s="72" t="str">
        <f>IF('Sch2a-Imp Price by ECM'!B55="","",'Sch2a-Imp Price by ECM'!B55)</f>
        <v/>
      </c>
      <c r="B54" s="139" t="str">
        <f>IF('Sch2a-Imp Price by ECM'!D55="","",'Sch2a-Imp Price by ECM'!D55)</f>
        <v/>
      </c>
      <c r="C54" s="414" t="s">
        <v>430</v>
      </c>
      <c r="D54" s="410">
        <f>'Sch4-Cost Savings by ECM'!P54</f>
        <v>0</v>
      </c>
      <c r="E54" s="410">
        <f>VLOOKUP(C54,'eGRID subregion name'!$A$2:$N$30,8,0)</f>
        <v>189.83531623683197</v>
      </c>
      <c r="F54" s="410">
        <f t="shared" si="7"/>
        <v>0</v>
      </c>
      <c r="G54" s="411">
        <f>'Sch4-Cost Savings by ECM'!T54</f>
        <v>0</v>
      </c>
      <c r="H54" s="411">
        <f>VLOOKUP("Natural Gas", 'GHG Emissions'!$D$2:$M$66,4,FALSE)+VLOOKUP("Natural Gas", 'GHG Emissions'!$D$2:$M$66,6,FALSE)*'eGRID subregion name'!$P$3+VLOOKUP("Natural Gas", 'GHG Emissions'!$D$2:$M$66,8,FALSE)*'eGRID subregion name'!$P$4</f>
        <v>53.114800000000002</v>
      </c>
      <c r="I54" s="411">
        <f t="shared" si="2"/>
        <v>0</v>
      </c>
      <c r="J54" s="411">
        <f>'Sch4-Cost Savings by ECM'!V54</f>
        <v>0</v>
      </c>
      <c r="K5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4" s="411">
        <f t="shared" si="8"/>
        <v>0</v>
      </c>
      <c r="M54" s="411">
        <f>'Sch4-Cost Savings by ECM'!X54</f>
        <v>0</v>
      </c>
      <c r="N5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4" s="411">
        <f t="shared" si="3"/>
        <v>0</v>
      </c>
      <c r="P54" s="413">
        <f t="shared" si="1"/>
        <v>0</v>
      </c>
      <c r="Q54" s="411">
        <f>'Sch4-Cost Savings by ECM'!AB54</f>
        <v>0</v>
      </c>
      <c r="R54" s="411">
        <f t="shared" si="4"/>
        <v>0</v>
      </c>
      <c r="S54" s="411">
        <f t="shared" si="5"/>
        <v>0</v>
      </c>
      <c r="T54" s="411">
        <f t="shared" si="6"/>
        <v>0</v>
      </c>
    </row>
    <row r="55" spans="1:20" ht="18" customHeight="1" thickBot="1">
      <c r="A55" s="72" t="str">
        <f>IF('Sch2a-Imp Price by ECM'!B56="","",'Sch2a-Imp Price by ECM'!B56)</f>
        <v/>
      </c>
      <c r="B55" s="139" t="str">
        <f>IF('Sch2a-Imp Price by ECM'!D56="","",'Sch2a-Imp Price by ECM'!D56)</f>
        <v/>
      </c>
      <c r="C55" s="414" t="s">
        <v>430</v>
      </c>
      <c r="D55" s="410">
        <f>'Sch4-Cost Savings by ECM'!P55</f>
        <v>0</v>
      </c>
      <c r="E55" s="410">
        <f>VLOOKUP(C55,'eGRID subregion name'!$A$2:$N$30,8,0)</f>
        <v>189.83531623683197</v>
      </c>
      <c r="F55" s="410">
        <f t="shared" si="7"/>
        <v>0</v>
      </c>
      <c r="G55" s="411">
        <f>'Sch4-Cost Savings by ECM'!T55</f>
        <v>0</v>
      </c>
      <c r="H55" s="411">
        <f>VLOOKUP("Natural Gas", 'GHG Emissions'!$D$2:$M$66,4,FALSE)+VLOOKUP("Natural Gas", 'GHG Emissions'!$D$2:$M$66,6,FALSE)*'eGRID subregion name'!$P$3+VLOOKUP("Natural Gas", 'GHG Emissions'!$D$2:$M$66,8,FALSE)*'eGRID subregion name'!$P$4</f>
        <v>53.114800000000002</v>
      </c>
      <c r="I55" s="411">
        <f t="shared" si="2"/>
        <v>0</v>
      </c>
      <c r="J55" s="411">
        <f>'Sch4-Cost Savings by ECM'!V55</f>
        <v>0</v>
      </c>
      <c r="K5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5" s="411">
        <f t="shared" si="8"/>
        <v>0</v>
      </c>
      <c r="M55" s="411">
        <f>'Sch4-Cost Savings by ECM'!X55</f>
        <v>0</v>
      </c>
      <c r="N5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5" s="411">
        <f t="shared" si="3"/>
        <v>0</v>
      </c>
      <c r="P55" s="413">
        <f t="shared" si="1"/>
        <v>0</v>
      </c>
      <c r="Q55" s="411">
        <f>'Sch4-Cost Savings by ECM'!AB55</f>
        <v>0</v>
      </c>
      <c r="R55" s="411">
        <f t="shared" si="4"/>
        <v>0</v>
      </c>
      <c r="S55" s="411">
        <f t="shared" si="5"/>
        <v>0</v>
      </c>
      <c r="T55" s="411">
        <f t="shared" si="6"/>
        <v>0</v>
      </c>
    </row>
    <row r="56" spans="1:20" ht="16.5" thickBot="1">
      <c r="A56" s="72" t="str">
        <f>IF('Sch2a-Imp Price by ECM'!B57="","",'Sch2a-Imp Price by ECM'!B57)</f>
        <v/>
      </c>
      <c r="B56" s="139" t="str">
        <f>IF('Sch2a-Imp Price by ECM'!D57="","",'Sch2a-Imp Price by ECM'!D57)</f>
        <v/>
      </c>
      <c r="C56" s="414" t="s">
        <v>430</v>
      </c>
      <c r="D56" s="410">
        <f>'Sch4-Cost Savings by ECM'!P56</f>
        <v>0</v>
      </c>
      <c r="E56" s="410">
        <f>VLOOKUP(C56,'eGRID subregion name'!$A$2:$N$30,8,0)</f>
        <v>189.83531623683197</v>
      </c>
      <c r="F56" s="410">
        <f t="shared" si="7"/>
        <v>0</v>
      </c>
      <c r="G56" s="411">
        <f>'Sch4-Cost Savings by ECM'!T56</f>
        <v>0</v>
      </c>
      <c r="H56" s="411">
        <f>VLOOKUP("Natural Gas", 'GHG Emissions'!$D$2:$M$66,4,FALSE)+VLOOKUP("Natural Gas", 'GHG Emissions'!$D$2:$M$66,6,FALSE)*'eGRID subregion name'!$P$3+VLOOKUP("Natural Gas", 'GHG Emissions'!$D$2:$M$66,8,FALSE)*'eGRID subregion name'!$P$4</f>
        <v>53.114800000000002</v>
      </c>
      <c r="I56" s="411">
        <f t="shared" si="2"/>
        <v>0</v>
      </c>
      <c r="J56" s="411">
        <f>'Sch4-Cost Savings by ECM'!V56</f>
        <v>0</v>
      </c>
      <c r="K5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6" s="411">
        <f t="shared" si="8"/>
        <v>0</v>
      </c>
      <c r="M56" s="411">
        <f>'Sch4-Cost Savings by ECM'!X56</f>
        <v>0</v>
      </c>
      <c r="N5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6" s="411">
        <f t="shared" si="3"/>
        <v>0</v>
      </c>
      <c r="P56" s="413">
        <f t="shared" si="1"/>
        <v>0</v>
      </c>
      <c r="Q56" s="411">
        <f>'Sch4-Cost Savings by ECM'!AB56</f>
        <v>0</v>
      </c>
      <c r="R56" s="411">
        <f t="shared" si="4"/>
        <v>0</v>
      </c>
      <c r="S56" s="411">
        <f t="shared" si="5"/>
        <v>0</v>
      </c>
      <c r="T56" s="411">
        <f t="shared" si="6"/>
        <v>0</v>
      </c>
    </row>
    <row r="57" spans="1:20" ht="16.5" thickBot="1">
      <c r="A57" s="72" t="str">
        <f>IF('Sch2a-Imp Price by ECM'!B58="","",'Sch2a-Imp Price by ECM'!B58)</f>
        <v/>
      </c>
      <c r="B57" s="139" t="str">
        <f>IF('Sch2a-Imp Price by ECM'!D58="","",'Sch2a-Imp Price by ECM'!D58)</f>
        <v/>
      </c>
      <c r="C57" s="414" t="s">
        <v>430</v>
      </c>
      <c r="D57" s="410">
        <f>'Sch4-Cost Savings by ECM'!P57</f>
        <v>0</v>
      </c>
      <c r="E57" s="410">
        <f>VLOOKUP(C57,'eGRID subregion name'!$A$2:$N$30,8,0)</f>
        <v>189.83531623683197</v>
      </c>
      <c r="F57" s="410">
        <f t="shared" si="7"/>
        <v>0</v>
      </c>
      <c r="G57" s="411">
        <f>'Sch4-Cost Savings by ECM'!T57</f>
        <v>0</v>
      </c>
      <c r="H57" s="411">
        <f>VLOOKUP("Natural Gas", 'GHG Emissions'!$D$2:$M$66,4,FALSE)+VLOOKUP("Natural Gas", 'GHG Emissions'!$D$2:$M$66,6,FALSE)*'eGRID subregion name'!$P$3+VLOOKUP("Natural Gas", 'GHG Emissions'!$D$2:$M$66,8,FALSE)*'eGRID subregion name'!$P$4</f>
        <v>53.114800000000002</v>
      </c>
      <c r="I57" s="411">
        <f t="shared" si="2"/>
        <v>0</v>
      </c>
      <c r="J57" s="411">
        <f>'Sch4-Cost Savings by ECM'!V57</f>
        <v>0</v>
      </c>
      <c r="K5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7" s="411">
        <f t="shared" si="8"/>
        <v>0</v>
      </c>
      <c r="M57" s="411">
        <f>'Sch4-Cost Savings by ECM'!X57</f>
        <v>0</v>
      </c>
      <c r="N5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7" s="411">
        <f t="shared" si="3"/>
        <v>0</v>
      </c>
      <c r="P57" s="413">
        <f t="shared" si="1"/>
        <v>0</v>
      </c>
      <c r="Q57" s="411">
        <f>'Sch4-Cost Savings by ECM'!AB57</f>
        <v>0</v>
      </c>
      <c r="R57" s="411">
        <f t="shared" si="4"/>
        <v>0</v>
      </c>
      <c r="S57" s="411">
        <f t="shared" si="5"/>
        <v>0</v>
      </c>
      <c r="T57" s="411">
        <f t="shared" si="6"/>
        <v>0</v>
      </c>
    </row>
    <row r="58" spans="1:20" ht="16.5" thickBot="1">
      <c r="A58" s="72" t="str">
        <f>IF('Sch2a-Imp Price by ECM'!B59="","",'Sch2a-Imp Price by ECM'!B59)</f>
        <v/>
      </c>
      <c r="B58" s="139" t="str">
        <f>IF('Sch2a-Imp Price by ECM'!D59="","",'Sch2a-Imp Price by ECM'!D59)</f>
        <v/>
      </c>
      <c r="C58" s="414" t="s">
        <v>430</v>
      </c>
      <c r="D58" s="410">
        <f>'Sch4-Cost Savings by ECM'!P58</f>
        <v>0</v>
      </c>
      <c r="E58" s="410">
        <f>VLOOKUP(C58,'eGRID subregion name'!$A$2:$N$30,8,0)</f>
        <v>189.83531623683197</v>
      </c>
      <c r="F58" s="410">
        <f t="shared" si="7"/>
        <v>0</v>
      </c>
      <c r="G58" s="411">
        <f>'Sch4-Cost Savings by ECM'!T58</f>
        <v>0</v>
      </c>
      <c r="H58" s="411">
        <f>VLOOKUP("Natural Gas", 'GHG Emissions'!$D$2:$M$66,4,FALSE)+VLOOKUP("Natural Gas", 'GHG Emissions'!$D$2:$M$66,6,FALSE)*'eGRID subregion name'!$P$3+VLOOKUP("Natural Gas", 'GHG Emissions'!$D$2:$M$66,8,FALSE)*'eGRID subregion name'!$P$4</f>
        <v>53.114800000000002</v>
      </c>
      <c r="I58" s="411">
        <f t="shared" si="2"/>
        <v>0</v>
      </c>
      <c r="J58" s="411">
        <f>'Sch4-Cost Savings by ECM'!V58</f>
        <v>0</v>
      </c>
      <c r="K5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8" s="411">
        <f t="shared" si="8"/>
        <v>0</v>
      </c>
      <c r="M58" s="411">
        <f>'Sch4-Cost Savings by ECM'!X58</f>
        <v>0</v>
      </c>
      <c r="N5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8" s="411">
        <f t="shared" si="3"/>
        <v>0</v>
      </c>
      <c r="P58" s="413">
        <f t="shared" si="1"/>
        <v>0</v>
      </c>
      <c r="Q58" s="411">
        <f>'Sch4-Cost Savings by ECM'!AB58</f>
        <v>0</v>
      </c>
      <c r="R58" s="411">
        <f t="shared" si="4"/>
        <v>0</v>
      </c>
      <c r="S58" s="411">
        <f t="shared" si="5"/>
        <v>0</v>
      </c>
      <c r="T58" s="411">
        <f t="shared" si="6"/>
        <v>0</v>
      </c>
    </row>
    <row r="59" spans="1:20" ht="16.5" thickBot="1">
      <c r="A59" s="72" t="str">
        <f>IF('Sch2a-Imp Price by ECM'!B60="","",'Sch2a-Imp Price by ECM'!B60)</f>
        <v/>
      </c>
      <c r="B59" s="139" t="str">
        <f>IF('Sch2a-Imp Price by ECM'!D60="","",'Sch2a-Imp Price by ECM'!D60)</f>
        <v/>
      </c>
      <c r="C59" s="414" t="s">
        <v>430</v>
      </c>
      <c r="D59" s="410">
        <f>'Sch4-Cost Savings by ECM'!P59</f>
        <v>0</v>
      </c>
      <c r="E59" s="410">
        <f>VLOOKUP(C59,'eGRID subregion name'!$A$2:$N$30,8,0)</f>
        <v>189.83531623683197</v>
      </c>
      <c r="F59" s="410">
        <f t="shared" si="7"/>
        <v>0</v>
      </c>
      <c r="G59" s="411">
        <f>'Sch4-Cost Savings by ECM'!T59</f>
        <v>0</v>
      </c>
      <c r="H59" s="411">
        <f>VLOOKUP("Natural Gas", 'GHG Emissions'!$D$2:$M$66,4,FALSE)+VLOOKUP("Natural Gas", 'GHG Emissions'!$D$2:$M$66,6,FALSE)*'eGRID subregion name'!$P$3+VLOOKUP("Natural Gas", 'GHG Emissions'!$D$2:$M$66,8,FALSE)*'eGRID subregion name'!$P$4</f>
        <v>53.114800000000002</v>
      </c>
      <c r="I59" s="411">
        <f t="shared" si="2"/>
        <v>0</v>
      </c>
      <c r="J59" s="411">
        <f>'Sch4-Cost Savings by ECM'!V59</f>
        <v>0</v>
      </c>
      <c r="K5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9" s="411">
        <f t="shared" si="8"/>
        <v>0</v>
      </c>
      <c r="M59" s="411">
        <f>'Sch4-Cost Savings by ECM'!X59</f>
        <v>0</v>
      </c>
      <c r="N5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9" s="411">
        <f t="shared" si="3"/>
        <v>0</v>
      </c>
      <c r="P59" s="413">
        <f t="shared" si="1"/>
        <v>0</v>
      </c>
      <c r="Q59" s="411">
        <f>'Sch4-Cost Savings by ECM'!AB59</f>
        <v>0</v>
      </c>
      <c r="R59" s="411">
        <f t="shared" si="4"/>
        <v>0</v>
      </c>
      <c r="S59" s="411">
        <f t="shared" si="5"/>
        <v>0</v>
      </c>
      <c r="T59" s="411">
        <f t="shared" si="6"/>
        <v>0</v>
      </c>
    </row>
    <row r="60" spans="1:20" ht="16.5" thickBot="1">
      <c r="A60" s="72" t="str">
        <f>IF('Sch2a-Imp Price by ECM'!B61="","",'Sch2a-Imp Price by ECM'!B61)</f>
        <v/>
      </c>
      <c r="B60" s="139" t="str">
        <f>IF('Sch2a-Imp Price by ECM'!D61="","",'Sch2a-Imp Price by ECM'!D61)</f>
        <v/>
      </c>
      <c r="C60" s="414" t="s">
        <v>430</v>
      </c>
      <c r="D60" s="410">
        <f>'Sch4-Cost Savings by ECM'!P60</f>
        <v>0</v>
      </c>
      <c r="E60" s="410">
        <f>VLOOKUP(C60,'eGRID subregion name'!$A$2:$N$30,8,0)</f>
        <v>189.83531623683197</v>
      </c>
      <c r="F60" s="410">
        <f t="shared" si="7"/>
        <v>0</v>
      </c>
      <c r="G60" s="411">
        <f>'Sch4-Cost Savings by ECM'!T60</f>
        <v>0</v>
      </c>
      <c r="H60" s="411">
        <f>VLOOKUP("Natural Gas", 'GHG Emissions'!$D$2:$M$66,4,FALSE)+VLOOKUP("Natural Gas", 'GHG Emissions'!$D$2:$M$66,6,FALSE)*'eGRID subregion name'!$P$3+VLOOKUP("Natural Gas", 'GHG Emissions'!$D$2:$M$66,8,FALSE)*'eGRID subregion name'!$P$4</f>
        <v>53.114800000000002</v>
      </c>
      <c r="I60" s="411">
        <f t="shared" si="2"/>
        <v>0</v>
      </c>
      <c r="J60" s="411">
        <f>'Sch4-Cost Savings by ECM'!V60</f>
        <v>0</v>
      </c>
      <c r="K6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0" s="411">
        <f t="shared" si="8"/>
        <v>0</v>
      </c>
      <c r="M60" s="411">
        <f>'Sch4-Cost Savings by ECM'!X60</f>
        <v>0</v>
      </c>
      <c r="N6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0" s="411">
        <f t="shared" si="3"/>
        <v>0</v>
      </c>
      <c r="P60" s="413">
        <f t="shared" si="1"/>
        <v>0</v>
      </c>
      <c r="Q60" s="411">
        <f>'Sch4-Cost Savings by ECM'!AB60</f>
        <v>0</v>
      </c>
      <c r="R60" s="411">
        <f t="shared" si="4"/>
        <v>0</v>
      </c>
      <c r="S60" s="411">
        <f t="shared" si="5"/>
        <v>0</v>
      </c>
      <c r="T60" s="411">
        <f t="shared" si="6"/>
        <v>0</v>
      </c>
    </row>
    <row r="61" spans="1:20" ht="16.5" thickBot="1">
      <c r="A61" s="72" t="str">
        <f>IF('Sch2a-Imp Price by ECM'!B62="","",'Sch2a-Imp Price by ECM'!B62)</f>
        <v/>
      </c>
      <c r="B61" s="139" t="str">
        <f>IF('Sch2a-Imp Price by ECM'!D62="","",'Sch2a-Imp Price by ECM'!D62)</f>
        <v/>
      </c>
      <c r="C61" s="414" t="s">
        <v>430</v>
      </c>
      <c r="D61" s="410">
        <f>'Sch4-Cost Savings by ECM'!P61</f>
        <v>0</v>
      </c>
      <c r="E61" s="410">
        <f>VLOOKUP(C61,'eGRID subregion name'!$A$2:$N$30,8,0)</f>
        <v>189.83531623683197</v>
      </c>
      <c r="F61" s="410">
        <f t="shared" si="7"/>
        <v>0</v>
      </c>
      <c r="G61" s="411">
        <f>'Sch4-Cost Savings by ECM'!T61</f>
        <v>0</v>
      </c>
      <c r="H61" s="411">
        <f>VLOOKUP("Natural Gas", 'GHG Emissions'!$D$2:$M$66,4,FALSE)+VLOOKUP("Natural Gas", 'GHG Emissions'!$D$2:$M$66,6,FALSE)*'eGRID subregion name'!$P$3+VLOOKUP("Natural Gas", 'GHG Emissions'!$D$2:$M$66,8,FALSE)*'eGRID subregion name'!$P$4</f>
        <v>53.114800000000002</v>
      </c>
      <c r="I61" s="411">
        <f t="shared" si="2"/>
        <v>0</v>
      </c>
      <c r="J61" s="411">
        <f>'Sch4-Cost Savings by ECM'!V61</f>
        <v>0</v>
      </c>
      <c r="K6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1" s="411">
        <f t="shared" si="8"/>
        <v>0</v>
      </c>
      <c r="M61" s="411">
        <f>'Sch4-Cost Savings by ECM'!X61</f>
        <v>0</v>
      </c>
      <c r="N6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1" s="411">
        <f t="shared" si="3"/>
        <v>0</v>
      </c>
      <c r="P61" s="413">
        <f t="shared" si="1"/>
        <v>0</v>
      </c>
      <c r="Q61" s="411">
        <f>'Sch4-Cost Savings by ECM'!AB61</f>
        <v>0</v>
      </c>
      <c r="R61" s="411">
        <f t="shared" si="4"/>
        <v>0</v>
      </c>
      <c r="S61" s="411">
        <f t="shared" si="5"/>
        <v>0</v>
      </c>
      <c r="T61" s="411">
        <f t="shared" si="6"/>
        <v>0</v>
      </c>
    </row>
    <row r="62" spans="1:20" ht="16.5" thickBot="1">
      <c r="A62" s="72" t="str">
        <f>IF('Sch2a-Imp Price by ECM'!B63="","",'Sch2a-Imp Price by ECM'!B63)</f>
        <v/>
      </c>
      <c r="B62" s="139" t="str">
        <f>IF('Sch2a-Imp Price by ECM'!D63="","",'Sch2a-Imp Price by ECM'!D63)</f>
        <v/>
      </c>
      <c r="C62" s="414" t="s">
        <v>430</v>
      </c>
      <c r="D62" s="410">
        <f>'Sch4-Cost Savings by ECM'!P62</f>
        <v>0</v>
      </c>
      <c r="E62" s="410">
        <f>VLOOKUP(C62,'eGRID subregion name'!$A$2:$N$30,8,0)</f>
        <v>189.83531623683197</v>
      </c>
      <c r="F62" s="410">
        <f t="shared" si="7"/>
        <v>0</v>
      </c>
      <c r="G62" s="411">
        <f>'Sch4-Cost Savings by ECM'!T62</f>
        <v>0</v>
      </c>
      <c r="H62" s="411">
        <f>VLOOKUP("Natural Gas", 'GHG Emissions'!$D$2:$M$66,4,FALSE)+VLOOKUP("Natural Gas", 'GHG Emissions'!$D$2:$M$66,6,FALSE)*'eGRID subregion name'!$P$3+VLOOKUP("Natural Gas", 'GHG Emissions'!$D$2:$M$66,8,FALSE)*'eGRID subregion name'!$P$4</f>
        <v>53.114800000000002</v>
      </c>
      <c r="I62" s="411">
        <f t="shared" si="2"/>
        <v>0</v>
      </c>
      <c r="J62" s="411">
        <f>'Sch4-Cost Savings by ECM'!V62</f>
        <v>0</v>
      </c>
      <c r="K6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2" s="411">
        <f t="shared" si="8"/>
        <v>0</v>
      </c>
      <c r="M62" s="411">
        <f>'Sch4-Cost Savings by ECM'!X62</f>
        <v>0</v>
      </c>
      <c r="N6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2" s="411">
        <f t="shared" si="3"/>
        <v>0</v>
      </c>
      <c r="P62" s="413">
        <f t="shared" si="1"/>
        <v>0</v>
      </c>
      <c r="Q62" s="411">
        <f>'Sch4-Cost Savings by ECM'!AB62</f>
        <v>0</v>
      </c>
      <c r="R62" s="411">
        <f t="shared" si="4"/>
        <v>0</v>
      </c>
      <c r="S62" s="411">
        <f t="shared" si="5"/>
        <v>0</v>
      </c>
      <c r="T62" s="411">
        <f t="shared" si="6"/>
        <v>0</v>
      </c>
    </row>
    <row r="63" spans="1:20" ht="16.5" thickBot="1">
      <c r="A63" s="72" t="str">
        <f>IF('Sch2a-Imp Price by ECM'!B64="","",'Sch2a-Imp Price by ECM'!B64)</f>
        <v/>
      </c>
      <c r="B63" s="139" t="str">
        <f>IF('Sch2a-Imp Price by ECM'!D64="","",'Sch2a-Imp Price by ECM'!D64)</f>
        <v/>
      </c>
      <c r="C63" s="414" t="s">
        <v>430</v>
      </c>
      <c r="D63" s="410">
        <f>'Sch4-Cost Savings by ECM'!P63</f>
        <v>0</v>
      </c>
      <c r="E63" s="410">
        <f>VLOOKUP(C63,'eGRID subregion name'!$A$2:$N$30,8,0)</f>
        <v>189.83531623683197</v>
      </c>
      <c r="F63" s="410">
        <f t="shared" si="7"/>
        <v>0</v>
      </c>
      <c r="G63" s="411">
        <f>'Sch4-Cost Savings by ECM'!T63</f>
        <v>0</v>
      </c>
      <c r="H63" s="411">
        <f>VLOOKUP("Natural Gas", 'GHG Emissions'!$D$2:$M$66,4,FALSE)+VLOOKUP("Natural Gas", 'GHG Emissions'!$D$2:$M$66,6,FALSE)*'eGRID subregion name'!$P$3+VLOOKUP("Natural Gas", 'GHG Emissions'!$D$2:$M$66,8,FALSE)*'eGRID subregion name'!$P$4</f>
        <v>53.114800000000002</v>
      </c>
      <c r="I63" s="411">
        <f t="shared" si="2"/>
        <v>0</v>
      </c>
      <c r="J63" s="411">
        <f>'Sch4-Cost Savings by ECM'!V63</f>
        <v>0</v>
      </c>
      <c r="K6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3" s="411">
        <f t="shared" si="8"/>
        <v>0</v>
      </c>
      <c r="M63" s="411">
        <f>'Sch4-Cost Savings by ECM'!X63</f>
        <v>0</v>
      </c>
      <c r="N6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3" s="411">
        <f t="shared" si="3"/>
        <v>0</v>
      </c>
      <c r="P63" s="413">
        <f t="shared" si="1"/>
        <v>0</v>
      </c>
      <c r="Q63" s="411">
        <f>'Sch4-Cost Savings by ECM'!AB63</f>
        <v>0</v>
      </c>
      <c r="R63" s="411">
        <f t="shared" si="4"/>
        <v>0</v>
      </c>
      <c r="S63" s="411">
        <f t="shared" si="5"/>
        <v>0</v>
      </c>
      <c r="T63" s="411">
        <f t="shared" si="6"/>
        <v>0</v>
      </c>
    </row>
    <row r="64" spans="1:20" ht="16.5" thickBot="1">
      <c r="A64" s="72" t="str">
        <f>IF('Sch2a-Imp Price by ECM'!B65="","",'Sch2a-Imp Price by ECM'!B65)</f>
        <v/>
      </c>
      <c r="B64" s="139" t="str">
        <f>IF('Sch2a-Imp Price by ECM'!D65="","",'Sch2a-Imp Price by ECM'!D65)</f>
        <v/>
      </c>
      <c r="C64" s="414" t="s">
        <v>430</v>
      </c>
      <c r="D64" s="410">
        <f>'Sch4-Cost Savings by ECM'!P64</f>
        <v>0</v>
      </c>
      <c r="E64" s="410">
        <f>VLOOKUP(C64,'eGRID subregion name'!$A$2:$N$30,8,0)</f>
        <v>189.83531623683197</v>
      </c>
      <c r="F64" s="410">
        <f t="shared" si="7"/>
        <v>0</v>
      </c>
      <c r="G64" s="411">
        <f>'Sch4-Cost Savings by ECM'!T64</f>
        <v>0</v>
      </c>
      <c r="H64" s="411">
        <f>VLOOKUP("Natural Gas", 'GHG Emissions'!$D$2:$M$66,4,FALSE)+VLOOKUP("Natural Gas", 'GHG Emissions'!$D$2:$M$66,6,FALSE)*'eGRID subregion name'!$P$3+VLOOKUP("Natural Gas", 'GHG Emissions'!$D$2:$M$66,8,FALSE)*'eGRID subregion name'!$P$4</f>
        <v>53.114800000000002</v>
      </c>
      <c r="I64" s="411">
        <f t="shared" si="2"/>
        <v>0</v>
      </c>
      <c r="J64" s="411">
        <f>'Sch4-Cost Savings by ECM'!V64</f>
        <v>0</v>
      </c>
      <c r="K6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4" s="411">
        <f t="shared" si="8"/>
        <v>0</v>
      </c>
      <c r="M64" s="411">
        <f>'Sch4-Cost Savings by ECM'!X64</f>
        <v>0</v>
      </c>
      <c r="N6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4" s="411">
        <f t="shared" si="3"/>
        <v>0</v>
      </c>
      <c r="P64" s="413">
        <f t="shared" si="1"/>
        <v>0</v>
      </c>
      <c r="Q64" s="411">
        <f>'Sch4-Cost Savings by ECM'!AB64</f>
        <v>0</v>
      </c>
      <c r="R64" s="411">
        <f t="shared" si="4"/>
        <v>0</v>
      </c>
      <c r="S64" s="411">
        <f t="shared" si="5"/>
        <v>0</v>
      </c>
      <c r="T64" s="411">
        <f t="shared" si="6"/>
        <v>0</v>
      </c>
    </row>
    <row r="65" spans="1:20" ht="16.5" thickBot="1">
      <c r="A65" s="72" t="str">
        <f>IF('Sch2a-Imp Price by ECM'!B66="","",'Sch2a-Imp Price by ECM'!B66)</f>
        <v/>
      </c>
      <c r="B65" s="139" t="str">
        <f>IF('Sch2a-Imp Price by ECM'!D66="","",'Sch2a-Imp Price by ECM'!D66)</f>
        <v/>
      </c>
      <c r="C65" s="414" t="s">
        <v>430</v>
      </c>
      <c r="D65" s="410">
        <f>'Sch4-Cost Savings by ECM'!P65</f>
        <v>0</v>
      </c>
      <c r="E65" s="410">
        <f>VLOOKUP(C65,'eGRID subregion name'!$A$2:$N$30,8,0)</f>
        <v>189.83531623683197</v>
      </c>
      <c r="F65" s="410">
        <f t="shared" si="7"/>
        <v>0</v>
      </c>
      <c r="G65" s="411">
        <f>'Sch4-Cost Savings by ECM'!T65</f>
        <v>0</v>
      </c>
      <c r="H65" s="411">
        <f>VLOOKUP("Natural Gas", 'GHG Emissions'!$D$2:$M$66,4,FALSE)+VLOOKUP("Natural Gas", 'GHG Emissions'!$D$2:$M$66,6,FALSE)*'eGRID subregion name'!$P$3+VLOOKUP("Natural Gas", 'GHG Emissions'!$D$2:$M$66,8,FALSE)*'eGRID subregion name'!$P$4</f>
        <v>53.114800000000002</v>
      </c>
      <c r="I65" s="411">
        <f t="shared" si="2"/>
        <v>0</v>
      </c>
      <c r="J65" s="411">
        <f>'Sch4-Cost Savings by ECM'!V65</f>
        <v>0</v>
      </c>
      <c r="K6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5" s="411">
        <f t="shared" si="8"/>
        <v>0</v>
      </c>
      <c r="M65" s="411">
        <f>'Sch4-Cost Savings by ECM'!X65</f>
        <v>0</v>
      </c>
      <c r="N6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5" s="411">
        <f t="shared" si="3"/>
        <v>0</v>
      </c>
      <c r="P65" s="413">
        <f t="shared" si="1"/>
        <v>0</v>
      </c>
      <c r="Q65" s="411">
        <f>'Sch4-Cost Savings by ECM'!AB65</f>
        <v>0</v>
      </c>
      <c r="R65" s="411">
        <f t="shared" si="4"/>
        <v>0</v>
      </c>
      <c r="S65" s="411">
        <f t="shared" si="5"/>
        <v>0</v>
      </c>
      <c r="T65" s="411">
        <f t="shared" si="6"/>
        <v>0</v>
      </c>
    </row>
    <row r="66" spans="1:20" ht="16.5" thickBot="1">
      <c r="A66" s="72" t="str">
        <f>IF('Sch2a-Imp Price by ECM'!B67="","",'Sch2a-Imp Price by ECM'!B67)</f>
        <v/>
      </c>
      <c r="B66" s="139" t="str">
        <f>IF('Sch2a-Imp Price by ECM'!D67="","",'Sch2a-Imp Price by ECM'!D67)</f>
        <v/>
      </c>
      <c r="C66" s="414" t="s">
        <v>430</v>
      </c>
      <c r="D66" s="410">
        <f>'Sch4-Cost Savings by ECM'!P66</f>
        <v>0</v>
      </c>
      <c r="E66" s="410">
        <f>VLOOKUP(C66,'eGRID subregion name'!$A$2:$N$30,8,0)</f>
        <v>189.83531623683197</v>
      </c>
      <c r="F66" s="410">
        <f t="shared" si="7"/>
        <v>0</v>
      </c>
      <c r="G66" s="411">
        <f>'Sch4-Cost Savings by ECM'!T66</f>
        <v>0</v>
      </c>
      <c r="H66" s="411">
        <f>VLOOKUP("Natural Gas", 'GHG Emissions'!$D$2:$M$66,4,FALSE)+VLOOKUP("Natural Gas", 'GHG Emissions'!$D$2:$M$66,6,FALSE)*'eGRID subregion name'!$P$3+VLOOKUP("Natural Gas", 'GHG Emissions'!$D$2:$M$66,8,FALSE)*'eGRID subregion name'!$P$4</f>
        <v>53.114800000000002</v>
      </c>
      <c r="I66" s="411">
        <f t="shared" si="2"/>
        <v>0</v>
      </c>
      <c r="J66" s="411">
        <f>'Sch4-Cost Savings by ECM'!V66</f>
        <v>0</v>
      </c>
      <c r="K6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6" s="411">
        <f t="shared" si="8"/>
        <v>0</v>
      </c>
      <c r="M66" s="411">
        <f>'Sch4-Cost Savings by ECM'!X66</f>
        <v>0</v>
      </c>
      <c r="N6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6" s="411">
        <f t="shared" si="3"/>
        <v>0</v>
      </c>
      <c r="P66" s="413">
        <f t="shared" si="1"/>
        <v>0</v>
      </c>
      <c r="Q66" s="411">
        <f>'Sch4-Cost Savings by ECM'!AB66</f>
        <v>0</v>
      </c>
      <c r="R66" s="411">
        <f t="shared" si="4"/>
        <v>0</v>
      </c>
      <c r="S66" s="411">
        <f t="shared" si="5"/>
        <v>0</v>
      </c>
      <c r="T66" s="411">
        <f t="shared" si="6"/>
        <v>0</v>
      </c>
    </row>
    <row r="67" spans="1:20" ht="16.5" thickBot="1">
      <c r="A67" s="72" t="str">
        <f>IF('Sch2a-Imp Price by ECM'!B68="","",'Sch2a-Imp Price by ECM'!B68)</f>
        <v/>
      </c>
      <c r="B67" s="139" t="str">
        <f>IF('Sch2a-Imp Price by ECM'!D68="","",'Sch2a-Imp Price by ECM'!D68)</f>
        <v/>
      </c>
      <c r="C67" s="414" t="s">
        <v>430</v>
      </c>
      <c r="D67" s="410">
        <f>'Sch4-Cost Savings by ECM'!P67</f>
        <v>0</v>
      </c>
      <c r="E67" s="410">
        <f>VLOOKUP(C67,'eGRID subregion name'!$A$2:$N$30,8,0)</f>
        <v>189.83531623683197</v>
      </c>
      <c r="F67" s="410">
        <f t="shared" si="7"/>
        <v>0</v>
      </c>
      <c r="G67" s="411">
        <f>'Sch4-Cost Savings by ECM'!T67</f>
        <v>0</v>
      </c>
      <c r="H67" s="411">
        <f>VLOOKUP("Natural Gas", 'GHG Emissions'!$D$2:$M$66,4,FALSE)+VLOOKUP("Natural Gas", 'GHG Emissions'!$D$2:$M$66,6,FALSE)*'eGRID subregion name'!$P$3+VLOOKUP("Natural Gas", 'GHG Emissions'!$D$2:$M$66,8,FALSE)*'eGRID subregion name'!$P$4</f>
        <v>53.114800000000002</v>
      </c>
      <c r="I67" s="411">
        <f t="shared" si="2"/>
        <v>0</v>
      </c>
      <c r="J67" s="411">
        <f>'Sch4-Cost Savings by ECM'!V67</f>
        <v>0</v>
      </c>
      <c r="K6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7" s="411">
        <f t="shared" si="8"/>
        <v>0</v>
      </c>
      <c r="M67" s="411">
        <f>'Sch4-Cost Savings by ECM'!X67</f>
        <v>0</v>
      </c>
      <c r="N6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7" s="411">
        <f t="shared" si="3"/>
        <v>0</v>
      </c>
      <c r="P67" s="413">
        <f t="shared" si="1"/>
        <v>0</v>
      </c>
      <c r="Q67" s="411">
        <f>'Sch4-Cost Savings by ECM'!AB67</f>
        <v>0</v>
      </c>
      <c r="R67" s="411">
        <f t="shared" si="4"/>
        <v>0</v>
      </c>
      <c r="S67" s="411">
        <f t="shared" si="5"/>
        <v>0</v>
      </c>
      <c r="T67" s="411">
        <f t="shared" si="6"/>
        <v>0</v>
      </c>
    </row>
    <row r="68" spans="1:20" ht="16.5" thickBot="1">
      <c r="A68" s="72" t="str">
        <f>IF('Sch2a-Imp Price by ECM'!B69="","",'Sch2a-Imp Price by ECM'!B69)</f>
        <v/>
      </c>
      <c r="B68" s="139" t="str">
        <f>IF('Sch2a-Imp Price by ECM'!D69="","",'Sch2a-Imp Price by ECM'!D69)</f>
        <v/>
      </c>
      <c r="C68" s="414" t="s">
        <v>430</v>
      </c>
      <c r="D68" s="410">
        <f>'Sch4-Cost Savings by ECM'!P68</f>
        <v>0</v>
      </c>
      <c r="E68" s="410">
        <f>VLOOKUP(C68,'eGRID subregion name'!$A$2:$N$30,8,0)</f>
        <v>189.83531623683197</v>
      </c>
      <c r="F68" s="410">
        <f t="shared" si="7"/>
        <v>0</v>
      </c>
      <c r="G68" s="411">
        <f>'Sch4-Cost Savings by ECM'!T68</f>
        <v>0</v>
      </c>
      <c r="H68" s="411">
        <f>VLOOKUP("Natural Gas", 'GHG Emissions'!$D$2:$M$66,4,FALSE)+VLOOKUP("Natural Gas", 'GHG Emissions'!$D$2:$M$66,6,FALSE)*'eGRID subregion name'!$P$3+VLOOKUP("Natural Gas", 'GHG Emissions'!$D$2:$M$66,8,FALSE)*'eGRID subregion name'!$P$4</f>
        <v>53.114800000000002</v>
      </c>
      <c r="I68" s="411">
        <f t="shared" si="2"/>
        <v>0</v>
      </c>
      <c r="J68" s="411">
        <f>'Sch4-Cost Savings by ECM'!V68</f>
        <v>0</v>
      </c>
      <c r="K6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8" s="411">
        <f t="shared" si="8"/>
        <v>0</v>
      </c>
      <c r="M68" s="411">
        <f>'Sch4-Cost Savings by ECM'!X68</f>
        <v>0</v>
      </c>
      <c r="N6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8" s="411">
        <f t="shared" si="3"/>
        <v>0</v>
      </c>
      <c r="P68" s="413">
        <f t="shared" si="1"/>
        <v>0</v>
      </c>
      <c r="Q68" s="411">
        <f>'Sch4-Cost Savings by ECM'!AB68</f>
        <v>0</v>
      </c>
      <c r="R68" s="411">
        <f t="shared" si="4"/>
        <v>0</v>
      </c>
      <c r="S68" s="411">
        <f t="shared" si="5"/>
        <v>0</v>
      </c>
      <c r="T68" s="411">
        <f t="shared" si="6"/>
        <v>0</v>
      </c>
    </row>
    <row r="69" spans="1:20" ht="16.5" thickBot="1">
      <c r="A69" s="72" t="str">
        <f>IF('Sch2a-Imp Price by ECM'!B70="","",'Sch2a-Imp Price by ECM'!B70)</f>
        <v/>
      </c>
      <c r="B69" s="139" t="str">
        <f>IF('Sch2a-Imp Price by ECM'!D70="","",'Sch2a-Imp Price by ECM'!D70)</f>
        <v/>
      </c>
      <c r="C69" s="414" t="s">
        <v>430</v>
      </c>
      <c r="D69" s="410">
        <f>'Sch4-Cost Savings by ECM'!P69</f>
        <v>0</v>
      </c>
      <c r="E69" s="410">
        <f>VLOOKUP(C69,'eGRID subregion name'!$A$2:$N$30,8,0)</f>
        <v>189.83531623683197</v>
      </c>
      <c r="F69" s="410">
        <f t="shared" si="7"/>
        <v>0</v>
      </c>
      <c r="G69" s="411">
        <f>'Sch4-Cost Savings by ECM'!T69</f>
        <v>0</v>
      </c>
      <c r="H69" s="411">
        <f>VLOOKUP("Natural Gas", 'GHG Emissions'!$D$2:$M$66,4,FALSE)+VLOOKUP("Natural Gas", 'GHG Emissions'!$D$2:$M$66,6,FALSE)*'eGRID subregion name'!$P$3+VLOOKUP("Natural Gas", 'GHG Emissions'!$D$2:$M$66,8,FALSE)*'eGRID subregion name'!$P$4</f>
        <v>53.114800000000002</v>
      </c>
      <c r="I69" s="411">
        <f t="shared" si="2"/>
        <v>0</v>
      </c>
      <c r="J69" s="411">
        <f>'Sch4-Cost Savings by ECM'!V69</f>
        <v>0</v>
      </c>
      <c r="K6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9" s="411">
        <f t="shared" si="8"/>
        <v>0</v>
      </c>
      <c r="M69" s="411">
        <f>'Sch4-Cost Savings by ECM'!X69</f>
        <v>0</v>
      </c>
      <c r="N6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9" s="411">
        <f t="shared" si="3"/>
        <v>0</v>
      </c>
      <c r="P69" s="413">
        <f t="shared" si="1"/>
        <v>0</v>
      </c>
      <c r="Q69" s="411">
        <f>'Sch4-Cost Savings by ECM'!AB69</f>
        <v>0</v>
      </c>
      <c r="R69" s="411">
        <f t="shared" si="4"/>
        <v>0</v>
      </c>
      <c r="S69" s="411">
        <f t="shared" si="5"/>
        <v>0</v>
      </c>
      <c r="T69" s="411">
        <f t="shared" si="6"/>
        <v>0</v>
      </c>
    </row>
    <row r="70" spans="1:20" ht="16.5" thickBot="1">
      <c r="A70" s="72" t="str">
        <f>IF('Sch2a-Imp Price by ECM'!B71="","",'Sch2a-Imp Price by ECM'!B71)</f>
        <v/>
      </c>
      <c r="B70" s="139" t="str">
        <f>IF('Sch2a-Imp Price by ECM'!D71="","",'Sch2a-Imp Price by ECM'!D71)</f>
        <v/>
      </c>
      <c r="C70" s="414" t="s">
        <v>430</v>
      </c>
      <c r="D70" s="410">
        <f>'Sch4-Cost Savings by ECM'!P70</f>
        <v>0</v>
      </c>
      <c r="E70" s="410">
        <f>VLOOKUP(C70,'eGRID subregion name'!$A$2:$N$30,8,0)</f>
        <v>189.83531623683197</v>
      </c>
      <c r="F70" s="410">
        <f t="shared" si="7"/>
        <v>0</v>
      </c>
      <c r="G70" s="411">
        <f>'Sch4-Cost Savings by ECM'!T70</f>
        <v>0</v>
      </c>
      <c r="H70" s="411">
        <f>VLOOKUP("Natural Gas", 'GHG Emissions'!$D$2:$M$66,4,FALSE)+VLOOKUP("Natural Gas", 'GHG Emissions'!$D$2:$M$66,6,FALSE)*'eGRID subregion name'!$P$3+VLOOKUP("Natural Gas", 'GHG Emissions'!$D$2:$M$66,8,FALSE)*'eGRID subregion name'!$P$4</f>
        <v>53.114800000000002</v>
      </c>
      <c r="I70" s="411">
        <f t="shared" si="2"/>
        <v>0</v>
      </c>
      <c r="J70" s="411">
        <f>'Sch4-Cost Savings by ECM'!V70</f>
        <v>0</v>
      </c>
      <c r="K7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0" s="411">
        <f t="shared" si="8"/>
        <v>0</v>
      </c>
      <c r="M70" s="411">
        <f>'Sch4-Cost Savings by ECM'!X70</f>
        <v>0</v>
      </c>
      <c r="N7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0" s="411">
        <f t="shared" si="3"/>
        <v>0</v>
      </c>
      <c r="P70" s="413">
        <f t="shared" si="1"/>
        <v>0</v>
      </c>
      <c r="Q70" s="411">
        <f>'Sch4-Cost Savings by ECM'!AB70</f>
        <v>0</v>
      </c>
      <c r="R70" s="411">
        <f t="shared" si="4"/>
        <v>0</v>
      </c>
      <c r="S70" s="411">
        <f t="shared" si="5"/>
        <v>0</v>
      </c>
      <c r="T70" s="411">
        <f t="shared" si="6"/>
        <v>0</v>
      </c>
    </row>
    <row r="71" spans="1:20" ht="16.5" thickBot="1">
      <c r="A71" s="72" t="str">
        <f>IF('Sch2a-Imp Price by ECM'!B72="","",'Sch2a-Imp Price by ECM'!B72)</f>
        <v/>
      </c>
      <c r="B71" s="139" t="str">
        <f>IF('Sch2a-Imp Price by ECM'!D72="","",'Sch2a-Imp Price by ECM'!D72)</f>
        <v/>
      </c>
      <c r="C71" s="414" t="s">
        <v>430</v>
      </c>
      <c r="D71" s="410">
        <f>'Sch4-Cost Savings by ECM'!P71</f>
        <v>0</v>
      </c>
      <c r="E71" s="410">
        <f>VLOOKUP(C71,'eGRID subregion name'!$A$2:$N$30,8,0)</f>
        <v>189.83531623683197</v>
      </c>
      <c r="F71" s="410">
        <f t="shared" si="7"/>
        <v>0</v>
      </c>
      <c r="G71" s="411">
        <f>'Sch4-Cost Savings by ECM'!T71</f>
        <v>0</v>
      </c>
      <c r="H71" s="411">
        <f>VLOOKUP("Natural Gas", 'GHG Emissions'!$D$2:$M$66,4,FALSE)+VLOOKUP("Natural Gas", 'GHG Emissions'!$D$2:$M$66,6,FALSE)*'eGRID subregion name'!$P$3+VLOOKUP("Natural Gas", 'GHG Emissions'!$D$2:$M$66,8,FALSE)*'eGRID subregion name'!$P$4</f>
        <v>53.114800000000002</v>
      </c>
      <c r="I71" s="411">
        <f t="shared" si="2"/>
        <v>0</v>
      </c>
      <c r="J71" s="411">
        <f>'Sch4-Cost Savings by ECM'!V71</f>
        <v>0</v>
      </c>
      <c r="K7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1" s="411">
        <f t="shared" si="8"/>
        <v>0</v>
      </c>
      <c r="M71" s="411">
        <f>'Sch4-Cost Savings by ECM'!X71</f>
        <v>0</v>
      </c>
      <c r="N7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1" s="411">
        <f t="shared" si="3"/>
        <v>0</v>
      </c>
      <c r="P71" s="413">
        <f t="shared" si="1"/>
        <v>0</v>
      </c>
      <c r="Q71" s="411">
        <f>'Sch4-Cost Savings by ECM'!AB71</f>
        <v>0</v>
      </c>
      <c r="R71" s="411">
        <f t="shared" si="4"/>
        <v>0</v>
      </c>
      <c r="S71" s="411">
        <f t="shared" si="5"/>
        <v>0</v>
      </c>
      <c r="T71" s="411">
        <f t="shared" si="6"/>
        <v>0</v>
      </c>
    </row>
    <row r="72" spans="1:20" ht="16.5" thickBot="1">
      <c r="A72" s="72" t="str">
        <f>IF('Sch2a-Imp Price by ECM'!B73="","",'Sch2a-Imp Price by ECM'!B73)</f>
        <v/>
      </c>
      <c r="B72" s="139" t="str">
        <f>IF('Sch2a-Imp Price by ECM'!D73="","",'Sch2a-Imp Price by ECM'!D73)</f>
        <v/>
      </c>
      <c r="C72" s="414" t="s">
        <v>430</v>
      </c>
      <c r="D72" s="410">
        <f>'Sch4-Cost Savings by ECM'!P72</f>
        <v>0</v>
      </c>
      <c r="E72" s="410">
        <f>VLOOKUP(C72,'eGRID subregion name'!$A$2:$N$30,8,0)</f>
        <v>189.83531623683197</v>
      </c>
      <c r="F72" s="410">
        <f t="shared" si="7"/>
        <v>0</v>
      </c>
      <c r="G72" s="411">
        <f>'Sch4-Cost Savings by ECM'!T72</f>
        <v>0</v>
      </c>
      <c r="H72" s="411">
        <f>VLOOKUP("Natural Gas", 'GHG Emissions'!$D$2:$M$66,4,FALSE)+VLOOKUP("Natural Gas", 'GHG Emissions'!$D$2:$M$66,6,FALSE)*'eGRID subregion name'!$P$3+VLOOKUP("Natural Gas", 'GHG Emissions'!$D$2:$M$66,8,FALSE)*'eGRID subregion name'!$P$4</f>
        <v>53.114800000000002</v>
      </c>
      <c r="I72" s="411">
        <f t="shared" si="2"/>
        <v>0</v>
      </c>
      <c r="J72" s="411">
        <f>'Sch4-Cost Savings by ECM'!V72</f>
        <v>0</v>
      </c>
      <c r="K7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2" s="411">
        <f t="shared" si="8"/>
        <v>0</v>
      </c>
      <c r="M72" s="411">
        <f>'Sch4-Cost Savings by ECM'!X72</f>
        <v>0</v>
      </c>
      <c r="N7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2" s="411">
        <f t="shared" si="3"/>
        <v>0</v>
      </c>
      <c r="P72" s="413">
        <f t="shared" ref="P72:P135" si="9">(D72*3412/10^6)+G72+J72+M72</f>
        <v>0</v>
      </c>
      <c r="Q72" s="411">
        <f>'Sch4-Cost Savings by ECM'!AB72</f>
        <v>0</v>
      </c>
      <c r="R72" s="411">
        <f t="shared" si="4"/>
        <v>0</v>
      </c>
      <c r="S72" s="411">
        <f t="shared" si="5"/>
        <v>0</v>
      </c>
      <c r="T72" s="411">
        <f t="shared" si="6"/>
        <v>0</v>
      </c>
    </row>
    <row r="73" spans="1:20" ht="16.5" thickBot="1">
      <c r="A73" s="72" t="str">
        <f>IF('Sch2a-Imp Price by ECM'!B74="","",'Sch2a-Imp Price by ECM'!B74)</f>
        <v/>
      </c>
      <c r="B73" s="139" t="str">
        <f>IF('Sch2a-Imp Price by ECM'!D74="","",'Sch2a-Imp Price by ECM'!D74)</f>
        <v/>
      </c>
      <c r="C73" s="414" t="s">
        <v>430</v>
      </c>
      <c r="D73" s="410">
        <f>'Sch4-Cost Savings by ECM'!P73</f>
        <v>0</v>
      </c>
      <c r="E73" s="410">
        <f>VLOOKUP(C73,'eGRID subregion name'!$A$2:$N$30,8,0)</f>
        <v>189.83531623683197</v>
      </c>
      <c r="F73" s="410">
        <f t="shared" si="7"/>
        <v>0</v>
      </c>
      <c r="G73" s="411">
        <f>'Sch4-Cost Savings by ECM'!T73</f>
        <v>0</v>
      </c>
      <c r="H73" s="411">
        <f>VLOOKUP("Natural Gas", 'GHG Emissions'!$D$2:$M$66,4,FALSE)+VLOOKUP("Natural Gas", 'GHG Emissions'!$D$2:$M$66,6,FALSE)*'eGRID subregion name'!$P$3+VLOOKUP("Natural Gas", 'GHG Emissions'!$D$2:$M$66,8,FALSE)*'eGRID subregion name'!$P$4</f>
        <v>53.114800000000002</v>
      </c>
      <c r="I73" s="411">
        <f t="shared" ref="I73:I136" si="10">G73*H73</f>
        <v>0</v>
      </c>
      <c r="J73" s="411">
        <f>'Sch4-Cost Savings by ECM'!V73</f>
        <v>0</v>
      </c>
      <c r="K7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3" s="411">
        <f t="shared" ref="L73:L136" si="11">K73*J73</f>
        <v>0</v>
      </c>
      <c r="M73" s="411">
        <f>'Sch4-Cost Savings by ECM'!X73</f>
        <v>0</v>
      </c>
      <c r="N7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3" s="411">
        <f t="shared" ref="O73:O136" si="12">M73*N73</f>
        <v>0</v>
      </c>
      <c r="P73" s="413">
        <f t="shared" si="9"/>
        <v>0</v>
      </c>
      <c r="Q73" s="411">
        <f>'Sch4-Cost Savings by ECM'!AB73</f>
        <v>0</v>
      </c>
      <c r="R73" s="411">
        <f t="shared" ref="R73:R136" si="13">I73+IF(AND($L$5&lt;&gt;"Other Savings Type 1: Chilled Water",$L$5&lt;&gt;"Other Savings Type 1: Purchased Steam"),L73,0)+IF(AND($O$5&lt;&gt;"Other Savings Type 2: Chilled Water",$O$5&lt;&gt;"Other Savings Type 2: Purchased Steam"),O73,0)</f>
        <v>0</v>
      </c>
      <c r="S73" s="411">
        <f t="shared" ref="S73:S136" si="14">F73+IF(OR($L$5="Other Savings Type 1: Chilled Water",$L$5="Other Savings Type 1: Purchased Steam"),L73,0)+IF(OR($O$5="Other Savings Type 2: Chilled Water",$O$5="Other Savings Type 2: Purchased Steam"),O73,0)</f>
        <v>0</v>
      </c>
      <c r="T73" s="411">
        <f t="shared" ref="T73:T136" si="15">R73+S73</f>
        <v>0</v>
      </c>
    </row>
    <row r="74" spans="1:20" ht="16.5" thickBot="1">
      <c r="A74" s="72" t="str">
        <f>IF('Sch2a-Imp Price by ECM'!B75="","",'Sch2a-Imp Price by ECM'!B75)</f>
        <v/>
      </c>
      <c r="B74" s="139" t="str">
        <f>IF('Sch2a-Imp Price by ECM'!D75="","",'Sch2a-Imp Price by ECM'!D75)</f>
        <v/>
      </c>
      <c r="C74" s="414" t="s">
        <v>430</v>
      </c>
      <c r="D74" s="410">
        <f>'Sch4-Cost Savings by ECM'!P74</f>
        <v>0</v>
      </c>
      <c r="E74" s="410">
        <f>VLOOKUP(C74,'eGRID subregion name'!$A$2:$N$30,8,0)</f>
        <v>189.83531623683197</v>
      </c>
      <c r="F74" s="410">
        <f t="shared" ref="F74:F137" si="16">D74*3412*E74/1000000</f>
        <v>0</v>
      </c>
      <c r="G74" s="411">
        <f>'Sch4-Cost Savings by ECM'!T74</f>
        <v>0</v>
      </c>
      <c r="H74" s="411">
        <f>VLOOKUP("Natural Gas", 'GHG Emissions'!$D$2:$M$66,4,FALSE)+VLOOKUP("Natural Gas", 'GHG Emissions'!$D$2:$M$66,6,FALSE)*'eGRID subregion name'!$P$3+VLOOKUP("Natural Gas", 'GHG Emissions'!$D$2:$M$66,8,FALSE)*'eGRID subregion name'!$P$4</f>
        <v>53.114800000000002</v>
      </c>
      <c r="I74" s="411">
        <f t="shared" si="10"/>
        <v>0</v>
      </c>
      <c r="J74" s="411">
        <f>'Sch4-Cost Savings by ECM'!V74</f>
        <v>0</v>
      </c>
      <c r="K7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4" s="411">
        <f t="shared" si="11"/>
        <v>0</v>
      </c>
      <c r="M74" s="411">
        <f>'Sch4-Cost Savings by ECM'!X74</f>
        <v>0</v>
      </c>
      <c r="N7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4" s="411">
        <f t="shared" si="12"/>
        <v>0</v>
      </c>
      <c r="P74" s="413">
        <f t="shared" si="9"/>
        <v>0</v>
      </c>
      <c r="Q74" s="411">
        <f>'Sch4-Cost Savings by ECM'!AB74</f>
        <v>0</v>
      </c>
      <c r="R74" s="411">
        <f t="shared" si="13"/>
        <v>0</v>
      </c>
      <c r="S74" s="411">
        <f t="shared" si="14"/>
        <v>0</v>
      </c>
      <c r="T74" s="411">
        <f t="shared" si="15"/>
        <v>0</v>
      </c>
    </row>
    <row r="75" spans="1:20" ht="16.5" thickBot="1">
      <c r="A75" s="72" t="str">
        <f>IF('Sch2a-Imp Price by ECM'!B76="","",'Sch2a-Imp Price by ECM'!B76)</f>
        <v/>
      </c>
      <c r="B75" s="139" t="str">
        <f>IF('Sch2a-Imp Price by ECM'!D76="","",'Sch2a-Imp Price by ECM'!D76)</f>
        <v/>
      </c>
      <c r="C75" s="414" t="s">
        <v>430</v>
      </c>
      <c r="D75" s="410">
        <f>'Sch4-Cost Savings by ECM'!P75</f>
        <v>0</v>
      </c>
      <c r="E75" s="410">
        <f>VLOOKUP(C75,'eGRID subregion name'!$A$2:$N$30,8,0)</f>
        <v>189.83531623683197</v>
      </c>
      <c r="F75" s="410">
        <f t="shared" si="16"/>
        <v>0</v>
      </c>
      <c r="G75" s="411">
        <f>'Sch4-Cost Savings by ECM'!T75</f>
        <v>0</v>
      </c>
      <c r="H75" s="411">
        <f>VLOOKUP("Natural Gas", 'GHG Emissions'!$D$2:$M$66,4,FALSE)+VLOOKUP("Natural Gas", 'GHG Emissions'!$D$2:$M$66,6,FALSE)*'eGRID subregion name'!$P$3+VLOOKUP("Natural Gas", 'GHG Emissions'!$D$2:$M$66,8,FALSE)*'eGRID subregion name'!$P$4</f>
        <v>53.114800000000002</v>
      </c>
      <c r="I75" s="411">
        <f t="shared" si="10"/>
        <v>0</v>
      </c>
      <c r="J75" s="411">
        <f>'Sch4-Cost Savings by ECM'!V75</f>
        <v>0</v>
      </c>
      <c r="K7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5" s="411">
        <f t="shared" si="11"/>
        <v>0</v>
      </c>
      <c r="M75" s="411">
        <f>'Sch4-Cost Savings by ECM'!X75</f>
        <v>0</v>
      </c>
      <c r="N7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5" s="411">
        <f t="shared" si="12"/>
        <v>0</v>
      </c>
      <c r="P75" s="413">
        <f t="shared" si="9"/>
        <v>0</v>
      </c>
      <c r="Q75" s="411">
        <f>'Sch4-Cost Savings by ECM'!AB75</f>
        <v>0</v>
      </c>
      <c r="R75" s="411">
        <f t="shared" si="13"/>
        <v>0</v>
      </c>
      <c r="S75" s="411">
        <f t="shared" si="14"/>
        <v>0</v>
      </c>
      <c r="T75" s="411">
        <f t="shared" si="15"/>
        <v>0</v>
      </c>
    </row>
    <row r="76" spans="1:20" ht="18" customHeight="1" thickBot="1">
      <c r="A76" s="72" t="str">
        <f>IF('Sch2a-Imp Price by ECM'!B77="","",'Sch2a-Imp Price by ECM'!B77)</f>
        <v/>
      </c>
      <c r="B76" s="139" t="str">
        <f>IF('Sch2a-Imp Price by ECM'!D77="","",'Sch2a-Imp Price by ECM'!D77)</f>
        <v/>
      </c>
      <c r="C76" s="414" t="s">
        <v>430</v>
      </c>
      <c r="D76" s="410">
        <f>'Sch4-Cost Savings by ECM'!P76</f>
        <v>0</v>
      </c>
      <c r="E76" s="410">
        <f>VLOOKUP(C76,'eGRID subregion name'!$A$2:$N$30,8,0)</f>
        <v>189.83531623683197</v>
      </c>
      <c r="F76" s="410">
        <f t="shared" si="16"/>
        <v>0</v>
      </c>
      <c r="G76" s="411">
        <f>'Sch4-Cost Savings by ECM'!T76</f>
        <v>0</v>
      </c>
      <c r="H76" s="411">
        <f>VLOOKUP("Natural Gas", 'GHG Emissions'!$D$2:$M$66,4,FALSE)+VLOOKUP("Natural Gas", 'GHG Emissions'!$D$2:$M$66,6,FALSE)*'eGRID subregion name'!$P$3+VLOOKUP("Natural Gas", 'GHG Emissions'!$D$2:$M$66,8,FALSE)*'eGRID subregion name'!$P$4</f>
        <v>53.114800000000002</v>
      </c>
      <c r="I76" s="411">
        <f t="shared" si="10"/>
        <v>0</v>
      </c>
      <c r="J76" s="411">
        <f>'Sch4-Cost Savings by ECM'!V76</f>
        <v>0</v>
      </c>
      <c r="K7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6" s="411">
        <f t="shared" si="11"/>
        <v>0</v>
      </c>
      <c r="M76" s="411">
        <f>'Sch4-Cost Savings by ECM'!X76</f>
        <v>0</v>
      </c>
      <c r="N7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6" s="411">
        <f t="shared" si="12"/>
        <v>0</v>
      </c>
      <c r="P76" s="413">
        <f t="shared" si="9"/>
        <v>0</v>
      </c>
      <c r="Q76" s="411">
        <f>'Sch4-Cost Savings by ECM'!AB76</f>
        <v>0</v>
      </c>
      <c r="R76" s="411">
        <f t="shared" si="13"/>
        <v>0</v>
      </c>
      <c r="S76" s="411">
        <f t="shared" si="14"/>
        <v>0</v>
      </c>
      <c r="T76" s="411">
        <f t="shared" si="15"/>
        <v>0</v>
      </c>
    </row>
    <row r="77" spans="1:20" ht="16.5" thickBot="1">
      <c r="A77" s="72" t="str">
        <f>IF('Sch2a-Imp Price by ECM'!B78="","",'Sch2a-Imp Price by ECM'!B78)</f>
        <v/>
      </c>
      <c r="B77" s="139" t="str">
        <f>IF('Sch2a-Imp Price by ECM'!D78="","",'Sch2a-Imp Price by ECM'!D78)</f>
        <v/>
      </c>
      <c r="C77" s="414" t="s">
        <v>430</v>
      </c>
      <c r="D77" s="410">
        <f>'Sch4-Cost Savings by ECM'!P77</f>
        <v>0</v>
      </c>
      <c r="E77" s="410">
        <f>VLOOKUP(C77,'eGRID subregion name'!$A$2:$N$30,8,0)</f>
        <v>189.83531623683197</v>
      </c>
      <c r="F77" s="410">
        <f t="shared" si="16"/>
        <v>0</v>
      </c>
      <c r="G77" s="411">
        <f>'Sch4-Cost Savings by ECM'!T77</f>
        <v>0</v>
      </c>
      <c r="H77" s="411">
        <f>VLOOKUP("Natural Gas", 'GHG Emissions'!$D$2:$M$66,4,FALSE)+VLOOKUP("Natural Gas", 'GHG Emissions'!$D$2:$M$66,6,FALSE)*'eGRID subregion name'!$P$3+VLOOKUP("Natural Gas", 'GHG Emissions'!$D$2:$M$66,8,FALSE)*'eGRID subregion name'!$P$4</f>
        <v>53.114800000000002</v>
      </c>
      <c r="I77" s="411">
        <f t="shared" si="10"/>
        <v>0</v>
      </c>
      <c r="J77" s="411">
        <f>'Sch4-Cost Savings by ECM'!V77</f>
        <v>0</v>
      </c>
      <c r="K7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7" s="411">
        <f t="shared" si="11"/>
        <v>0</v>
      </c>
      <c r="M77" s="411">
        <f>'Sch4-Cost Savings by ECM'!X77</f>
        <v>0</v>
      </c>
      <c r="N7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7" s="411">
        <f t="shared" si="12"/>
        <v>0</v>
      </c>
      <c r="P77" s="413">
        <f t="shared" si="9"/>
        <v>0</v>
      </c>
      <c r="Q77" s="411">
        <f>'Sch4-Cost Savings by ECM'!AB77</f>
        <v>0</v>
      </c>
      <c r="R77" s="411">
        <f t="shared" si="13"/>
        <v>0</v>
      </c>
      <c r="S77" s="411">
        <f t="shared" si="14"/>
        <v>0</v>
      </c>
      <c r="T77" s="411">
        <f t="shared" si="15"/>
        <v>0</v>
      </c>
    </row>
    <row r="78" spans="1:20" ht="16.5" thickBot="1">
      <c r="A78" s="72" t="str">
        <f>IF('Sch2a-Imp Price by ECM'!B79="","",'Sch2a-Imp Price by ECM'!B79)</f>
        <v/>
      </c>
      <c r="B78" s="139" t="str">
        <f>IF('Sch2a-Imp Price by ECM'!D79="","",'Sch2a-Imp Price by ECM'!D79)</f>
        <v/>
      </c>
      <c r="C78" s="414" t="s">
        <v>430</v>
      </c>
      <c r="D78" s="410">
        <f>'Sch4-Cost Savings by ECM'!P78</f>
        <v>0</v>
      </c>
      <c r="E78" s="410">
        <f>VLOOKUP(C78,'eGRID subregion name'!$A$2:$N$30,8,0)</f>
        <v>189.83531623683197</v>
      </c>
      <c r="F78" s="410">
        <f t="shared" si="16"/>
        <v>0</v>
      </c>
      <c r="G78" s="411">
        <f>'Sch4-Cost Savings by ECM'!T78</f>
        <v>0</v>
      </c>
      <c r="H78" s="411">
        <f>VLOOKUP("Natural Gas", 'GHG Emissions'!$D$2:$M$66,4,FALSE)+VLOOKUP("Natural Gas", 'GHG Emissions'!$D$2:$M$66,6,FALSE)*'eGRID subregion name'!$P$3+VLOOKUP("Natural Gas", 'GHG Emissions'!$D$2:$M$66,8,FALSE)*'eGRID subregion name'!$P$4</f>
        <v>53.114800000000002</v>
      </c>
      <c r="I78" s="411">
        <f t="shared" si="10"/>
        <v>0</v>
      </c>
      <c r="J78" s="411">
        <f>'Sch4-Cost Savings by ECM'!V78</f>
        <v>0</v>
      </c>
      <c r="K7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8" s="411">
        <f t="shared" si="11"/>
        <v>0</v>
      </c>
      <c r="M78" s="411">
        <f>'Sch4-Cost Savings by ECM'!X78</f>
        <v>0</v>
      </c>
      <c r="N7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8" s="411">
        <f t="shared" si="12"/>
        <v>0</v>
      </c>
      <c r="P78" s="413">
        <f t="shared" si="9"/>
        <v>0</v>
      </c>
      <c r="Q78" s="411">
        <f>'Sch4-Cost Savings by ECM'!AB78</f>
        <v>0</v>
      </c>
      <c r="R78" s="411">
        <f t="shared" si="13"/>
        <v>0</v>
      </c>
      <c r="S78" s="411">
        <f t="shared" si="14"/>
        <v>0</v>
      </c>
      <c r="T78" s="411">
        <f t="shared" si="15"/>
        <v>0</v>
      </c>
    </row>
    <row r="79" spans="1:20" ht="16.5" thickBot="1">
      <c r="A79" s="72" t="str">
        <f>IF('Sch2a-Imp Price by ECM'!B80="","",'Sch2a-Imp Price by ECM'!B80)</f>
        <v/>
      </c>
      <c r="B79" s="139" t="str">
        <f>IF('Sch2a-Imp Price by ECM'!D80="","",'Sch2a-Imp Price by ECM'!D80)</f>
        <v/>
      </c>
      <c r="C79" s="414" t="s">
        <v>430</v>
      </c>
      <c r="D79" s="410">
        <f>'Sch4-Cost Savings by ECM'!P79</f>
        <v>0</v>
      </c>
      <c r="E79" s="410">
        <f>VLOOKUP(C79,'eGRID subregion name'!$A$2:$N$30,8,0)</f>
        <v>189.83531623683197</v>
      </c>
      <c r="F79" s="410">
        <f t="shared" si="16"/>
        <v>0</v>
      </c>
      <c r="G79" s="411">
        <f>'Sch4-Cost Savings by ECM'!T79</f>
        <v>0</v>
      </c>
      <c r="H79" s="411">
        <f>VLOOKUP("Natural Gas", 'GHG Emissions'!$D$2:$M$66,4,FALSE)+VLOOKUP("Natural Gas", 'GHG Emissions'!$D$2:$M$66,6,FALSE)*'eGRID subregion name'!$P$3+VLOOKUP("Natural Gas", 'GHG Emissions'!$D$2:$M$66,8,FALSE)*'eGRID subregion name'!$P$4</f>
        <v>53.114800000000002</v>
      </c>
      <c r="I79" s="411">
        <f t="shared" si="10"/>
        <v>0</v>
      </c>
      <c r="J79" s="411">
        <f>'Sch4-Cost Savings by ECM'!V79</f>
        <v>0</v>
      </c>
      <c r="K7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9" s="411">
        <f t="shared" si="11"/>
        <v>0</v>
      </c>
      <c r="M79" s="411">
        <f>'Sch4-Cost Savings by ECM'!X79</f>
        <v>0</v>
      </c>
      <c r="N7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9" s="411">
        <f t="shared" si="12"/>
        <v>0</v>
      </c>
      <c r="P79" s="413">
        <f t="shared" si="9"/>
        <v>0</v>
      </c>
      <c r="Q79" s="411">
        <f>'Sch4-Cost Savings by ECM'!AB79</f>
        <v>0</v>
      </c>
      <c r="R79" s="411">
        <f t="shared" si="13"/>
        <v>0</v>
      </c>
      <c r="S79" s="411">
        <f t="shared" si="14"/>
        <v>0</v>
      </c>
      <c r="T79" s="411">
        <f t="shared" si="15"/>
        <v>0</v>
      </c>
    </row>
    <row r="80" spans="1:20" ht="16.5" thickBot="1">
      <c r="A80" s="72" t="str">
        <f>IF('Sch2a-Imp Price by ECM'!B81="","",'Sch2a-Imp Price by ECM'!B81)</f>
        <v/>
      </c>
      <c r="B80" s="139" t="str">
        <f>IF('Sch2a-Imp Price by ECM'!D81="","",'Sch2a-Imp Price by ECM'!D81)</f>
        <v/>
      </c>
      <c r="C80" s="414" t="s">
        <v>430</v>
      </c>
      <c r="D80" s="410">
        <f>'Sch4-Cost Savings by ECM'!P80</f>
        <v>0</v>
      </c>
      <c r="E80" s="410">
        <f>VLOOKUP(C80,'eGRID subregion name'!$A$2:$N$30,8,0)</f>
        <v>189.83531623683197</v>
      </c>
      <c r="F80" s="410">
        <f t="shared" si="16"/>
        <v>0</v>
      </c>
      <c r="G80" s="411">
        <f>'Sch4-Cost Savings by ECM'!T80</f>
        <v>0</v>
      </c>
      <c r="H80" s="411">
        <f>VLOOKUP("Natural Gas", 'GHG Emissions'!$D$2:$M$66,4,FALSE)+VLOOKUP("Natural Gas", 'GHG Emissions'!$D$2:$M$66,6,FALSE)*'eGRID subregion name'!$P$3+VLOOKUP("Natural Gas", 'GHG Emissions'!$D$2:$M$66,8,FALSE)*'eGRID subregion name'!$P$4</f>
        <v>53.114800000000002</v>
      </c>
      <c r="I80" s="411">
        <f t="shared" si="10"/>
        <v>0</v>
      </c>
      <c r="J80" s="411">
        <f>'Sch4-Cost Savings by ECM'!V80</f>
        <v>0</v>
      </c>
      <c r="K8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0" s="411">
        <f t="shared" si="11"/>
        <v>0</v>
      </c>
      <c r="M80" s="411">
        <f>'Sch4-Cost Savings by ECM'!X80</f>
        <v>0</v>
      </c>
      <c r="N8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0" s="411">
        <f t="shared" si="12"/>
        <v>0</v>
      </c>
      <c r="P80" s="413">
        <f t="shared" si="9"/>
        <v>0</v>
      </c>
      <c r="Q80" s="411">
        <f>'Sch4-Cost Savings by ECM'!AB80</f>
        <v>0</v>
      </c>
      <c r="R80" s="411">
        <f t="shared" si="13"/>
        <v>0</v>
      </c>
      <c r="S80" s="411">
        <f t="shared" si="14"/>
        <v>0</v>
      </c>
      <c r="T80" s="411">
        <f t="shared" si="15"/>
        <v>0</v>
      </c>
    </row>
    <row r="81" spans="1:20" ht="16.5" thickBot="1">
      <c r="A81" s="72" t="str">
        <f>IF('Sch2a-Imp Price by ECM'!B82="","",'Sch2a-Imp Price by ECM'!B82)</f>
        <v/>
      </c>
      <c r="B81" s="139" t="str">
        <f>IF('Sch2a-Imp Price by ECM'!D82="","",'Sch2a-Imp Price by ECM'!D82)</f>
        <v/>
      </c>
      <c r="C81" s="414" t="s">
        <v>430</v>
      </c>
      <c r="D81" s="410">
        <f>'Sch4-Cost Savings by ECM'!P81</f>
        <v>0</v>
      </c>
      <c r="E81" s="410">
        <f>VLOOKUP(C81,'eGRID subregion name'!$A$2:$N$30,8,0)</f>
        <v>189.83531623683197</v>
      </c>
      <c r="F81" s="410">
        <f t="shared" si="16"/>
        <v>0</v>
      </c>
      <c r="G81" s="411">
        <f>'Sch4-Cost Savings by ECM'!T81</f>
        <v>0</v>
      </c>
      <c r="H81" s="411">
        <f>VLOOKUP("Natural Gas", 'GHG Emissions'!$D$2:$M$66,4,FALSE)+VLOOKUP("Natural Gas", 'GHG Emissions'!$D$2:$M$66,6,FALSE)*'eGRID subregion name'!$P$3+VLOOKUP("Natural Gas", 'GHG Emissions'!$D$2:$M$66,8,FALSE)*'eGRID subregion name'!$P$4</f>
        <v>53.114800000000002</v>
      </c>
      <c r="I81" s="411">
        <f t="shared" si="10"/>
        <v>0</v>
      </c>
      <c r="J81" s="411">
        <f>'Sch4-Cost Savings by ECM'!V81</f>
        <v>0</v>
      </c>
      <c r="K8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1" s="411">
        <f t="shared" si="11"/>
        <v>0</v>
      </c>
      <c r="M81" s="411">
        <f>'Sch4-Cost Savings by ECM'!X81</f>
        <v>0</v>
      </c>
      <c r="N8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1" s="411">
        <f t="shared" si="12"/>
        <v>0</v>
      </c>
      <c r="P81" s="413">
        <f t="shared" si="9"/>
        <v>0</v>
      </c>
      <c r="Q81" s="411">
        <f>'Sch4-Cost Savings by ECM'!AB81</f>
        <v>0</v>
      </c>
      <c r="R81" s="411">
        <f t="shared" si="13"/>
        <v>0</v>
      </c>
      <c r="S81" s="411">
        <f t="shared" si="14"/>
        <v>0</v>
      </c>
      <c r="T81" s="411">
        <f t="shared" si="15"/>
        <v>0</v>
      </c>
    </row>
    <row r="82" spans="1:20" ht="16.5" thickBot="1">
      <c r="A82" s="72" t="str">
        <f>IF('Sch2a-Imp Price by ECM'!B83="","",'Sch2a-Imp Price by ECM'!B83)</f>
        <v/>
      </c>
      <c r="B82" s="139" t="str">
        <f>IF('Sch2a-Imp Price by ECM'!D83="","",'Sch2a-Imp Price by ECM'!D83)</f>
        <v/>
      </c>
      <c r="C82" s="414" t="s">
        <v>430</v>
      </c>
      <c r="D82" s="410">
        <f>'Sch4-Cost Savings by ECM'!P82</f>
        <v>0</v>
      </c>
      <c r="E82" s="410">
        <f>VLOOKUP(C82,'eGRID subregion name'!$A$2:$N$30,8,0)</f>
        <v>189.83531623683197</v>
      </c>
      <c r="F82" s="410">
        <f t="shared" si="16"/>
        <v>0</v>
      </c>
      <c r="G82" s="411">
        <f>'Sch4-Cost Savings by ECM'!T82</f>
        <v>0</v>
      </c>
      <c r="H82" s="411">
        <f>VLOOKUP("Natural Gas", 'GHG Emissions'!$D$2:$M$66,4,FALSE)+VLOOKUP("Natural Gas", 'GHG Emissions'!$D$2:$M$66,6,FALSE)*'eGRID subregion name'!$P$3+VLOOKUP("Natural Gas", 'GHG Emissions'!$D$2:$M$66,8,FALSE)*'eGRID subregion name'!$P$4</f>
        <v>53.114800000000002</v>
      </c>
      <c r="I82" s="411">
        <f t="shared" si="10"/>
        <v>0</v>
      </c>
      <c r="J82" s="411">
        <f>'Sch4-Cost Savings by ECM'!V82</f>
        <v>0</v>
      </c>
      <c r="K8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2" s="411">
        <f t="shared" si="11"/>
        <v>0</v>
      </c>
      <c r="M82" s="411">
        <f>'Sch4-Cost Savings by ECM'!X82</f>
        <v>0</v>
      </c>
      <c r="N8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2" s="411">
        <f t="shared" si="12"/>
        <v>0</v>
      </c>
      <c r="P82" s="413">
        <f t="shared" si="9"/>
        <v>0</v>
      </c>
      <c r="Q82" s="411">
        <f>'Sch4-Cost Savings by ECM'!AB82</f>
        <v>0</v>
      </c>
      <c r="R82" s="411">
        <f t="shared" si="13"/>
        <v>0</v>
      </c>
      <c r="S82" s="411">
        <f t="shared" si="14"/>
        <v>0</v>
      </c>
      <c r="T82" s="411">
        <f t="shared" si="15"/>
        <v>0</v>
      </c>
    </row>
    <row r="83" spans="1:20" ht="16.5" thickBot="1">
      <c r="A83" s="72" t="str">
        <f>IF('Sch2a-Imp Price by ECM'!B84="","",'Sch2a-Imp Price by ECM'!B84)</f>
        <v/>
      </c>
      <c r="B83" s="139" t="str">
        <f>IF('Sch2a-Imp Price by ECM'!D84="","",'Sch2a-Imp Price by ECM'!D84)</f>
        <v/>
      </c>
      <c r="C83" s="414" t="s">
        <v>430</v>
      </c>
      <c r="D83" s="410">
        <f>'Sch4-Cost Savings by ECM'!P83</f>
        <v>0</v>
      </c>
      <c r="E83" s="410">
        <f>VLOOKUP(C83,'eGRID subregion name'!$A$2:$N$30,8,0)</f>
        <v>189.83531623683197</v>
      </c>
      <c r="F83" s="410">
        <f t="shared" si="16"/>
        <v>0</v>
      </c>
      <c r="G83" s="411">
        <f>'Sch4-Cost Savings by ECM'!T83</f>
        <v>0</v>
      </c>
      <c r="H83" s="411">
        <f>VLOOKUP("Natural Gas", 'GHG Emissions'!$D$2:$M$66,4,FALSE)+VLOOKUP("Natural Gas", 'GHG Emissions'!$D$2:$M$66,6,FALSE)*'eGRID subregion name'!$P$3+VLOOKUP("Natural Gas", 'GHG Emissions'!$D$2:$M$66,8,FALSE)*'eGRID subregion name'!$P$4</f>
        <v>53.114800000000002</v>
      </c>
      <c r="I83" s="411">
        <f t="shared" si="10"/>
        <v>0</v>
      </c>
      <c r="J83" s="411">
        <f>'Sch4-Cost Savings by ECM'!V83</f>
        <v>0</v>
      </c>
      <c r="K8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3" s="411">
        <f t="shared" si="11"/>
        <v>0</v>
      </c>
      <c r="M83" s="411">
        <f>'Sch4-Cost Savings by ECM'!X83</f>
        <v>0</v>
      </c>
      <c r="N8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3" s="411">
        <f t="shared" si="12"/>
        <v>0</v>
      </c>
      <c r="P83" s="413">
        <f t="shared" si="9"/>
        <v>0</v>
      </c>
      <c r="Q83" s="411">
        <f>'Sch4-Cost Savings by ECM'!AB83</f>
        <v>0</v>
      </c>
      <c r="R83" s="411">
        <f t="shared" si="13"/>
        <v>0</v>
      </c>
      <c r="S83" s="411">
        <f t="shared" si="14"/>
        <v>0</v>
      </c>
      <c r="T83" s="411">
        <f t="shared" si="15"/>
        <v>0</v>
      </c>
    </row>
    <row r="84" spans="1:20" ht="16.5" thickBot="1">
      <c r="A84" s="72" t="str">
        <f>IF('Sch2a-Imp Price by ECM'!B85="","",'Sch2a-Imp Price by ECM'!B85)</f>
        <v/>
      </c>
      <c r="B84" s="139" t="str">
        <f>IF('Sch2a-Imp Price by ECM'!D85="","",'Sch2a-Imp Price by ECM'!D85)</f>
        <v/>
      </c>
      <c r="C84" s="414" t="s">
        <v>430</v>
      </c>
      <c r="D84" s="410">
        <f>'Sch4-Cost Savings by ECM'!P84</f>
        <v>0</v>
      </c>
      <c r="E84" s="410">
        <f>VLOOKUP(C84,'eGRID subregion name'!$A$2:$N$30,8,0)</f>
        <v>189.83531623683197</v>
      </c>
      <c r="F84" s="410">
        <f t="shared" si="16"/>
        <v>0</v>
      </c>
      <c r="G84" s="411">
        <f>'Sch4-Cost Savings by ECM'!T84</f>
        <v>0</v>
      </c>
      <c r="H84" s="411">
        <f>VLOOKUP("Natural Gas", 'GHG Emissions'!$D$2:$M$66,4,FALSE)+VLOOKUP("Natural Gas", 'GHG Emissions'!$D$2:$M$66,6,FALSE)*'eGRID subregion name'!$P$3+VLOOKUP("Natural Gas", 'GHG Emissions'!$D$2:$M$66,8,FALSE)*'eGRID subregion name'!$P$4</f>
        <v>53.114800000000002</v>
      </c>
      <c r="I84" s="411">
        <f t="shared" si="10"/>
        <v>0</v>
      </c>
      <c r="J84" s="411">
        <f>'Sch4-Cost Savings by ECM'!V84</f>
        <v>0</v>
      </c>
      <c r="K8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4" s="411">
        <f t="shared" si="11"/>
        <v>0</v>
      </c>
      <c r="M84" s="411">
        <f>'Sch4-Cost Savings by ECM'!X84</f>
        <v>0</v>
      </c>
      <c r="N8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4" s="411">
        <f t="shared" si="12"/>
        <v>0</v>
      </c>
      <c r="P84" s="413">
        <f t="shared" si="9"/>
        <v>0</v>
      </c>
      <c r="Q84" s="411">
        <f>'Sch4-Cost Savings by ECM'!AB84</f>
        <v>0</v>
      </c>
      <c r="R84" s="411">
        <f t="shared" si="13"/>
        <v>0</v>
      </c>
      <c r="S84" s="411">
        <f t="shared" si="14"/>
        <v>0</v>
      </c>
      <c r="T84" s="411">
        <f t="shared" si="15"/>
        <v>0</v>
      </c>
    </row>
    <row r="85" spans="1:20" ht="16.5" thickBot="1">
      <c r="A85" s="72" t="str">
        <f>IF('Sch2a-Imp Price by ECM'!B86="","",'Sch2a-Imp Price by ECM'!B86)</f>
        <v/>
      </c>
      <c r="B85" s="139" t="str">
        <f>IF('Sch2a-Imp Price by ECM'!D86="","",'Sch2a-Imp Price by ECM'!D86)</f>
        <v/>
      </c>
      <c r="C85" s="414" t="s">
        <v>430</v>
      </c>
      <c r="D85" s="410">
        <f>'Sch4-Cost Savings by ECM'!P85</f>
        <v>0</v>
      </c>
      <c r="E85" s="410">
        <f>VLOOKUP(C85,'eGRID subregion name'!$A$2:$N$30,8,0)</f>
        <v>189.83531623683197</v>
      </c>
      <c r="F85" s="410">
        <f t="shared" si="16"/>
        <v>0</v>
      </c>
      <c r="G85" s="411">
        <f>'Sch4-Cost Savings by ECM'!T85</f>
        <v>0</v>
      </c>
      <c r="H85" s="411">
        <f>VLOOKUP("Natural Gas", 'GHG Emissions'!$D$2:$M$66,4,FALSE)+VLOOKUP("Natural Gas", 'GHG Emissions'!$D$2:$M$66,6,FALSE)*'eGRID subregion name'!$P$3+VLOOKUP("Natural Gas", 'GHG Emissions'!$D$2:$M$66,8,FALSE)*'eGRID subregion name'!$P$4</f>
        <v>53.114800000000002</v>
      </c>
      <c r="I85" s="411">
        <f t="shared" si="10"/>
        <v>0</v>
      </c>
      <c r="J85" s="411">
        <f>'Sch4-Cost Savings by ECM'!V85</f>
        <v>0</v>
      </c>
      <c r="K8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5" s="411">
        <f t="shared" si="11"/>
        <v>0</v>
      </c>
      <c r="M85" s="411">
        <f>'Sch4-Cost Savings by ECM'!X85</f>
        <v>0</v>
      </c>
      <c r="N8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5" s="411">
        <f t="shared" si="12"/>
        <v>0</v>
      </c>
      <c r="P85" s="413">
        <f t="shared" si="9"/>
        <v>0</v>
      </c>
      <c r="Q85" s="411">
        <f>'Sch4-Cost Savings by ECM'!AB85</f>
        <v>0</v>
      </c>
      <c r="R85" s="411">
        <f t="shared" si="13"/>
        <v>0</v>
      </c>
      <c r="S85" s="411">
        <f t="shared" si="14"/>
        <v>0</v>
      </c>
      <c r="T85" s="411">
        <f t="shared" si="15"/>
        <v>0</v>
      </c>
    </row>
    <row r="86" spans="1:20" ht="16.5" thickBot="1">
      <c r="A86" s="72" t="str">
        <f>IF('Sch2a-Imp Price by ECM'!B87="","",'Sch2a-Imp Price by ECM'!B87)</f>
        <v/>
      </c>
      <c r="B86" s="139" t="str">
        <f>IF('Sch2a-Imp Price by ECM'!D87="","",'Sch2a-Imp Price by ECM'!D87)</f>
        <v/>
      </c>
      <c r="C86" s="414" t="s">
        <v>430</v>
      </c>
      <c r="D86" s="410">
        <f>'Sch4-Cost Savings by ECM'!P86</f>
        <v>0</v>
      </c>
      <c r="E86" s="410">
        <f>VLOOKUP(C86,'eGRID subregion name'!$A$2:$N$30,8,0)</f>
        <v>189.83531623683197</v>
      </c>
      <c r="F86" s="410">
        <f t="shared" si="16"/>
        <v>0</v>
      </c>
      <c r="G86" s="411">
        <f>'Sch4-Cost Savings by ECM'!T86</f>
        <v>0</v>
      </c>
      <c r="H86" s="411">
        <f>VLOOKUP("Natural Gas", 'GHG Emissions'!$D$2:$M$66,4,FALSE)+VLOOKUP("Natural Gas", 'GHG Emissions'!$D$2:$M$66,6,FALSE)*'eGRID subregion name'!$P$3+VLOOKUP("Natural Gas", 'GHG Emissions'!$D$2:$M$66,8,FALSE)*'eGRID subregion name'!$P$4</f>
        <v>53.114800000000002</v>
      </c>
      <c r="I86" s="411">
        <f t="shared" si="10"/>
        <v>0</v>
      </c>
      <c r="J86" s="411">
        <f>'Sch4-Cost Savings by ECM'!V86</f>
        <v>0</v>
      </c>
      <c r="K8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6" s="411">
        <f t="shared" si="11"/>
        <v>0</v>
      </c>
      <c r="M86" s="411">
        <f>'Sch4-Cost Savings by ECM'!X86</f>
        <v>0</v>
      </c>
      <c r="N8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6" s="411">
        <f t="shared" si="12"/>
        <v>0</v>
      </c>
      <c r="P86" s="413">
        <f t="shared" si="9"/>
        <v>0</v>
      </c>
      <c r="Q86" s="411">
        <f>'Sch4-Cost Savings by ECM'!AB86</f>
        <v>0</v>
      </c>
      <c r="R86" s="411">
        <f t="shared" si="13"/>
        <v>0</v>
      </c>
      <c r="S86" s="411">
        <f t="shared" si="14"/>
        <v>0</v>
      </c>
      <c r="T86" s="411">
        <f t="shared" si="15"/>
        <v>0</v>
      </c>
    </row>
    <row r="87" spans="1:20" ht="16.5" thickBot="1">
      <c r="A87" s="72" t="str">
        <f>IF('Sch2a-Imp Price by ECM'!B88="","",'Sch2a-Imp Price by ECM'!B88)</f>
        <v/>
      </c>
      <c r="B87" s="139" t="str">
        <f>IF('Sch2a-Imp Price by ECM'!D88="","",'Sch2a-Imp Price by ECM'!D88)</f>
        <v/>
      </c>
      <c r="C87" s="414" t="s">
        <v>430</v>
      </c>
      <c r="D87" s="410">
        <f>'Sch4-Cost Savings by ECM'!P87</f>
        <v>0</v>
      </c>
      <c r="E87" s="410">
        <f>VLOOKUP(C87,'eGRID subregion name'!$A$2:$N$30,8,0)</f>
        <v>189.83531623683197</v>
      </c>
      <c r="F87" s="410">
        <f t="shared" si="16"/>
        <v>0</v>
      </c>
      <c r="G87" s="411">
        <f>'Sch4-Cost Savings by ECM'!T87</f>
        <v>0</v>
      </c>
      <c r="H87" s="411">
        <f>VLOOKUP("Natural Gas", 'GHG Emissions'!$D$2:$M$66,4,FALSE)+VLOOKUP("Natural Gas", 'GHG Emissions'!$D$2:$M$66,6,FALSE)*'eGRID subregion name'!$P$3+VLOOKUP("Natural Gas", 'GHG Emissions'!$D$2:$M$66,8,FALSE)*'eGRID subregion name'!$P$4</f>
        <v>53.114800000000002</v>
      </c>
      <c r="I87" s="411">
        <f t="shared" si="10"/>
        <v>0</v>
      </c>
      <c r="J87" s="411">
        <f>'Sch4-Cost Savings by ECM'!V87</f>
        <v>0</v>
      </c>
      <c r="K8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7" s="411">
        <f t="shared" si="11"/>
        <v>0</v>
      </c>
      <c r="M87" s="411">
        <f>'Sch4-Cost Savings by ECM'!X87</f>
        <v>0</v>
      </c>
      <c r="N8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7" s="411">
        <f t="shared" si="12"/>
        <v>0</v>
      </c>
      <c r="P87" s="413">
        <f t="shared" si="9"/>
        <v>0</v>
      </c>
      <c r="Q87" s="411">
        <f>'Sch4-Cost Savings by ECM'!AB87</f>
        <v>0</v>
      </c>
      <c r="R87" s="411">
        <f t="shared" si="13"/>
        <v>0</v>
      </c>
      <c r="S87" s="411">
        <f t="shared" si="14"/>
        <v>0</v>
      </c>
      <c r="T87" s="411">
        <f t="shared" si="15"/>
        <v>0</v>
      </c>
    </row>
    <row r="88" spans="1:20" ht="16.5" thickBot="1">
      <c r="A88" s="72" t="str">
        <f>IF('Sch2a-Imp Price by ECM'!B89="","",'Sch2a-Imp Price by ECM'!B89)</f>
        <v/>
      </c>
      <c r="B88" s="139" t="str">
        <f>IF('Sch2a-Imp Price by ECM'!D89="","",'Sch2a-Imp Price by ECM'!D89)</f>
        <v/>
      </c>
      <c r="C88" s="414" t="s">
        <v>430</v>
      </c>
      <c r="D88" s="410">
        <f>'Sch4-Cost Savings by ECM'!P88</f>
        <v>0</v>
      </c>
      <c r="E88" s="410">
        <f>VLOOKUP(C88,'eGRID subregion name'!$A$2:$N$30,8,0)</f>
        <v>189.83531623683197</v>
      </c>
      <c r="F88" s="410">
        <f t="shared" si="16"/>
        <v>0</v>
      </c>
      <c r="G88" s="411">
        <f>'Sch4-Cost Savings by ECM'!T88</f>
        <v>0</v>
      </c>
      <c r="H88" s="411">
        <f>VLOOKUP("Natural Gas", 'GHG Emissions'!$D$2:$M$66,4,FALSE)+VLOOKUP("Natural Gas", 'GHG Emissions'!$D$2:$M$66,6,FALSE)*'eGRID subregion name'!$P$3+VLOOKUP("Natural Gas", 'GHG Emissions'!$D$2:$M$66,8,FALSE)*'eGRID subregion name'!$P$4</f>
        <v>53.114800000000002</v>
      </c>
      <c r="I88" s="411">
        <f t="shared" si="10"/>
        <v>0</v>
      </c>
      <c r="J88" s="411">
        <f>'Sch4-Cost Savings by ECM'!V88</f>
        <v>0</v>
      </c>
      <c r="K8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8" s="411">
        <f t="shared" si="11"/>
        <v>0</v>
      </c>
      <c r="M88" s="411">
        <f>'Sch4-Cost Savings by ECM'!X88</f>
        <v>0</v>
      </c>
      <c r="N8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8" s="411">
        <f t="shared" si="12"/>
        <v>0</v>
      </c>
      <c r="P88" s="413">
        <f t="shared" si="9"/>
        <v>0</v>
      </c>
      <c r="Q88" s="411">
        <f>'Sch4-Cost Savings by ECM'!AB88</f>
        <v>0</v>
      </c>
      <c r="R88" s="411">
        <f t="shared" si="13"/>
        <v>0</v>
      </c>
      <c r="S88" s="411">
        <f t="shared" si="14"/>
        <v>0</v>
      </c>
      <c r="T88" s="411">
        <f t="shared" si="15"/>
        <v>0</v>
      </c>
    </row>
    <row r="89" spans="1:20" ht="16.5" thickBot="1">
      <c r="A89" s="72" t="str">
        <f>IF('Sch2a-Imp Price by ECM'!B90="","",'Sch2a-Imp Price by ECM'!B90)</f>
        <v/>
      </c>
      <c r="B89" s="139" t="str">
        <f>IF('Sch2a-Imp Price by ECM'!D90="","",'Sch2a-Imp Price by ECM'!D90)</f>
        <v/>
      </c>
      <c r="C89" s="414" t="s">
        <v>430</v>
      </c>
      <c r="D89" s="410">
        <f>'Sch4-Cost Savings by ECM'!P89</f>
        <v>0</v>
      </c>
      <c r="E89" s="410">
        <f>VLOOKUP(C89,'eGRID subregion name'!$A$2:$N$30,8,0)</f>
        <v>189.83531623683197</v>
      </c>
      <c r="F89" s="410">
        <f t="shared" si="16"/>
        <v>0</v>
      </c>
      <c r="G89" s="411">
        <f>'Sch4-Cost Savings by ECM'!T89</f>
        <v>0</v>
      </c>
      <c r="H89" s="411">
        <f>VLOOKUP("Natural Gas", 'GHG Emissions'!$D$2:$M$66,4,FALSE)+VLOOKUP("Natural Gas", 'GHG Emissions'!$D$2:$M$66,6,FALSE)*'eGRID subregion name'!$P$3+VLOOKUP("Natural Gas", 'GHG Emissions'!$D$2:$M$66,8,FALSE)*'eGRID subregion name'!$P$4</f>
        <v>53.114800000000002</v>
      </c>
      <c r="I89" s="411">
        <f t="shared" si="10"/>
        <v>0</v>
      </c>
      <c r="J89" s="411">
        <f>'Sch4-Cost Savings by ECM'!V89</f>
        <v>0</v>
      </c>
      <c r="K8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9" s="411">
        <f t="shared" si="11"/>
        <v>0</v>
      </c>
      <c r="M89" s="411">
        <f>'Sch4-Cost Savings by ECM'!X89</f>
        <v>0</v>
      </c>
      <c r="N8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9" s="411">
        <f t="shared" si="12"/>
        <v>0</v>
      </c>
      <c r="P89" s="413">
        <f t="shared" si="9"/>
        <v>0</v>
      </c>
      <c r="Q89" s="411">
        <f>'Sch4-Cost Savings by ECM'!AB89</f>
        <v>0</v>
      </c>
      <c r="R89" s="411">
        <f t="shared" si="13"/>
        <v>0</v>
      </c>
      <c r="S89" s="411">
        <f t="shared" si="14"/>
        <v>0</v>
      </c>
      <c r="T89" s="411">
        <f t="shared" si="15"/>
        <v>0</v>
      </c>
    </row>
    <row r="90" spans="1:20" ht="16.5" thickBot="1">
      <c r="A90" s="72" t="str">
        <f>IF('Sch2a-Imp Price by ECM'!B91="","",'Sch2a-Imp Price by ECM'!B91)</f>
        <v/>
      </c>
      <c r="B90" s="139" t="str">
        <f>IF('Sch2a-Imp Price by ECM'!D91="","",'Sch2a-Imp Price by ECM'!D91)</f>
        <v/>
      </c>
      <c r="C90" s="414" t="s">
        <v>430</v>
      </c>
      <c r="D90" s="410">
        <f>'Sch4-Cost Savings by ECM'!P90</f>
        <v>0</v>
      </c>
      <c r="E90" s="410">
        <f>VLOOKUP(C90,'eGRID subregion name'!$A$2:$N$30,8,0)</f>
        <v>189.83531623683197</v>
      </c>
      <c r="F90" s="410">
        <f t="shared" si="16"/>
        <v>0</v>
      </c>
      <c r="G90" s="411">
        <f>'Sch4-Cost Savings by ECM'!T90</f>
        <v>0</v>
      </c>
      <c r="H90" s="411">
        <f>VLOOKUP("Natural Gas", 'GHG Emissions'!$D$2:$M$66,4,FALSE)+VLOOKUP("Natural Gas", 'GHG Emissions'!$D$2:$M$66,6,FALSE)*'eGRID subregion name'!$P$3+VLOOKUP("Natural Gas", 'GHG Emissions'!$D$2:$M$66,8,FALSE)*'eGRID subregion name'!$P$4</f>
        <v>53.114800000000002</v>
      </c>
      <c r="I90" s="411">
        <f t="shared" si="10"/>
        <v>0</v>
      </c>
      <c r="J90" s="411">
        <f>'Sch4-Cost Savings by ECM'!V90</f>
        <v>0</v>
      </c>
      <c r="K9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0" s="411">
        <f t="shared" si="11"/>
        <v>0</v>
      </c>
      <c r="M90" s="411">
        <f>'Sch4-Cost Savings by ECM'!X90</f>
        <v>0</v>
      </c>
      <c r="N9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0" s="411">
        <f t="shared" si="12"/>
        <v>0</v>
      </c>
      <c r="P90" s="413">
        <f t="shared" si="9"/>
        <v>0</v>
      </c>
      <c r="Q90" s="411">
        <f>'Sch4-Cost Savings by ECM'!AB90</f>
        <v>0</v>
      </c>
      <c r="R90" s="411">
        <f t="shared" si="13"/>
        <v>0</v>
      </c>
      <c r="S90" s="411">
        <f t="shared" si="14"/>
        <v>0</v>
      </c>
      <c r="T90" s="411">
        <f t="shared" si="15"/>
        <v>0</v>
      </c>
    </row>
    <row r="91" spans="1:20" ht="16.5" thickBot="1">
      <c r="A91" s="72" t="str">
        <f>IF('Sch2a-Imp Price by ECM'!B92="","",'Sch2a-Imp Price by ECM'!B92)</f>
        <v/>
      </c>
      <c r="B91" s="139" t="str">
        <f>IF('Sch2a-Imp Price by ECM'!D92="","",'Sch2a-Imp Price by ECM'!D92)</f>
        <v/>
      </c>
      <c r="C91" s="414" t="s">
        <v>430</v>
      </c>
      <c r="D91" s="410">
        <f>'Sch4-Cost Savings by ECM'!P91</f>
        <v>0</v>
      </c>
      <c r="E91" s="410">
        <f>VLOOKUP(C91,'eGRID subregion name'!$A$2:$N$30,8,0)</f>
        <v>189.83531623683197</v>
      </c>
      <c r="F91" s="410">
        <f t="shared" si="16"/>
        <v>0</v>
      </c>
      <c r="G91" s="411">
        <f>'Sch4-Cost Savings by ECM'!T91</f>
        <v>0</v>
      </c>
      <c r="H91" s="411">
        <f>VLOOKUP("Natural Gas", 'GHG Emissions'!$D$2:$M$66,4,FALSE)+VLOOKUP("Natural Gas", 'GHG Emissions'!$D$2:$M$66,6,FALSE)*'eGRID subregion name'!$P$3+VLOOKUP("Natural Gas", 'GHG Emissions'!$D$2:$M$66,8,FALSE)*'eGRID subregion name'!$P$4</f>
        <v>53.114800000000002</v>
      </c>
      <c r="I91" s="411">
        <f t="shared" si="10"/>
        <v>0</v>
      </c>
      <c r="J91" s="411">
        <f>'Sch4-Cost Savings by ECM'!V91</f>
        <v>0</v>
      </c>
      <c r="K9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1" s="411">
        <f t="shared" si="11"/>
        <v>0</v>
      </c>
      <c r="M91" s="411">
        <f>'Sch4-Cost Savings by ECM'!X91</f>
        <v>0</v>
      </c>
      <c r="N9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1" s="411">
        <f t="shared" si="12"/>
        <v>0</v>
      </c>
      <c r="P91" s="413">
        <f t="shared" si="9"/>
        <v>0</v>
      </c>
      <c r="Q91" s="411">
        <f>'Sch4-Cost Savings by ECM'!AB91</f>
        <v>0</v>
      </c>
      <c r="R91" s="411">
        <f t="shared" si="13"/>
        <v>0</v>
      </c>
      <c r="S91" s="411">
        <f t="shared" si="14"/>
        <v>0</v>
      </c>
      <c r="T91" s="411">
        <f t="shared" si="15"/>
        <v>0</v>
      </c>
    </row>
    <row r="92" spans="1:20" ht="16.5" thickBot="1">
      <c r="A92" s="72" t="str">
        <f>IF('Sch2a-Imp Price by ECM'!B93="","",'Sch2a-Imp Price by ECM'!B93)</f>
        <v/>
      </c>
      <c r="B92" s="139" t="str">
        <f>IF('Sch2a-Imp Price by ECM'!D93="","",'Sch2a-Imp Price by ECM'!D93)</f>
        <v/>
      </c>
      <c r="C92" s="414" t="s">
        <v>430</v>
      </c>
      <c r="D92" s="410">
        <f>'Sch4-Cost Savings by ECM'!P92</f>
        <v>0</v>
      </c>
      <c r="E92" s="410">
        <f>VLOOKUP(C92,'eGRID subregion name'!$A$2:$N$30,8,0)</f>
        <v>189.83531623683197</v>
      </c>
      <c r="F92" s="410">
        <f t="shared" si="16"/>
        <v>0</v>
      </c>
      <c r="G92" s="411">
        <f>'Sch4-Cost Savings by ECM'!T92</f>
        <v>0</v>
      </c>
      <c r="H92" s="411">
        <f>VLOOKUP("Natural Gas", 'GHG Emissions'!$D$2:$M$66,4,FALSE)+VLOOKUP("Natural Gas", 'GHG Emissions'!$D$2:$M$66,6,FALSE)*'eGRID subregion name'!$P$3+VLOOKUP("Natural Gas", 'GHG Emissions'!$D$2:$M$66,8,FALSE)*'eGRID subregion name'!$P$4</f>
        <v>53.114800000000002</v>
      </c>
      <c r="I92" s="411">
        <f t="shared" si="10"/>
        <v>0</v>
      </c>
      <c r="J92" s="411">
        <f>'Sch4-Cost Savings by ECM'!V92</f>
        <v>0</v>
      </c>
      <c r="K9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2" s="411">
        <f t="shared" si="11"/>
        <v>0</v>
      </c>
      <c r="M92" s="411">
        <f>'Sch4-Cost Savings by ECM'!X92</f>
        <v>0</v>
      </c>
      <c r="N9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2" s="411">
        <f t="shared" si="12"/>
        <v>0</v>
      </c>
      <c r="P92" s="413">
        <f t="shared" si="9"/>
        <v>0</v>
      </c>
      <c r="Q92" s="411">
        <f>'Sch4-Cost Savings by ECM'!AB92</f>
        <v>0</v>
      </c>
      <c r="R92" s="411">
        <f t="shared" si="13"/>
        <v>0</v>
      </c>
      <c r="S92" s="411">
        <f t="shared" si="14"/>
        <v>0</v>
      </c>
      <c r="T92" s="411">
        <f t="shared" si="15"/>
        <v>0</v>
      </c>
    </row>
    <row r="93" spans="1:20" ht="16.5" thickBot="1">
      <c r="A93" s="72" t="str">
        <f>IF('Sch2a-Imp Price by ECM'!B94="","",'Sch2a-Imp Price by ECM'!B94)</f>
        <v/>
      </c>
      <c r="B93" s="139" t="str">
        <f>IF('Sch2a-Imp Price by ECM'!D94="","",'Sch2a-Imp Price by ECM'!D94)</f>
        <v/>
      </c>
      <c r="C93" s="414" t="s">
        <v>430</v>
      </c>
      <c r="D93" s="410">
        <f>'Sch4-Cost Savings by ECM'!P93</f>
        <v>0</v>
      </c>
      <c r="E93" s="410">
        <f>VLOOKUP(C93,'eGRID subregion name'!$A$2:$N$30,8,0)</f>
        <v>189.83531623683197</v>
      </c>
      <c r="F93" s="410">
        <f t="shared" si="16"/>
        <v>0</v>
      </c>
      <c r="G93" s="411">
        <f>'Sch4-Cost Savings by ECM'!T93</f>
        <v>0</v>
      </c>
      <c r="H93" s="411">
        <f>VLOOKUP("Natural Gas", 'GHG Emissions'!$D$2:$M$66,4,FALSE)+VLOOKUP("Natural Gas", 'GHG Emissions'!$D$2:$M$66,6,FALSE)*'eGRID subregion name'!$P$3+VLOOKUP("Natural Gas", 'GHG Emissions'!$D$2:$M$66,8,FALSE)*'eGRID subregion name'!$P$4</f>
        <v>53.114800000000002</v>
      </c>
      <c r="I93" s="411">
        <f t="shared" si="10"/>
        <v>0</v>
      </c>
      <c r="J93" s="411">
        <f>'Sch4-Cost Savings by ECM'!V93</f>
        <v>0</v>
      </c>
      <c r="K9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3" s="411">
        <f t="shared" si="11"/>
        <v>0</v>
      </c>
      <c r="M93" s="411">
        <f>'Sch4-Cost Savings by ECM'!X93</f>
        <v>0</v>
      </c>
      <c r="N9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3" s="411">
        <f t="shared" si="12"/>
        <v>0</v>
      </c>
      <c r="P93" s="413">
        <f t="shared" si="9"/>
        <v>0</v>
      </c>
      <c r="Q93" s="411">
        <f>'Sch4-Cost Savings by ECM'!AB93</f>
        <v>0</v>
      </c>
      <c r="R93" s="411">
        <f t="shared" si="13"/>
        <v>0</v>
      </c>
      <c r="S93" s="411">
        <f t="shared" si="14"/>
        <v>0</v>
      </c>
      <c r="T93" s="411">
        <f t="shared" si="15"/>
        <v>0</v>
      </c>
    </row>
    <row r="94" spans="1:20" ht="16.5" thickBot="1">
      <c r="A94" s="72" t="str">
        <f>IF('Sch2a-Imp Price by ECM'!B95="","",'Sch2a-Imp Price by ECM'!B95)</f>
        <v/>
      </c>
      <c r="B94" s="139" t="str">
        <f>IF('Sch2a-Imp Price by ECM'!D95="","",'Sch2a-Imp Price by ECM'!D95)</f>
        <v/>
      </c>
      <c r="C94" s="414" t="s">
        <v>430</v>
      </c>
      <c r="D94" s="410">
        <f>'Sch4-Cost Savings by ECM'!P94</f>
        <v>0</v>
      </c>
      <c r="E94" s="410">
        <f>VLOOKUP(C94,'eGRID subregion name'!$A$2:$N$30,8,0)</f>
        <v>189.83531623683197</v>
      </c>
      <c r="F94" s="410">
        <f t="shared" si="16"/>
        <v>0</v>
      </c>
      <c r="G94" s="411">
        <f>'Sch4-Cost Savings by ECM'!T94</f>
        <v>0</v>
      </c>
      <c r="H94" s="411">
        <f>VLOOKUP("Natural Gas", 'GHG Emissions'!$D$2:$M$66,4,FALSE)+VLOOKUP("Natural Gas", 'GHG Emissions'!$D$2:$M$66,6,FALSE)*'eGRID subregion name'!$P$3+VLOOKUP("Natural Gas", 'GHG Emissions'!$D$2:$M$66,8,FALSE)*'eGRID subregion name'!$P$4</f>
        <v>53.114800000000002</v>
      </c>
      <c r="I94" s="411">
        <f t="shared" si="10"/>
        <v>0</v>
      </c>
      <c r="J94" s="411">
        <f>'Sch4-Cost Savings by ECM'!V94</f>
        <v>0</v>
      </c>
      <c r="K9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4" s="411">
        <f t="shared" si="11"/>
        <v>0</v>
      </c>
      <c r="M94" s="411">
        <f>'Sch4-Cost Savings by ECM'!X94</f>
        <v>0</v>
      </c>
      <c r="N9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4" s="411">
        <f t="shared" si="12"/>
        <v>0</v>
      </c>
      <c r="P94" s="413">
        <f t="shared" si="9"/>
        <v>0</v>
      </c>
      <c r="Q94" s="411">
        <f>'Sch4-Cost Savings by ECM'!AB94</f>
        <v>0</v>
      </c>
      <c r="R94" s="411">
        <f t="shared" si="13"/>
        <v>0</v>
      </c>
      <c r="S94" s="411">
        <f t="shared" si="14"/>
        <v>0</v>
      </c>
      <c r="T94" s="411">
        <f t="shared" si="15"/>
        <v>0</v>
      </c>
    </row>
    <row r="95" spans="1:20" ht="16.5" thickBot="1">
      <c r="A95" s="72" t="str">
        <f>IF('Sch2a-Imp Price by ECM'!B96="","",'Sch2a-Imp Price by ECM'!B96)</f>
        <v/>
      </c>
      <c r="B95" s="139" t="str">
        <f>IF('Sch2a-Imp Price by ECM'!D96="","",'Sch2a-Imp Price by ECM'!D96)</f>
        <v/>
      </c>
      <c r="C95" s="414" t="s">
        <v>430</v>
      </c>
      <c r="D95" s="410">
        <f>'Sch4-Cost Savings by ECM'!P95</f>
        <v>0</v>
      </c>
      <c r="E95" s="410">
        <f>VLOOKUP(C95,'eGRID subregion name'!$A$2:$N$30,8,0)</f>
        <v>189.83531623683197</v>
      </c>
      <c r="F95" s="410">
        <f t="shared" si="16"/>
        <v>0</v>
      </c>
      <c r="G95" s="411">
        <f>'Sch4-Cost Savings by ECM'!T95</f>
        <v>0</v>
      </c>
      <c r="H95" s="411">
        <f>VLOOKUP("Natural Gas", 'GHG Emissions'!$D$2:$M$66,4,FALSE)+VLOOKUP("Natural Gas", 'GHG Emissions'!$D$2:$M$66,6,FALSE)*'eGRID subregion name'!$P$3+VLOOKUP("Natural Gas", 'GHG Emissions'!$D$2:$M$66,8,FALSE)*'eGRID subregion name'!$P$4</f>
        <v>53.114800000000002</v>
      </c>
      <c r="I95" s="411">
        <f t="shared" si="10"/>
        <v>0</v>
      </c>
      <c r="J95" s="411">
        <f>'Sch4-Cost Savings by ECM'!V95</f>
        <v>0</v>
      </c>
      <c r="K9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5" s="411">
        <f t="shared" si="11"/>
        <v>0</v>
      </c>
      <c r="M95" s="411">
        <f>'Sch4-Cost Savings by ECM'!X95</f>
        <v>0</v>
      </c>
      <c r="N9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5" s="411">
        <f t="shared" si="12"/>
        <v>0</v>
      </c>
      <c r="P95" s="413">
        <f t="shared" si="9"/>
        <v>0</v>
      </c>
      <c r="Q95" s="411">
        <f>'Sch4-Cost Savings by ECM'!AB95</f>
        <v>0</v>
      </c>
      <c r="R95" s="411">
        <f t="shared" si="13"/>
        <v>0</v>
      </c>
      <c r="S95" s="411">
        <f t="shared" si="14"/>
        <v>0</v>
      </c>
      <c r="T95" s="411">
        <f t="shared" si="15"/>
        <v>0</v>
      </c>
    </row>
    <row r="96" spans="1:20" ht="16.5" thickBot="1">
      <c r="A96" s="72" t="str">
        <f>IF('Sch2a-Imp Price by ECM'!B97="","",'Sch2a-Imp Price by ECM'!B97)</f>
        <v/>
      </c>
      <c r="B96" s="139" t="str">
        <f>IF('Sch2a-Imp Price by ECM'!D97="","",'Sch2a-Imp Price by ECM'!D97)</f>
        <v/>
      </c>
      <c r="C96" s="414" t="s">
        <v>430</v>
      </c>
      <c r="D96" s="410">
        <f>'Sch4-Cost Savings by ECM'!P96</f>
        <v>0</v>
      </c>
      <c r="E96" s="410">
        <f>VLOOKUP(C96,'eGRID subregion name'!$A$2:$N$30,8,0)</f>
        <v>189.83531623683197</v>
      </c>
      <c r="F96" s="410">
        <f t="shared" si="16"/>
        <v>0</v>
      </c>
      <c r="G96" s="411">
        <f>'Sch4-Cost Savings by ECM'!T96</f>
        <v>0</v>
      </c>
      <c r="H96" s="411">
        <f>VLOOKUP("Natural Gas", 'GHG Emissions'!$D$2:$M$66,4,FALSE)+VLOOKUP("Natural Gas", 'GHG Emissions'!$D$2:$M$66,6,FALSE)*'eGRID subregion name'!$P$3+VLOOKUP("Natural Gas", 'GHG Emissions'!$D$2:$M$66,8,FALSE)*'eGRID subregion name'!$P$4</f>
        <v>53.114800000000002</v>
      </c>
      <c r="I96" s="411">
        <f t="shared" si="10"/>
        <v>0</v>
      </c>
      <c r="J96" s="411">
        <f>'Sch4-Cost Savings by ECM'!V96</f>
        <v>0</v>
      </c>
      <c r="K9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6" s="411">
        <f t="shared" si="11"/>
        <v>0</v>
      </c>
      <c r="M96" s="411">
        <f>'Sch4-Cost Savings by ECM'!X96</f>
        <v>0</v>
      </c>
      <c r="N9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6" s="411">
        <f t="shared" si="12"/>
        <v>0</v>
      </c>
      <c r="P96" s="413">
        <f t="shared" si="9"/>
        <v>0</v>
      </c>
      <c r="Q96" s="411">
        <f>'Sch4-Cost Savings by ECM'!AB96</f>
        <v>0</v>
      </c>
      <c r="R96" s="411">
        <f t="shared" si="13"/>
        <v>0</v>
      </c>
      <c r="S96" s="411">
        <f t="shared" si="14"/>
        <v>0</v>
      </c>
      <c r="T96" s="411">
        <f t="shared" si="15"/>
        <v>0</v>
      </c>
    </row>
    <row r="97" spans="1:20" ht="18" customHeight="1" thickBot="1">
      <c r="A97" s="72" t="str">
        <f>IF('Sch2a-Imp Price by ECM'!B98="","",'Sch2a-Imp Price by ECM'!B98)</f>
        <v/>
      </c>
      <c r="B97" s="139" t="str">
        <f>IF('Sch2a-Imp Price by ECM'!D98="","",'Sch2a-Imp Price by ECM'!D98)</f>
        <v/>
      </c>
      <c r="C97" s="414" t="s">
        <v>430</v>
      </c>
      <c r="D97" s="410">
        <f>'Sch4-Cost Savings by ECM'!P97</f>
        <v>0</v>
      </c>
      <c r="E97" s="410">
        <f>VLOOKUP(C97,'eGRID subregion name'!$A$2:$N$30,8,0)</f>
        <v>189.83531623683197</v>
      </c>
      <c r="F97" s="410">
        <f t="shared" si="16"/>
        <v>0</v>
      </c>
      <c r="G97" s="411">
        <f>'Sch4-Cost Savings by ECM'!T97</f>
        <v>0</v>
      </c>
      <c r="H97" s="411">
        <f>VLOOKUP("Natural Gas", 'GHG Emissions'!$D$2:$M$66,4,FALSE)+VLOOKUP("Natural Gas", 'GHG Emissions'!$D$2:$M$66,6,FALSE)*'eGRID subregion name'!$P$3+VLOOKUP("Natural Gas", 'GHG Emissions'!$D$2:$M$66,8,FALSE)*'eGRID subregion name'!$P$4</f>
        <v>53.114800000000002</v>
      </c>
      <c r="I97" s="411">
        <f t="shared" si="10"/>
        <v>0</v>
      </c>
      <c r="J97" s="411">
        <f>'Sch4-Cost Savings by ECM'!V97</f>
        <v>0</v>
      </c>
      <c r="K9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7" s="411">
        <f t="shared" si="11"/>
        <v>0</v>
      </c>
      <c r="M97" s="411">
        <f>'Sch4-Cost Savings by ECM'!X97</f>
        <v>0</v>
      </c>
      <c r="N9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7" s="411">
        <f t="shared" si="12"/>
        <v>0</v>
      </c>
      <c r="P97" s="413">
        <f t="shared" si="9"/>
        <v>0</v>
      </c>
      <c r="Q97" s="411">
        <f>'Sch4-Cost Savings by ECM'!AB97</f>
        <v>0</v>
      </c>
      <c r="R97" s="411">
        <f t="shared" si="13"/>
        <v>0</v>
      </c>
      <c r="S97" s="411">
        <f t="shared" si="14"/>
        <v>0</v>
      </c>
      <c r="T97" s="411">
        <f t="shared" si="15"/>
        <v>0</v>
      </c>
    </row>
    <row r="98" spans="1:20" ht="16.5" thickBot="1">
      <c r="A98" s="72" t="str">
        <f>IF('Sch2a-Imp Price by ECM'!B99="","",'Sch2a-Imp Price by ECM'!B99)</f>
        <v/>
      </c>
      <c r="B98" s="139" t="str">
        <f>IF('Sch2a-Imp Price by ECM'!D99="","",'Sch2a-Imp Price by ECM'!D99)</f>
        <v/>
      </c>
      <c r="C98" s="414" t="s">
        <v>430</v>
      </c>
      <c r="D98" s="410">
        <f>'Sch4-Cost Savings by ECM'!P98</f>
        <v>0</v>
      </c>
      <c r="E98" s="410">
        <f>VLOOKUP(C98,'eGRID subregion name'!$A$2:$N$30,8,0)</f>
        <v>189.83531623683197</v>
      </c>
      <c r="F98" s="410">
        <f t="shared" si="16"/>
        <v>0</v>
      </c>
      <c r="G98" s="411">
        <f>'Sch4-Cost Savings by ECM'!T98</f>
        <v>0</v>
      </c>
      <c r="H98" s="411">
        <f>VLOOKUP("Natural Gas", 'GHG Emissions'!$D$2:$M$66,4,FALSE)+VLOOKUP("Natural Gas", 'GHG Emissions'!$D$2:$M$66,6,FALSE)*'eGRID subregion name'!$P$3+VLOOKUP("Natural Gas", 'GHG Emissions'!$D$2:$M$66,8,FALSE)*'eGRID subregion name'!$P$4</f>
        <v>53.114800000000002</v>
      </c>
      <c r="I98" s="411">
        <f t="shared" si="10"/>
        <v>0</v>
      </c>
      <c r="J98" s="411">
        <f>'Sch4-Cost Savings by ECM'!V98</f>
        <v>0</v>
      </c>
      <c r="K9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8" s="411">
        <f t="shared" si="11"/>
        <v>0</v>
      </c>
      <c r="M98" s="411">
        <f>'Sch4-Cost Savings by ECM'!X98</f>
        <v>0</v>
      </c>
      <c r="N9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8" s="411">
        <f t="shared" si="12"/>
        <v>0</v>
      </c>
      <c r="P98" s="413">
        <f t="shared" si="9"/>
        <v>0</v>
      </c>
      <c r="Q98" s="411">
        <f>'Sch4-Cost Savings by ECM'!AB98</f>
        <v>0</v>
      </c>
      <c r="R98" s="411">
        <f t="shared" si="13"/>
        <v>0</v>
      </c>
      <c r="S98" s="411">
        <f t="shared" si="14"/>
        <v>0</v>
      </c>
      <c r="T98" s="411">
        <f t="shared" si="15"/>
        <v>0</v>
      </c>
    </row>
    <row r="99" spans="1:20" ht="16.5" thickBot="1">
      <c r="A99" s="72" t="str">
        <f>IF('Sch2a-Imp Price by ECM'!B100="","",'Sch2a-Imp Price by ECM'!B100)</f>
        <v/>
      </c>
      <c r="B99" s="139" t="str">
        <f>IF('Sch2a-Imp Price by ECM'!D100="","",'Sch2a-Imp Price by ECM'!D100)</f>
        <v/>
      </c>
      <c r="C99" s="414" t="s">
        <v>430</v>
      </c>
      <c r="D99" s="410">
        <f>'Sch4-Cost Savings by ECM'!P99</f>
        <v>0</v>
      </c>
      <c r="E99" s="410">
        <f>VLOOKUP(C99,'eGRID subregion name'!$A$2:$N$30,8,0)</f>
        <v>189.83531623683197</v>
      </c>
      <c r="F99" s="410">
        <f t="shared" si="16"/>
        <v>0</v>
      </c>
      <c r="G99" s="411">
        <f>'Sch4-Cost Savings by ECM'!T99</f>
        <v>0</v>
      </c>
      <c r="H99" s="411">
        <f>VLOOKUP("Natural Gas", 'GHG Emissions'!$D$2:$M$66,4,FALSE)+VLOOKUP("Natural Gas", 'GHG Emissions'!$D$2:$M$66,6,FALSE)*'eGRID subregion name'!$P$3+VLOOKUP("Natural Gas", 'GHG Emissions'!$D$2:$M$66,8,FALSE)*'eGRID subregion name'!$P$4</f>
        <v>53.114800000000002</v>
      </c>
      <c r="I99" s="411">
        <f t="shared" si="10"/>
        <v>0</v>
      </c>
      <c r="J99" s="411">
        <f>'Sch4-Cost Savings by ECM'!V99</f>
        <v>0</v>
      </c>
      <c r="K9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9" s="411">
        <f t="shared" si="11"/>
        <v>0</v>
      </c>
      <c r="M99" s="411">
        <f>'Sch4-Cost Savings by ECM'!X99</f>
        <v>0</v>
      </c>
      <c r="N9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9" s="411">
        <f t="shared" si="12"/>
        <v>0</v>
      </c>
      <c r="P99" s="413">
        <f t="shared" si="9"/>
        <v>0</v>
      </c>
      <c r="Q99" s="411">
        <f>'Sch4-Cost Savings by ECM'!AB99</f>
        <v>0</v>
      </c>
      <c r="R99" s="411">
        <f t="shared" si="13"/>
        <v>0</v>
      </c>
      <c r="S99" s="411">
        <f t="shared" si="14"/>
        <v>0</v>
      </c>
      <c r="T99" s="411">
        <f t="shared" si="15"/>
        <v>0</v>
      </c>
    </row>
    <row r="100" spans="1:20" ht="16.5" thickBot="1">
      <c r="A100" s="72" t="str">
        <f>IF('Sch2a-Imp Price by ECM'!B101="","",'Sch2a-Imp Price by ECM'!B101)</f>
        <v/>
      </c>
      <c r="B100" s="139" t="str">
        <f>IF('Sch2a-Imp Price by ECM'!D101="","",'Sch2a-Imp Price by ECM'!D101)</f>
        <v/>
      </c>
      <c r="C100" s="414" t="s">
        <v>430</v>
      </c>
      <c r="D100" s="410">
        <f>'Sch4-Cost Savings by ECM'!P100</f>
        <v>0</v>
      </c>
      <c r="E100" s="410">
        <f>VLOOKUP(C100,'eGRID subregion name'!$A$2:$N$30,8,0)</f>
        <v>189.83531623683197</v>
      </c>
      <c r="F100" s="410">
        <f t="shared" si="16"/>
        <v>0</v>
      </c>
      <c r="G100" s="411">
        <f>'Sch4-Cost Savings by ECM'!T100</f>
        <v>0</v>
      </c>
      <c r="H100" s="411">
        <f>VLOOKUP("Natural Gas", 'GHG Emissions'!$D$2:$M$66,4,FALSE)+VLOOKUP("Natural Gas", 'GHG Emissions'!$D$2:$M$66,6,FALSE)*'eGRID subregion name'!$P$3+VLOOKUP("Natural Gas", 'GHG Emissions'!$D$2:$M$66,8,FALSE)*'eGRID subregion name'!$P$4</f>
        <v>53.114800000000002</v>
      </c>
      <c r="I100" s="411">
        <f t="shared" si="10"/>
        <v>0</v>
      </c>
      <c r="J100" s="411">
        <f>'Sch4-Cost Savings by ECM'!V100</f>
        <v>0</v>
      </c>
      <c r="K10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0" s="411">
        <f t="shared" si="11"/>
        <v>0</v>
      </c>
      <c r="M100" s="411">
        <f>'Sch4-Cost Savings by ECM'!X100</f>
        <v>0</v>
      </c>
      <c r="N10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0" s="411">
        <f t="shared" si="12"/>
        <v>0</v>
      </c>
      <c r="P100" s="413">
        <f t="shared" si="9"/>
        <v>0</v>
      </c>
      <c r="Q100" s="411">
        <f>'Sch4-Cost Savings by ECM'!AB100</f>
        <v>0</v>
      </c>
      <c r="R100" s="411">
        <f t="shared" si="13"/>
        <v>0</v>
      </c>
      <c r="S100" s="411">
        <f t="shared" si="14"/>
        <v>0</v>
      </c>
      <c r="T100" s="411">
        <f t="shared" si="15"/>
        <v>0</v>
      </c>
    </row>
    <row r="101" spans="1:20" ht="16.5" thickBot="1">
      <c r="A101" s="72" t="str">
        <f>IF('Sch2a-Imp Price by ECM'!B102="","",'Sch2a-Imp Price by ECM'!B102)</f>
        <v/>
      </c>
      <c r="B101" s="139" t="str">
        <f>IF('Sch2a-Imp Price by ECM'!D102="","",'Sch2a-Imp Price by ECM'!D102)</f>
        <v/>
      </c>
      <c r="C101" s="414" t="s">
        <v>430</v>
      </c>
      <c r="D101" s="410">
        <f>'Sch4-Cost Savings by ECM'!P101</f>
        <v>0</v>
      </c>
      <c r="E101" s="410">
        <f>VLOOKUP(C101,'eGRID subregion name'!$A$2:$N$30,8,0)</f>
        <v>189.83531623683197</v>
      </c>
      <c r="F101" s="410">
        <f t="shared" si="16"/>
        <v>0</v>
      </c>
      <c r="G101" s="411">
        <f>'Sch4-Cost Savings by ECM'!T101</f>
        <v>0</v>
      </c>
      <c r="H101" s="411">
        <f>VLOOKUP("Natural Gas", 'GHG Emissions'!$D$2:$M$66,4,FALSE)+VLOOKUP("Natural Gas", 'GHG Emissions'!$D$2:$M$66,6,FALSE)*'eGRID subregion name'!$P$3+VLOOKUP("Natural Gas", 'GHG Emissions'!$D$2:$M$66,8,FALSE)*'eGRID subregion name'!$P$4</f>
        <v>53.114800000000002</v>
      </c>
      <c r="I101" s="411">
        <f t="shared" si="10"/>
        <v>0</v>
      </c>
      <c r="J101" s="411">
        <f>'Sch4-Cost Savings by ECM'!V101</f>
        <v>0</v>
      </c>
      <c r="K10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1" s="411">
        <f t="shared" si="11"/>
        <v>0</v>
      </c>
      <c r="M101" s="411">
        <f>'Sch4-Cost Savings by ECM'!X101</f>
        <v>0</v>
      </c>
      <c r="N10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1" s="411">
        <f t="shared" si="12"/>
        <v>0</v>
      </c>
      <c r="P101" s="413">
        <f t="shared" si="9"/>
        <v>0</v>
      </c>
      <c r="Q101" s="411">
        <f>'Sch4-Cost Savings by ECM'!AB101</f>
        <v>0</v>
      </c>
      <c r="R101" s="411">
        <f t="shared" si="13"/>
        <v>0</v>
      </c>
      <c r="S101" s="411">
        <f t="shared" si="14"/>
        <v>0</v>
      </c>
      <c r="T101" s="411">
        <f t="shared" si="15"/>
        <v>0</v>
      </c>
    </row>
    <row r="102" spans="1:20" ht="16.5" thickBot="1">
      <c r="A102" s="72" t="str">
        <f>IF('Sch2a-Imp Price by ECM'!B103="","",'Sch2a-Imp Price by ECM'!B103)</f>
        <v/>
      </c>
      <c r="B102" s="139" t="str">
        <f>IF('Sch2a-Imp Price by ECM'!D103="","",'Sch2a-Imp Price by ECM'!D103)</f>
        <v/>
      </c>
      <c r="C102" s="414" t="s">
        <v>430</v>
      </c>
      <c r="D102" s="410">
        <f>'Sch4-Cost Savings by ECM'!P102</f>
        <v>0</v>
      </c>
      <c r="E102" s="410">
        <f>VLOOKUP(C102,'eGRID subregion name'!$A$2:$N$30,8,0)</f>
        <v>189.83531623683197</v>
      </c>
      <c r="F102" s="410">
        <f t="shared" si="16"/>
        <v>0</v>
      </c>
      <c r="G102" s="411">
        <f>'Sch4-Cost Savings by ECM'!T102</f>
        <v>0</v>
      </c>
      <c r="H102" s="411">
        <f>VLOOKUP("Natural Gas", 'GHG Emissions'!$D$2:$M$66,4,FALSE)+VLOOKUP("Natural Gas", 'GHG Emissions'!$D$2:$M$66,6,FALSE)*'eGRID subregion name'!$P$3+VLOOKUP("Natural Gas", 'GHG Emissions'!$D$2:$M$66,8,FALSE)*'eGRID subregion name'!$P$4</f>
        <v>53.114800000000002</v>
      </c>
      <c r="I102" s="411">
        <f t="shared" si="10"/>
        <v>0</v>
      </c>
      <c r="J102" s="411">
        <f>'Sch4-Cost Savings by ECM'!V102</f>
        <v>0</v>
      </c>
      <c r="K10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2" s="411">
        <f t="shared" si="11"/>
        <v>0</v>
      </c>
      <c r="M102" s="411">
        <f>'Sch4-Cost Savings by ECM'!X102</f>
        <v>0</v>
      </c>
      <c r="N10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2" s="411">
        <f t="shared" si="12"/>
        <v>0</v>
      </c>
      <c r="P102" s="413">
        <f t="shared" si="9"/>
        <v>0</v>
      </c>
      <c r="Q102" s="411">
        <f>'Sch4-Cost Savings by ECM'!AB102</f>
        <v>0</v>
      </c>
      <c r="R102" s="411">
        <f t="shared" si="13"/>
        <v>0</v>
      </c>
      <c r="S102" s="411">
        <f t="shared" si="14"/>
        <v>0</v>
      </c>
      <c r="T102" s="411">
        <f t="shared" si="15"/>
        <v>0</v>
      </c>
    </row>
    <row r="103" spans="1:20" ht="16.5" thickBot="1">
      <c r="A103" s="72" t="str">
        <f>IF('Sch2a-Imp Price by ECM'!B104="","",'Sch2a-Imp Price by ECM'!B104)</f>
        <v/>
      </c>
      <c r="B103" s="139" t="str">
        <f>IF('Sch2a-Imp Price by ECM'!D104="","",'Sch2a-Imp Price by ECM'!D104)</f>
        <v/>
      </c>
      <c r="C103" s="414" t="s">
        <v>430</v>
      </c>
      <c r="D103" s="410">
        <f>'Sch4-Cost Savings by ECM'!P103</f>
        <v>0</v>
      </c>
      <c r="E103" s="410">
        <f>VLOOKUP(C103,'eGRID subregion name'!$A$2:$N$30,8,0)</f>
        <v>189.83531623683197</v>
      </c>
      <c r="F103" s="410">
        <f t="shared" si="16"/>
        <v>0</v>
      </c>
      <c r="G103" s="411">
        <f>'Sch4-Cost Savings by ECM'!T103</f>
        <v>0</v>
      </c>
      <c r="H103" s="411">
        <f>VLOOKUP("Natural Gas", 'GHG Emissions'!$D$2:$M$66,4,FALSE)+VLOOKUP("Natural Gas", 'GHG Emissions'!$D$2:$M$66,6,FALSE)*'eGRID subregion name'!$P$3+VLOOKUP("Natural Gas", 'GHG Emissions'!$D$2:$M$66,8,FALSE)*'eGRID subregion name'!$P$4</f>
        <v>53.114800000000002</v>
      </c>
      <c r="I103" s="411">
        <f t="shared" si="10"/>
        <v>0</v>
      </c>
      <c r="J103" s="411">
        <f>'Sch4-Cost Savings by ECM'!V103</f>
        <v>0</v>
      </c>
      <c r="K10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3" s="411">
        <f t="shared" si="11"/>
        <v>0</v>
      </c>
      <c r="M103" s="411">
        <f>'Sch4-Cost Savings by ECM'!X103</f>
        <v>0</v>
      </c>
      <c r="N10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3" s="411">
        <f t="shared" si="12"/>
        <v>0</v>
      </c>
      <c r="P103" s="413">
        <f t="shared" si="9"/>
        <v>0</v>
      </c>
      <c r="Q103" s="411">
        <f>'Sch4-Cost Savings by ECM'!AB103</f>
        <v>0</v>
      </c>
      <c r="R103" s="411">
        <f t="shared" si="13"/>
        <v>0</v>
      </c>
      <c r="S103" s="411">
        <f t="shared" si="14"/>
        <v>0</v>
      </c>
      <c r="T103" s="411">
        <f t="shared" si="15"/>
        <v>0</v>
      </c>
    </row>
    <row r="104" spans="1:20" ht="16.5" thickBot="1">
      <c r="A104" s="72" t="str">
        <f>IF('Sch2a-Imp Price by ECM'!B105="","",'Sch2a-Imp Price by ECM'!B105)</f>
        <v/>
      </c>
      <c r="B104" s="139" t="str">
        <f>IF('Sch2a-Imp Price by ECM'!D105="","",'Sch2a-Imp Price by ECM'!D105)</f>
        <v/>
      </c>
      <c r="C104" s="414" t="s">
        <v>430</v>
      </c>
      <c r="D104" s="410">
        <f>'Sch4-Cost Savings by ECM'!P104</f>
        <v>0</v>
      </c>
      <c r="E104" s="410">
        <f>VLOOKUP(C104,'eGRID subregion name'!$A$2:$N$30,8,0)</f>
        <v>189.83531623683197</v>
      </c>
      <c r="F104" s="410">
        <f t="shared" si="16"/>
        <v>0</v>
      </c>
      <c r="G104" s="411">
        <f>'Sch4-Cost Savings by ECM'!T104</f>
        <v>0</v>
      </c>
      <c r="H104" s="411">
        <f>VLOOKUP("Natural Gas", 'GHG Emissions'!$D$2:$M$66,4,FALSE)+VLOOKUP("Natural Gas", 'GHG Emissions'!$D$2:$M$66,6,FALSE)*'eGRID subregion name'!$P$3+VLOOKUP("Natural Gas", 'GHG Emissions'!$D$2:$M$66,8,FALSE)*'eGRID subregion name'!$P$4</f>
        <v>53.114800000000002</v>
      </c>
      <c r="I104" s="411">
        <f t="shared" si="10"/>
        <v>0</v>
      </c>
      <c r="J104" s="411">
        <f>'Sch4-Cost Savings by ECM'!V104</f>
        <v>0</v>
      </c>
      <c r="K10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4" s="411">
        <f t="shared" si="11"/>
        <v>0</v>
      </c>
      <c r="M104" s="411">
        <f>'Sch4-Cost Savings by ECM'!X104</f>
        <v>0</v>
      </c>
      <c r="N10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4" s="411">
        <f t="shared" si="12"/>
        <v>0</v>
      </c>
      <c r="P104" s="413">
        <f t="shared" si="9"/>
        <v>0</v>
      </c>
      <c r="Q104" s="411">
        <f>'Sch4-Cost Savings by ECM'!AB104</f>
        <v>0</v>
      </c>
      <c r="R104" s="411">
        <f t="shared" si="13"/>
        <v>0</v>
      </c>
      <c r="S104" s="411">
        <f t="shared" si="14"/>
        <v>0</v>
      </c>
      <c r="T104" s="411">
        <f t="shared" si="15"/>
        <v>0</v>
      </c>
    </row>
    <row r="105" spans="1:20" ht="16.5" thickBot="1">
      <c r="A105" s="72" t="str">
        <f>IF('Sch2a-Imp Price by ECM'!B106="","",'Sch2a-Imp Price by ECM'!B106)</f>
        <v/>
      </c>
      <c r="B105" s="139" t="str">
        <f>IF('Sch2a-Imp Price by ECM'!D106="","",'Sch2a-Imp Price by ECM'!D106)</f>
        <v/>
      </c>
      <c r="C105" s="414" t="s">
        <v>430</v>
      </c>
      <c r="D105" s="410">
        <f>'Sch4-Cost Savings by ECM'!P105</f>
        <v>0</v>
      </c>
      <c r="E105" s="410">
        <f>VLOOKUP(C105,'eGRID subregion name'!$A$2:$N$30,8,0)</f>
        <v>189.83531623683197</v>
      </c>
      <c r="F105" s="410">
        <f t="shared" si="16"/>
        <v>0</v>
      </c>
      <c r="G105" s="411">
        <f>'Sch4-Cost Savings by ECM'!T105</f>
        <v>0</v>
      </c>
      <c r="H105" s="411">
        <f>VLOOKUP("Natural Gas", 'GHG Emissions'!$D$2:$M$66,4,FALSE)+VLOOKUP("Natural Gas", 'GHG Emissions'!$D$2:$M$66,6,FALSE)*'eGRID subregion name'!$P$3+VLOOKUP("Natural Gas", 'GHG Emissions'!$D$2:$M$66,8,FALSE)*'eGRID subregion name'!$P$4</f>
        <v>53.114800000000002</v>
      </c>
      <c r="I105" s="411">
        <f t="shared" si="10"/>
        <v>0</v>
      </c>
      <c r="J105" s="411">
        <f>'Sch4-Cost Savings by ECM'!V105</f>
        <v>0</v>
      </c>
      <c r="K10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5" s="411">
        <f t="shared" si="11"/>
        <v>0</v>
      </c>
      <c r="M105" s="411">
        <f>'Sch4-Cost Savings by ECM'!X105</f>
        <v>0</v>
      </c>
      <c r="N10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5" s="411">
        <f t="shared" si="12"/>
        <v>0</v>
      </c>
      <c r="P105" s="413">
        <f t="shared" si="9"/>
        <v>0</v>
      </c>
      <c r="Q105" s="411">
        <f>'Sch4-Cost Savings by ECM'!AB105</f>
        <v>0</v>
      </c>
      <c r="R105" s="411">
        <f t="shared" si="13"/>
        <v>0</v>
      </c>
      <c r="S105" s="411">
        <f t="shared" si="14"/>
        <v>0</v>
      </c>
      <c r="T105" s="411">
        <f t="shared" si="15"/>
        <v>0</v>
      </c>
    </row>
    <row r="106" spans="1:20" ht="16.5" thickBot="1">
      <c r="A106" s="72" t="str">
        <f>IF('Sch2a-Imp Price by ECM'!B107="","",'Sch2a-Imp Price by ECM'!B107)</f>
        <v/>
      </c>
      <c r="B106" s="139" t="str">
        <f>IF('Sch2a-Imp Price by ECM'!D107="","",'Sch2a-Imp Price by ECM'!D107)</f>
        <v/>
      </c>
      <c r="C106" s="414" t="s">
        <v>430</v>
      </c>
      <c r="D106" s="410">
        <f>'Sch4-Cost Savings by ECM'!P106</f>
        <v>0</v>
      </c>
      <c r="E106" s="410">
        <f>VLOOKUP(C106,'eGRID subregion name'!$A$2:$N$30,8,0)</f>
        <v>189.83531623683197</v>
      </c>
      <c r="F106" s="410">
        <f t="shared" si="16"/>
        <v>0</v>
      </c>
      <c r="G106" s="411">
        <f>'Sch4-Cost Savings by ECM'!T106</f>
        <v>0</v>
      </c>
      <c r="H106" s="411">
        <f>VLOOKUP("Natural Gas", 'GHG Emissions'!$D$2:$M$66,4,FALSE)+VLOOKUP("Natural Gas", 'GHG Emissions'!$D$2:$M$66,6,FALSE)*'eGRID subregion name'!$P$3+VLOOKUP("Natural Gas", 'GHG Emissions'!$D$2:$M$66,8,FALSE)*'eGRID subregion name'!$P$4</f>
        <v>53.114800000000002</v>
      </c>
      <c r="I106" s="411">
        <f t="shared" si="10"/>
        <v>0</v>
      </c>
      <c r="J106" s="411">
        <f>'Sch4-Cost Savings by ECM'!V106</f>
        <v>0</v>
      </c>
      <c r="K10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6" s="411">
        <f t="shared" si="11"/>
        <v>0</v>
      </c>
      <c r="M106" s="411">
        <f>'Sch4-Cost Savings by ECM'!X106</f>
        <v>0</v>
      </c>
      <c r="N10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6" s="411">
        <f t="shared" si="12"/>
        <v>0</v>
      </c>
      <c r="P106" s="413">
        <f t="shared" si="9"/>
        <v>0</v>
      </c>
      <c r="Q106" s="411">
        <f>'Sch4-Cost Savings by ECM'!AB106</f>
        <v>0</v>
      </c>
      <c r="R106" s="411">
        <f t="shared" si="13"/>
        <v>0</v>
      </c>
      <c r="S106" s="411">
        <f t="shared" si="14"/>
        <v>0</v>
      </c>
      <c r="T106" s="411">
        <f t="shared" si="15"/>
        <v>0</v>
      </c>
    </row>
    <row r="107" spans="1:20" ht="16.5" thickBot="1">
      <c r="A107" s="72" t="str">
        <f>IF('Sch2a-Imp Price by ECM'!B108="","",'Sch2a-Imp Price by ECM'!B108)</f>
        <v/>
      </c>
      <c r="B107" s="139" t="str">
        <f>IF('Sch2a-Imp Price by ECM'!D108="","",'Sch2a-Imp Price by ECM'!D108)</f>
        <v/>
      </c>
      <c r="C107" s="414" t="s">
        <v>430</v>
      </c>
      <c r="D107" s="410">
        <f>'Sch4-Cost Savings by ECM'!P107</f>
        <v>0</v>
      </c>
      <c r="E107" s="410">
        <f>VLOOKUP(C107,'eGRID subregion name'!$A$2:$N$30,8,0)</f>
        <v>189.83531623683197</v>
      </c>
      <c r="F107" s="410">
        <f t="shared" si="16"/>
        <v>0</v>
      </c>
      <c r="G107" s="411">
        <f>'Sch4-Cost Savings by ECM'!T107</f>
        <v>0</v>
      </c>
      <c r="H107" s="411">
        <f>VLOOKUP("Natural Gas", 'GHG Emissions'!$D$2:$M$66,4,FALSE)+VLOOKUP("Natural Gas", 'GHG Emissions'!$D$2:$M$66,6,FALSE)*'eGRID subregion name'!$P$3+VLOOKUP("Natural Gas", 'GHG Emissions'!$D$2:$M$66,8,FALSE)*'eGRID subregion name'!$P$4</f>
        <v>53.114800000000002</v>
      </c>
      <c r="I107" s="411">
        <f t="shared" si="10"/>
        <v>0</v>
      </c>
      <c r="J107" s="411">
        <f>'Sch4-Cost Savings by ECM'!V107</f>
        <v>0</v>
      </c>
      <c r="K10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7" s="411">
        <f t="shared" si="11"/>
        <v>0</v>
      </c>
      <c r="M107" s="411">
        <f>'Sch4-Cost Savings by ECM'!X107</f>
        <v>0</v>
      </c>
      <c r="N10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7" s="411">
        <f t="shared" si="12"/>
        <v>0</v>
      </c>
      <c r="P107" s="413">
        <f t="shared" si="9"/>
        <v>0</v>
      </c>
      <c r="Q107" s="411">
        <f>'Sch4-Cost Savings by ECM'!AB107</f>
        <v>0</v>
      </c>
      <c r="R107" s="411">
        <f t="shared" si="13"/>
        <v>0</v>
      </c>
      <c r="S107" s="411">
        <f t="shared" si="14"/>
        <v>0</v>
      </c>
      <c r="T107" s="411">
        <f t="shared" si="15"/>
        <v>0</v>
      </c>
    </row>
    <row r="108" spans="1:20" ht="16.5" thickBot="1">
      <c r="A108" s="72" t="str">
        <f>IF('Sch2a-Imp Price by ECM'!B109="","",'Sch2a-Imp Price by ECM'!B109)</f>
        <v/>
      </c>
      <c r="B108" s="139" t="str">
        <f>IF('Sch2a-Imp Price by ECM'!D109="","",'Sch2a-Imp Price by ECM'!D109)</f>
        <v/>
      </c>
      <c r="C108" s="414" t="s">
        <v>430</v>
      </c>
      <c r="D108" s="410">
        <f>'Sch4-Cost Savings by ECM'!P108</f>
        <v>0</v>
      </c>
      <c r="E108" s="410">
        <f>VLOOKUP(C108,'eGRID subregion name'!$A$2:$N$30,8,0)</f>
        <v>189.83531623683197</v>
      </c>
      <c r="F108" s="410">
        <f t="shared" si="16"/>
        <v>0</v>
      </c>
      <c r="G108" s="411">
        <f>'Sch4-Cost Savings by ECM'!T108</f>
        <v>0</v>
      </c>
      <c r="H108" s="411">
        <f>VLOOKUP("Natural Gas", 'GHG Emissions'!$D$2:$M$66,4,FALSE)+VLOOKUP("Natural Gas", 'GHG Emissions'!$D$2:$M$66,6,FALSE)*'eGRID subregion name'!$P$3+VLOOKUP("Natural Gas", 'GHG Emissions'!$D$2:$M$66,8,FALSE)*'eGRID subregion name'!$P$4</f>
        <v>53.114800000000002</v>
      </c>
      <c r="I108" s="411">
        <f t="shared" si="10"/>
        <v>0</v>
      </c>
      <c r="J108" s="411">
        <f>'Sch4-Cost Savings by ECM'!V108</f>
        <v>0</v>
      </c>
      <c r="K10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8" s="411">
        <f t="shared" si="11"/>
        <v>0</v>
      </c>
      <c r="M108" s="411">
        <f>'Sch4-Cost Savings by ECM'!X108</f>
        <v>0</v>
      </c>
      <c r="N10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8" s="411">
        <f t="shared" si="12"/>
        <v>0</v>
      </c>
      <c r="P108" s="413">
        <f t="shared" si="9"/>
        <v>0</v>
      </c>
      <c r="Q108" s="411">
        <f>'Sch4-Cost Savings by ECM'!AB108</f>
        <v>0</v>
      </c>
      <c r="R108" s="411">
        <f t="shared" si="13"/>
        <v>0</v>
      </c>
      <c r="S108" s="411">
        <f t="shared" si="14"/>
        <v>0</v>
      </c>
      <c r="T108" s="411">
        <f t="shared" si="15"/>
        <v>0</v>
      </c>
    </row>
    <row r="109" spans="1:20" ht="16.5" thickBot="1">
      <c r="A109" s="72" t="str">
        <f>IF('Sch2a-Imp Price by ECM'!B110="","",'Sch2a-Imp Price by ECM'!B110)</f>
        <v/>
      </c>
      <c r="B109" s="139" t="str">
        <f>IF('Sch2a-Imp Price by ECM'!D110="","",'Sch2a-Imp Price by ECM'!D110)</f>
        <v/>
      </c>
      <c r="C109" s="414" t="s">
        <v>430</v>
      </c>
      <c r="D109" s="410">
        <f>'Sch4-Cost Savings by ECM'!P109</f>
        <v>0</v>
      </c>
      <c r="E109" s="410">
        <f>VLOOKUP(C109,'eGRID subregion name'!$A$2:$N$30,8,0)</f>
        <v>189.83531623683197</v>
      </c>
      <c r="F109" s="410">
        <f t="shared" si="16"/>
        <v>0</v>
      </c>
      <c r="G109" s="411">
        <f>'Sch4-Cost Savings by ECM'!T109</f>
        <v>0</v>
      </c>
      <c r="H109" s="411">
        <f>VLOOKUP("Natural Gas", 'GHG Emissions'!$D$2:$M$66,4,FALSE)+VLOOKUP("Natural Gas", 'GHG Emissions'!$D$2:$M$66,6,FALSE)*'eGRID subregion name'!$P$3+VLOOKUP("Natural Gas", 'GHG Emissions'!$D$2:$M$66,8,FALSE)*'eGRID subregion name'!$P$4</f>
        <v>53.114800000000002</v>
      </c>
      <c r="I109" s="411">
        <f t="shared" si="10"/>
        <v>0</v>
      </c>
      <c r="J109" s="411">
        <f>'Sch4-Cost Savings by ECM'!V109</f>
        <v>0</v>
      </c>
      <c r="K10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9" s="411">
        <f t="shared" si="11"/>
        <v>0</v>
      </c>
      <c r="M109" s="411">
        <f>'Sch4-Cost Savings by ECM'!X109</f>
        <v>0</v>
      </c>
      <c r="N10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9" s="411">
        <f t="shared" si="12"/>
        <v>0</v>
      </c>
      <c r="P109" s="413">
        <f t="shared" si="9"/>
        <v>0</v>
      </c>
      <c r="Q109" s="411">
        <f>'Sch4-Cost Savings by ECM'!AB109</f>
        <v>0</v>
      </c>
      <c r="R109" s="411">
        <f t="shared" si="13"/>
        <v>0</v>
      </c>
      <c r="S109" s="411">
        <f t="shared" si="14"/>
        <v>0</v>
      </c>
      <c r="T109" s="411">
        <f t="shared" si="15"/>
        <v>0</v>
      </c>
    </row>
    <row r="110" spans="1:20" ht="16.5" thickBot="1">
      <c r="A110" s="72" t="str">
        <f>IF('Sch2a-Imp Price by ECM'!B111="","",'Sch2a-Imp Price by ECM'!B111)</f>
        <v/>
      </c>
      <c r="B110" s="139" t="str">
        <f>IF('Sch2a-Imp Price by ECM'!D111="","",'Sch2a-Imp Price by ECM'!D111)</f>
        <v/>
      </c>
      <c r="C110" s="414" t="s">
        <v>430</v>
      </c>
      <c r="D110" s="410">
        <f>'Sch4-Cost Savings by ECM'!P110</f>
        <v>0</v>
      </c>
      <c r="E110" s="410">
        <f>VLOOKUP(C110,'eGRID subregion name'!$A$2:$N$30,8,0)</f>
        <v>189.83531623683197</v>
      </c>
      <c r="F110" s="410">
        <f t="shared" si="16"/>
        <v>0</v>
      </c>
      <c r="G110" s="411">
        <f>'Sch4-Cost Savings by ECM'!T110</f>
        <v>0</v>
      </c>
      <c r="H110" s="411">
        <f>VLOOKUP("Natural Gas", 'GHG Emissions'!$D$2:$M$66,4,FALSE)+VLOOKUP("Natural Gas", 'GHG Emissions'!$D$2:$M$66,6,FALSE)*'eGRID subregion name'!$P$3+VLOOKUP("Natural Gas", 'GHG Emissions'!$D$2:$M$66,8,FALSE)*'eGRID subregion name'!$P$4</f>
        <v>53.114800000000002</v>
      </c>
      <c r="I110" s="411">
        <f t="shared" si="10"/>
        <v>0</v>
      </c>
      <c r="J110" s="411">
        <f>'Sch4-Cost Savings by ECM'!V110</f>
        <v>0</v>
      </c>
      <c r="K11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0" s="411">
        <f t="shared" si="11"/>
        <v>0</v>
      </c>
      <c r="M110" s="411">
        <f>'Sch4-Cost Savings by ECM'!X110</f>
        <v>0</v>
      </c>
      <c r="N11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0" s="411">
        <f t="shared" si="12"/>
        <v>0</v>
      </c>
      <c r="P110" s="413">
        <f t="shared" si="9"/>
        <v>0</v>
      </c>
      <c r="Q110" s="411">
        <f>'Sch4-Cost Savings by ECM'!AB110</f>
        <v>0</v>
      </c>
      <c r="R110" s="411">
        <f t="shared" si="13"/>
        <v>0</v>
      </c>
      <c r="S110" s="411">
        <f t="shared" si="14"/>
        <v>0</v>
      </c>
      <c r="T110" s="411">
        <f t="shared" si="15"/>
        <v>0</v>
      </c>
    </row>
    <row r="111" spans="1:20" ht="16.5" thickBot="1">
      <c r="A111" s="72" t="str">
        <f>IF('Sch2a-Imp Price by ECM'!B112="","",'Sch2a-Imp Price by ECM'!B112)</f>
        <v/>
      </c>
      <c r="B111" s="139" t="str">
        <f>IF('Sch2a-Imp Price by ECM'!D112="","",'Sch2a-Imp Price by ECM'!D112)</f>
        <v/>
      </c>
      <c r="C111" s="414" t="s">
        <v>430</v>
      </c>
      <c r="D111" s="410">
        <f>'Sch4-Cost Savings by ECM'!P111</f>
        <v>0</v>
      </c>
      <c r="E111" s="410">
        <f>VLOOKUP(C111,'eGRID subregion name'!$A$2:$N$30,8,0)</f>
        <v>189.83531623683197</v>
      </c>
      <c r="F111" s="410">
        <f t="shared" si="16"/>
        <v>0</v>
      </c>
      <c r="G111" s="411">
        <f>'Sch4-Cost Savings by ECM'!T111</f>
        <v>0</v>
      </c>
      <c r="H111" s="411">
        <f>VLOOKUP("Natural Gas", 'GHG Emissions'!$D$2:$M$66,4,FALSE)+VLOOKUP("Natural Gas", 'GHG Emissions'!$D$2:$M$66,6,FALSE)*'eGRID subregion name'!$P$3+VLOOKUP("Natural Gas", 'GHG Emissions'!$D$2:$M$66,8,FALSE)*'eGRID subregion name'!$P$4</f>
        <v>53.114800000000002</v>
      </c>
      <c r="I111" s="411">
        <f t="shared" si="10"/>
        <v>0</v>
      </c>
      <c r="J111" s="411">
        <f>'Sch4-Cost Savings by ECM'!V111</f>
        <v>0</v>
      </c>
      <c r="K11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1" s="411">
        <f t="shared" si="11"/>
        <v>0</v>
      </c>
      <c r="M111" s="411">
        <f>'Sch4-Cost Savings by ECM'!X111</f>
        <v>0</v>
      </c>
      <c r="N11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1" s="411">
        <f t="shared" si="12"/>
        <v>0</v>
      </c>
      <c r="P111" s="413">
        <f t="shared" si="9"/>
        <v>0</v>
      </c>
      <c r="Q111" s="411">
        <f>'Sch4-Cost Savings by ECM'!AB111</f>
        <v>0</v>
      </c>
      <c r="R111" s="411">
        <f t="shared" si="13"/>
        <v>0</v>
      </c>
      <c r="S111" s="411">
        <f t="shared" si="14"/>
        <v>0</v>
      </c>
      <c r="T111" s="411">
        <f t="shared" si="15"/>
        <v>0</v>
      </c>
    </row>
    <row r="112" spans="1:20" ht="16.5" thickBot="1">
      <c r="A112" s="72" t="str">
        <f>IF('Sch2a-Imp Price by ECM'!B113="","",'Sch2a-Imp Price by ECM'!B113)</f>
        <v/>
      </c>
      <c r="B112" s="139" t="str">
        <f>IF('Sch2a-Imp Price by ECM'!D113="","",'Sch2a-Imp Price by ECM'!D113)</f>
        <v/>
      </c>
      <c r="C112" s="414" t="s">
        <v>430</v>
      </c>
      <c r="D112" s="410">
        <f>'Sch4-Cost Savings by ECM'!P112</f>
        <v>0</v>
      </c>
      <c r="E112" s="410">
        <f>VLOOKUP(C112,'eGRID subregion name'!$A$2:$N$30,8,0)</f>
        <v>189.83531623683197</v>
      </c>
      <c r="F112" s="410">
        <f t="shared" si="16"/>
        <v>0</v>
      </c>
      <c r="G112" s="411">
        <f>'Sch4-Cost Savings by ECM'!T112</f>
        <v>0</v>
      </c>
      <c r="H112" s="411">
        <f>VLOOKUP("Natural Gas", 'GHG Emissions'!$D$2:$M$66,4,FALSE)+VLOOKUP("Natural Gas", 'GHG Emissions'!$D$2:$M$66,6,FALSE)*'eGRID subregion name'!$P$3+VLOOKUP("Natural Gas", 'GHG Emissions'!$D$2:$M$66,8,FALSE)*'eGRID subregion name'!$P$4</f>
        <v>53.114800000000002</v>
      </c>
      <c r="I112" s="411">
        <f t="shared" si="10"/>
        <v>0</v>
      </c>
      <c r="J112" s="411">
        <f>'Sch4-Cost Savings by ECM'!V112</f>
        <v>0</v>
      </c>
      <c r="K11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2" s="411">
        <f t="shared" si="11"/>
        <v>0</v>
      </c>
      <c r="M112" s="411">
        <f>'Sch4-Cost Savings by ECM'!X112</f>
        <v>0</v>
      </c>
      <c r="N11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2" s="411">
        <f t="shared" si="12"/>
        <v>0</v>
      </c>
      <c r="P112" s="413">
        <f t="shared" si="9"/>
        <v>0</v>
      </c>
      <c r="Q112" s="411">
        <f>'Sch4-Cost Savings by ECM'!AB112</f>
        <v>0</v>
      </c>
      <c r="R112" s="411">
        <f t="shared" si="13"/>
        <v>0</v>
      </c>
      <c r="S112" s="411">
        <f t="shared" si="14"/>
        <v>0</v>
      </c>
      <c r="T112" s="411">
        <f t="shared" si="15"/>
        <v>0</v>
      </c>
    </row>
    <row r="113" spans="1:20" ht="16.5" thickBot="1">
      <c r="A113" s="72" t="str">
        <f>IF('Sch2a-Imp Price by ECM'!B114="","",'Sch2a-Imp Price by ECM'!B114)</f>
        <v/>
      </c>
      <c r="B113" s="139" t="str">
        <f>IF('Sch2a-Imp Price by ECM'!D114="","",'Sch2a-Imp Price by ECM'!D114)</f>
        <v/>
      </c>
      <c r="C113" s="414" t="s">
        <v>430</v>
      </c>
      <c r="D113" s="410">
        <f>'Sch4-Cost Savings by ECM'!P113</f>
        <v>0</v>
      </c>
      <c r="E113" s="410">
        <f>VLOOKUP(C113,'eGRID subregion name'!$A$2:$N$30,8,0)</f>
        <v>189.83531623683197</v>
      </c>
      <c r="F113" s="410">
        <f t="shared" si="16"/>
        <v>0</v>
      </c>
      <c r="G113" s="411">
        <f>'Sch4-Cost Savings by ECM'!T113</f>
        <v>0</v>
      </c>
      <c r="H113" s="411">
        <f>VLOOKUP("Natural Gas", 'GHG Emissions'!$D$2:$M$66,4,FALSE)+VLOOKUP("Natural Gas", 'GHG Emissions'!$D$2:$M$66,6,FALSE)*'eGRID subregion name'!$P$3+VLOOKUP("Natural Gas", 'GHG Emissions'!$D$2:$M$66,8,FALSE)*'eGRID subregion name'!$P$4</f>
        <v>53.114800000000002</v>
      </c>
      <c r="I113" s="411">
        <f t="shared" si="10"/>
        <v>0</v>
      </c>
      <c r="J113" s="411">
        <f>'Sch4-Cost Savings by ECM'!V113</f>
        <v>0</v>
      </c>
      <c r="K11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3" s="411">
        <f t="shared" si="11"/>
        <v>0</v>
      </c>
      <c r="M113" s="411">
        <f>'Sch4-Cost Savings by ECM'!X113</f>
        <v>0</v>
      </c>
      <c r="N11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3" s="411">
        <f t="shared" si="12"/>
        <v>0</v>
      </c>
      <c r="P113" s="413">
        <f t="shared" si="9"/>
        <v>0</v>
      </c>
      <c r="Q113" s="411">
        <f>'Sch4-Cost Savings by ECM'!AB113</f>
        <v>0</v>
      </c>
      <c r="R113" s="411">
        <f t="shared" si="13"/>
        <v>0</v>
      </c>
      <c r="S113" s="411">
        <f t="shared" si="14"/>
        <v>0</v>
      </c>
      <c r="T113" s="411">
        <f t="shared" si="15"/>
        <v>0</v>
      </c>
    </row>
    <row r="114" spans="1:20" ht="16.5" thickBot="1">
      <c r="A114" s="72" t="str">
        <f>IF('Sch2a-Imp Price by ECM'!B115="","",'Sch2a-Imp Price by ECM'!B115)</f>
        <v/>
      </c>
      <c r="B114" s="139" t="str">
        <f>IF('Sch2a-Imp Price by ECM'!D115="","",'Sch2a-Imp Price by ECM'!D115)</f>
        <v/>
      </c>
      <c r="C114" s="414" t="s">
        <v>430</v>
      </c>
      <c r="D114" s="410">
        <f>'Sch4-Cost Savings by ECM'!P114</f>
        <v>0</v>
      </c>
      <c r="E114" s="410">
        <f>VLOOKUP(C114,'eGRID subregion name'!$A$2:$N$30,8,0)</f>
        <v>189.83531623683197</v>
      </c>
      <c r="F114" s="410">
        <f t="shared" si="16"/>
        <v>0</v>
      </c>
      <c r="G114" s="411">
        <f>'Sch4-Cost Savings by ECM'!T114</f>
        <v>0</v>
      </c>
      <c r="H114" s="411">
        <f>VLOOKUP("Natural Gas", 'GHG Emissions'!$D$2:$M$66,4,FALSE)+VLOOKUP("Natural Gas", 'GHG Emissions'!$D$2:$M$66,6,FALSE)*'eGRID subregion name'!$P$3+VLOOKUP("Natural Gas", 'GHG Emissions'!$D$2:$M$66,8,FALSE)*'eGRID subregion name'!$P$4</f>
        <v>53.114800000000002</v>
      </c>
      <c r="I114" s="411">
        <f t="shared" si="10"/>
        <v>0</v>
      </c>
      <c r="J114" s="411">
        <f>'Sch4-Cost Savings by ECM'!V114</f>
        <v>0</v>
      </c>
      <c r="K11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4" s="411">
        <f t="shared" si="11"/>
        <v>0</v>
      </c>
      <c r="M114" s="411">
        <f>'Sch4-Cost Savings by ECM'!X114</f>
        <v>0</v>
      </c>
      <c r="N11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4" s="411">
        <f t="shared" si="12"/>
        <v>0</v>
      </c>
      <c r="P114" s="413">
        <f t="shared" si="9"/>
        <v>0</v>
      </c>
      <c r="Q114" s="411">
        <f>'Sch4-Cost Savings by ECM'!AB114</f>
        <v>0</v>
      </c>
      <c r="R114" s="411">
        <f t="shared" si="13"/>
        <v>0</v>
      </c>
      <c r="S114" s="411">
        <f t="shared" si="14"/>
        <v>0</v>
      </c>
      <c r="T114" s="411">
        <f t="shared" si="15"/>
        <v>0</v>
      </c>
    </row>
    <row r="115" spans="1:20" ht="16.5" thickBot="1">
      <c r="A115" s="72" t="str">
        <f>IF('Sch2a-Imp Price by ECM'!B116="","",'Sch2a-Imp Price by ECM'!B116)</f>
        <v/>
      </c>
      <c r="B115" s="139" t="str">
        <f>IF('Sch2a-Imp Price by ECM'!D116="","",'Sch2a-Imp Price by ECM'!D116)</f>
        <v/>
      </c>
      <c r="C115" s="414" t="s">
        <v>430</v>
      </c>
      <c r="D115" s="410">
        <f>'Sch4-Cost Savings by ECM'!P115</f>
        <v>0</v>
      </c>
      <c r="E115" s="410">
        <f>VLOOKUP(C115,'eGRID subregion name'!$A$2:$N$30,8,0)</f>
        <v>189.83531623683197</v>
      </c>
      <c r="F115" s="410">
        <f t="shared" si="16"/>
        <v>0</v>
      </c>
      <c r="G115" s="411">
        <f>'Sch4-Cost Savings by ECM'!T115</f>
        <v>0</v>
      </c>
      <c r="H115" s="411">
        <f>VLOOKUP("Natural Gas", 'GHG Emissions'!$D$2:$M$66,4,FALSE)+VLOOKUP("Natural Gas", 'GHG Emissions'!$D$2:$M$66,6,FALSE)*'eGRID subregion name'!$P$3+VLOOKUP("Natural Gas", 'GHG Emissions'!$D$2:$M$66,8,FALSE)*'eGRID subregion name'!$P$4</f>
        <v>53.114800000000002</v>
      </c>
      <c r="I115" s="411">
        <f t="shared" si="10"/>
        <v>0</v>
      </c>
      <c r="J115" s="411">
        <f>'Sch4-Cost Savings by ECM'!V115</f>
        <v>0</v>
      </c>
      <c r="K11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5" s="411">
        <f t="shared" si="11"/>
        <v>0</v>
      </c>
      <c r="M115" s="411">
        <f>'Sch4-Cost Savings by ECM'!X115</f>
        <v>0</v>
      </c>
      <c r="N11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5" s="411">
        <f t="shared" si="12"/>
        <v>0</v>
      </c>
      <c r="P115" s="413">
        <f t="shared" si="9"/>
        <v>0</v>
      </c>
      <c r="Q115" s="411">
        <f>'Sch4-Cost Savings by ECM'!AB115</f>
        <v>0</v>
      </c>
      <c r="R115" s="411">
        <f t="shared" si="13"/>
        <v>0</v>
      </c>
      <c r="S115" s="411">
        <f t="shared" si="14"/>
        <v>0</v>
      </c>
      <c r="T115" s="411">
        <f t="shared" si="15"/>
        <v>0</v>
      </c>
    </row>
    <row r="116" spans="1:20" ht="16.5" thickBot="1">
      <c r="A116" s="72" t="str">
        <f>IF('Sch2a-Imp Price by ECM'!B117="","",'Sch2a-Imp Price by ECM'!B117)</f>
        <v/>
      </c>
      <c r="B116" s="139" t="str">
        <f>IF('Sch2a-Imp Price by ECM'!D117="","",'Sch2a-Imp Price by ECM'!D117)</f>
        <v/>
      </c>
      <c r="C116" s="414" t="s">
        <v>430</v>
      </c>
      <c r="D116" s="410">
        <f>'Sch4-Cost Savings by ECM'!P116</f>
        <v>0</v>
      </c>
      <c r="E116" s="410">
        <f>VLOOKUP(C116,'eGRID subregion name'!$A$2:$N$30,8,0)</f>
        <v>189.83531623683197</v>
      </c>
      <c r="F116" s="410">
        <f t="shared" si="16"/>
        <v>0</v>
      </c>
      <c r="G116" s="411">
        <f>'Sch4-Cost Savings by ECM'!T116</f>
        <v>0</v>
      </c>
      <c r="H116" s="411">
        <f>VLOOKUP("Natural Gas", 'GHG Emissions'!$D$2:$M$66,4,FALSE)+VLOOKUP("Natural Gas", 'GHG Emissions'!$D$2:$M$66,6,FALSE)*'eGRID subregion name'!$P$3+VLOOKUP("Natural Gas", 'GHG Emissions'!$D$2:$M$66,8,FALSE)*'eGRID subregion name'!$P$4</f>
        <v>53.114800000000002</v>
      </c>
      <c r="I116" s="411">
        <f t="shared" si="10"/>
        <v>0</v>
      </c>
      <c r="J116" s="411">
        <f>'Sch4-Cost Savings by ECM'!V116</f>
        <v>0</v>
      </c>
      <c r="K11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6" s="411">
        <f t="shared" si="11"/>
        <v>0</v>
      </c>
      <c r="M116" s="411">
        <f>'Sch4-Cost Savings by ECM'!X116</f>
        <v>0</v>
      </c>
      <c r="N11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6" s="411">
        <f t="shared" si="12"/>
        <v>0</v>
      </c>
      <c r="P116" s="413">
        <f t="shared" si="9"/>
        <v>0</v>
      </c>
      <c r="Q116" s="411">
        <f>'Sch4-Cost Savings by ECM'!AB116</f>
        <v>0</v>
      </c>
      <c r="R116" s="411">
        <f t="shared" si="13"/>
        <v>0</v>
      </c>
      <c r="S116" s="411">
        <f t="shared" si="14"/>
        <v>0</v>
      </c>
      <c r="T116" s="411">
        <f t="shared" si="15"/>
        <v>0</v>
      </c>
    </row>
    <row r="117" spans="1:20" ht="16.5" thickBot="1">
      <c r="A117" s="72" t="str">
        <f>IF('Sch2a-Imp Price by ECM'!B118="","",'Sch2a-Imp Price by ECM'!B118)</f>
        <v/>
      </c>
      <c r="B117" s="139" t="str">
        <f>IF('Sch2a-Imp Price by ECM'!D118="","",'Sch2a-Imp Price by ECM'!D118)</f>
        <v/>
      </c>
      <c r="C117" s="414" t="s">
        <v>430</v>
      </c>
      <c r="D117" s="410">
        <f>'Sch4-Cost Savings by ECM'!P117</f>
        <v>0</v>
      </c>
      <c r="E117" s="410">
        <f>VLOOKUP(C117,'eGRID subregion name'!$A$2:$N$30,8,0)</f>
        <v>189.83531623683197</v>
      </c>
      <c r="F117" s="410">
        <f t="shared" si="16"/>
        <v>0</v>
      </c>
      <c r="G117" s="411">
        <f>'Sch4-Cost Savings by ECM'!T117</f>
        <v>0</v>
      </c>
      <c r="H117" s="411">
        <f>VLOOKUP("Natural Gas", 'GHG Emissions'!$D$2:$M$66,4,FALSE)+VLOOKUP("Natural Gas", 'GHG Emissions'!$D$2:$M$66,6,FALSE)*'eGRID subregion name'!$P$3+VLOOKUP("Natural Gas", 'GHG Emissions'!$D$2:$M$66,8,FALSE)*'eGRID subregion name'!$P$4</f>
        <v>53.114800000000002</v>
      </c>
      <c r="I117" s="411">
        <f t="shared" si="10"/>
        <v>0</v>
      </c>
      <c r="J117" s="411">
        <f>'Sch4-Cost Savings by ECM'!V117</f>
        <v>0</v>
      </c>
      <c r="K11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7" s="411">
        <f t="shared" si="11"/>
        <v>0</v>
      </c>
      <c r="M117" s="411">
        <f>'Sch4-Cost Savings by ECM'!X117</f>
        <v>0</v>
      </c>
      <c r="N11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7" s="411">
        <f t="shared" si="12"/>
        <v>0</v>
      </c>
      <c r="P117" s="413">
        <f t="shared" si="9"/>
        <v>0</v>
      </c>
      <c r="Q117" s="411">
        <f>'Sch4-Cost Savings by ECM'!AB117</f>
        <v>0</v>
      </c>
      <c r="R117" s="411">
        <f t="shared" si="13"/>
        <v>0</v>
      </c>
      <c r="S117" s="411">
        <f t="shared" si="14"/>
        <v>0</v>
      </c>
      <c r="T117" s="411">
        <f t="shared" si="15"/>
        <v>0</v>
      </c>
    </row>
    <row r="118" spans="1:20" ht="18" customHeight="1" thickBot="1">
      <c r="A118" s="72" t="str">
        <f>IF('Sch2a-Imp Price by ECM'!B119="","",'Sch2a-Imp Price by ECM'!B119)</f>
        <v/>
      </c>
      <c r="B118" s="139" t="str">
        <f>IF('Sch2a-Imp Price by ECM'!D119="","",'Sch2a-Imp Price by ECM'!D119)</f>
        <v/>
      </c>
      <c r="C118" s="414" t="s">
        <v>430</v>
      </c>
      <c r="D118" s="410">
        <f>'Sch4-Cost Savings by ECM'!P118</f>
        <v>0</v>
      </c>
      <c r="E118" s="410">
        <f>VLOOKUP(C118,'eGRID subregion name'!$A$2:$N$30,8,0)</f>
        <v>189.83531623683197</v>
      </c>
      <c r="F118" s="410">
        <f t="shared" si="16"/>
        <v>0</v>
      </c>
      <c r="G118" s="411">
        <f>'Sch4-Cost Savings by ECM'!T118</f>
        <v>0</v>
      </c>
      <c r="H118" s="411">
        <f>VLOOKUP("Natural Gas", 'GHG Emissions'!$D$2:$M$66,4,FALSE)+VLOOKUP("Natural Gas", 'GHG Emissions'!$D$2:$M$66,6,FALSE)*'eGRID subregion name'!$P$3+VLOOKUP("Natural Gas", 'GHG Emissions'!$D$2:$M$66,8,FALSE)*'eGRID subregion name'!$P$4</f>
        <v>53.114800000000002</v>
      </c>
      <c r="I118" s="411">
        <f t="shared" si="10"/>
        <v>0</v>
      </c>
      <c r="J118" s="411">
        <f>'Sch4-Cost Savings by ECM'!V118</f>
        <v>0</v>
      </c>
      <c r="K11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8" s="411">
        <f t="shared" si="11"/>
        <v>0</v>
      </c>
      <c r="M118" s="411">
        <f>'Sch4-Cost Savings by ECM'!X118</f>
        <v>0</v>
      </c>
      <c r="N11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8" s="411">
        <f t="shared" si="12"/>
        <v>0</v>
      </c>
      <c r="P118" s="413">
        <f t="shared" si="9"/>
        <v>0</v>
      </c>
      <c r="Q118" s="411">
        <f>'Sch4-Cost Savings by ECM'!AB118</f>
        <v>0</v>
      </c>
      <c r="R118" s="411">
        <f t="shared" si="13"/>
        <v>0</v>
      </c>
      <c r="S118" s="411">
        <f t="shared" si="14"/>
        <v>0</v>
      </c>
      <c r="T118" s="411">
        <f t="shared" si="15"/>
        <v>0</v>
      </c>
    </row>
    <row r="119" spans="1:20" ht="16.5" thickBot="1">
      <c r="A119" s="72" t="str">
        <f>IF('Sch2a-Imp Price by ECM'!B120="","",'Sch2a-Imp Price by ECM'!B120)</f>
        <v/>
      </c>
      <c r="B119" s="139" t="str">
        <f>IF('Sch2a-Imp Price by ECM'!D120="","",'Sch2a-Imp Price by ECM'!D120)</f>
        <v/>
      </c>
      <c r="C119" s="414" t="s">
        <v>430</v>
      </c>
      <c r="D119" s="410">
        <f>'Sch4-Cost Savings by ECM'!P119</f>
        <v>0</v>
      </c>
      <c r="E119" s="410">
        <f>VLOOKUP(C119,'eGRID subregion name'!$A$2:$N$30,8,0)</f>
        <v>189.83531623683197</v>
      </c>
      <c r="F119" s="410">
        <f t="shared" si="16"/>
        <v>0</v>
      </c>
      <c r="G119" s="411">
        <f>'Sch4-Cost Savings by ECM'!T119</f>
        <v>0</v>
      </c>
      <c r="H119" s="411">
        <f>VLOOKUP("Natural Gas", 'GHG Emissions'!$D$2:$M$66,4,FALSE)+VLOOKUP("Natural Gas", 'GHG Emissions'!$D$2:$M$66,6,FALSE)*'eGRID subregion name'!$P$3+VLOOKUP("Natural Gas", 'GHG Emissions'!$D$2:$M$66,8,FALSE)*'eGRID subregion name'!$P$4</f>
        <v>53.114800000000002</v>
      </c>
      <c r="I119" s="411">
        <f t="shared" si="10"/>
        <v>0</v>
      </c>
      <c r="J119" s="411">
        <f>'Sch4-Cost Savings by ECM'!V119</f>
        <v>0</v>
      </c>
      <c r="K11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9" s="411">
        <f t="shared" si="11"/>
        <v>0</v>
      </c>
      <c r="M119" s="411">
        <f>'Sch4-Cost Savings by ECM'!X119</f>
        <v>0</v>
      </c>
      <c r="N11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9" s="411">
        <f t="shared" si="12"/>
        <v>0</v>
      </c>
      <c r="P119" s="413">
        <f t="shared" si="9"/>
        <v>0</v>
      </c>
      <c r="Q119" s="411">
        <f>'Sch4-Cost Savings by ECM'!AB119</f>
        <v>0</v>
      </c>
      <c r="R119" s="411">
        <f t="shared" si="13"/>
        <v>0</v>
      </c>
      <c r="S119" s="411">
        <f t="shared" si="14"/>
        <v>0</v>
      </c>
      <c r="T119" s="411">
        <f t="shared" si="15"/>
        <v>0</v>
      </c>
    </row>
    <row r="120" spans="1:20" ht="16.5" thickBot="1">
      <c r="A120" s="72" t="str">
        <f>IF('Sch2a-Imp Price by ECM'!B121="","",'Sch2a-Imp Price by ECM'!B121)</f>
        <v/>
      </c>
      <c r="B120" s="139" t="str">
        <f>IF('Sch2a-Imp Price by ECM'!D121="","",'Sch2a-Imp Price by ECM'!D121)</f>
        <v/>
      </c>
      <c r="C120" s="414" t="s">
        <v>430</v>
      </c>
      <c r="D120" s="410">
        <f>'Sch4-Cost Savings by ECM'!P120</f>
        <v>0</v>
      </c>
      <c r="E120" s="410">
        <f>VLOOKUP(C120,'eGRID subregion name'!$A$2:$N$30,8,0)</f>
        <v>189.83531623683197</v>
      </c>
      <c r="F120" s="410">
        <f t="shared" si="16"/>
        <v>0</v>
      </c>
      <c r="G120" s="411">
        <f>'Sch4-Cost Savings by ECM'!T120</f>
        <v>0</v>
      </c>
      <c r="H120" s="411">
        <f>VLOOKUP("Natural Gas", 'GHG Emissions'!$D$2:$M$66,4,FALSE)+VLOOKUP("Natural Gas", 'GHG Emissions'!$D$2:$M$66,6,FALSE)*'eGRID subregion name'!$P$3+VLOOKUP("Natural Gas", 'GHG Emissions'!$D$2:$M$66,8,FALSE)*'eGRID subregion name'!$P$4</f>
        <v>53.114800000000002</v>
      </c>
      <c r="I120" s="411">
        <f t="shared" si="10"/>
        <v>0</v>
      </c>
      <c r="J120" s="411">
        <f>'Sch4-Cost Savings by ECM'!V120</f>
        <v>0</v>
      </c>
      <c r="K12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0" s="411">
        <f t="shared" si="11"/>
        <v>0</v>
      </c>
      <c r="M120" s="411">
        <f>'Sch4-Cost Savings by ECM'!X120</f>
        <v>0</v>
      </c>
      <c r="N12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0" s="411">
        <f t="shared" si="12"/>
        <v>0</v>
      </c>
      <c r="P120" s="413">
        <f t="shared" si="9"/>
        <v>0</v>
      </c>
      <c r="Q120" s="411">
        <f>'Sch4-Cost Savings by ECM'!AB120</f>
        <v>0</v>
      </c>
      <c r="R120" s="411">
        <f t="shared" si="13"/>
        <v>0</v>
      </c>
      <c r="S120" s="411">
        <f t="shared" si="14"/>
        <v>0</v>
      </c>
      <c r="T120" s="411">
        <f t="shared" si="15"/>
        <v>0</v>
      </c>
    </row>
    <row r="121" spans="1:20" ht="16.5" thickBot="1">
      <c r="A121" s="72" t="str">
        <f>IF('Sch2a-Imp Price by ECM'!B122="","",'Sch2a-Imp Price by ECM'!B122)</f>
        <v/>
      </c>
      <c r="B121" s="139" t="str">
        <f>IF('Sch2a-Imp Price by ECM'!D122="","",'Sch2a-Imp Price by ECM'!D122)</f>
        <v/>
      </c>
      <c r="C121" s="414" t="s">
        <v>430</v>
      </c>
      <c r="D121" s="410">
        <f>'Sch4-Cost Savings by ECM'!P121</f>
        <v>0</v>
      </c>
      <c r="E121" s="410">
        <f>VLOOKUP(C121,'eGRID subregion name'!$A$2:$N$30,8,0)</f>
        <v>189.83531623683197</v>
      </c>
      <c r="F121" s="410">
        <f t="shared" si="16"/>
        <v>0</v>
      </c>
      <c r="G121" s="411">
        <f>'Sch4-Cost Savings by ECM'!T121</f>
        <v>0</v>
      </c>
      <c r="H121" s="411">
        <f>VLOOKUP("Natural Gas", 'GHG Emissions'!$D$2:$M$66,4,FALSE)+VLOOKUP("Natural Gas", 'GHG Emissions'!$D$2:$M$66,6,FALSE)*'eGRID subregion name'!$P$3+VLOOKUP("Natural Gas", 'GHG Emissions'!$D$2:$M$66,8,FALSE)*'eGRID subregion name'!$P$4</f>
        <v>53.114800000000002</v>
      </c>
      <c r="I121" s="411">
        <f t="shared" si="10"/>
        <v>0</v>
      </c>
      <c r="J121" s="411">
        <f>'Sch4-Cost Savings by ECM'!V121</f>
        <v>0</v>
      </c>
      <c r="K12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1" s="411">
        <f t="shared" si="11"/>
        <v>0</v>
      </c>
      <c r="M121" s="411">
        <f>'Sch4-Cost Savings by ECM'!X121</f>
        <v>0</v>
      </c>
      <c r="N12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1" s="411">
        <f t="shared" si="12"/>
        <v>0</v>
      </c>
      <c r="P121" s="413">
        <f t="shared" si="9"/>
        <v>0</v>
      </c>
      <c r="Q121" s="411">
        <f>'Sch4-Cost Savings by ECM'!AB121</f>
        <v>0</v>
      </c>
      <c r="R121" s="411">
        <f t="shared" si="13"/>
        <v>0</v>
      </c>
      <c r="S121" s="411">
        <f t="shared" si="14"/>
        <v>0</v>
      </c>
      <c r="T121" s="411">
        <f t="shared" si="15"/>
        <v>0</v>
      </c>
    </row>
    <row r="122" spans="1:20" ht="16.5" thickBot="1">
      <c r="A122" s="72" t="str">
        <f>IF('Sch2a-Imp Price by ECM'!B123="","",'Sch2a-Imp Price by ECM'!B123)</f>
        <v/>
      </c>
      <c r="B122" s="139" t="str">
        <f>IF('Sch2a-Imp Price by ECM'!D123="","",'Sch2a-Imp Price by ECM'!D123)</f>
        <v/>
      </c>
      <c r="C122" s="414" t="s">
        <v>430</v>
      </c>
      <c r="D122" s="410">
        <f>'Sch4-Cost Savings by ECM'!P122</f>
        <v>0</v>
      </c>
      <c r="E122" s="410">
        <f>VLOOKUP(C122,'eGRID subregion name'!$A$2:$N$30,8,0)</f>
        <v>189.83531623683197</v>
      </c>
      <c r="F122" s="410">
        <f t="shared" si="16"/>
        <v>0</v>
      </c>
      <c r="G122" s="411">
        <f>'Sch4-Cost Savings by ECM'!T122</f>
        <v>0</v>
      </c>
      <c r="H122" s="411">
        <f>VLOOKUP("Natural Gas", 'GHG Emissions'!$D$2:$M$66,4,FALSE)+VLOOKUP("Natural Gas", 'GHG Emissions'!$D$2:$M$66,6,FALSE)*'eGRID subregion name'!$P$3+VLOOKUP("Natural Gas", 'GHG Emissions'!$D$2:$M$66,8,FALSE)*'eGRID subregion name'!$P$4</f>
        <v>53.114800000000002</v>
      </c>
      <c r="I122" s="411">
        <f t="shared" si="10"/>
        <v>0</v>
      </c>
      <c r="J122" s="411">
        <f>'Sch4-Cost Savings by ECM'!V122</f>
        <v>0</v>
      </c>
      <c r="K12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2" s="411">
        <f t="shared" si="11"/>
        <v>0</v>
      </c>
      <c r="M122" s="411">
        <f>'Sch4-Cost Savings by ECM'!X122</f>
        <v>0</v>
      </c>
      <c r="N12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2" s="411">
        <f t="shared" si="12"/>
        <v>0</v>
      </c>
      <c r="P122" s="413">
        <f t="shared" si="9"/>
        <v>0</v>
      </c>
      <c r="Q122" s="411">
        <f>'Sch4-Cost Savings by ECM'!AB122</f>
        <v>0</v>
      </c>
      <c r="R122" s="411">
        <f t="shared" si="13"/>
        <v>0</v>
      </c>
      <c r="S122" s="411">
        <f t="shared" si="14"/>
        <v>0</v>
      </c>
      <c r="T122" s="411">
        <f t="shared" si="15"/>
        <v>0</v>
      </c>
    </row>
    <row r="123" spans="1:20" ht="16.5" thickBot="1">
      <c r="A123" s="72" t="str">
        <f>IF('Sch2a-Imp Price by ECM'!B124="","",'Sch2a-Imp Price by ECM'!B124)</f>
        <v/>
      </c>
      <c r="B123" s="139" t="str">
        <f>IF('Sch2a-Imp Price by ECM'!D124="","",'Sch2a-Imp Price by ECM'!D124)</f>
        <v/>
      </c>
      <c r="C123" s="414" t="s">
        <v>430</v>
      </c>
      <c r="D123" s="410">
        <f>'Sch4-Cost Savings by ECM'!P123</f>
        <v>0</v>
      </c>
      <c r="E123" s="410">
        <f>VLOOKUP(C123,'eGRID subregion name'!$A$2:$N$30,8,0)</f>
        <v>189.83531623683197</v>
      </c>
      <c r="F123" s="410">
        <f t="shared" si="16"/>
        <v>0</v>
      </c>
      <c r="G123" s="411">
        <f>'Sch4-Cost Savings by ECM'!T123</f>
        <v>0</v>
      </c>
      <c r="H123" s="411">
        <f>VLOOKUP("Natural Gas", 'GHG Emissions'!$D$2:$M$66,4,FALSE)+VLOOKUP("Natural Gas", 'GHG Emissions'!$D$2:$M$66,6,FALSE)*'eGRID subregion name'!$P$3+VLOOKUP("Natural Gas", 'GHG Emissions'!$D$2:$M$66,8,FALSE)*'eGRID subregion name'!$P$4</f>
        <v>53.114800000000002</v>
      </c>
      <c r="I123" s="411">
        <f t="shared" si="10"/>
        <v>0</v>
      </c>
      <c r="J123" s="411">
        <f>'Sch4-Cost Savings by ECM'!V123</f>
        <v>0</v>
      </c>
      <c r="K12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3" s="411">
        <f t="shared" si="11"/>
        <v>0</v>
      </c>
      <c r="M123" s="411">
        <f>'Sch4-Cost Savings by ECM'!X123</f>
        <v>0</v>
      </c>
      <c r="N12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3" s="411">
        <f t="shared" si="12"/>
        <v>0</v>
      </c>
      <c r="P123" s="413">
        <f t="shared" si="9"/>
        <v>0</v>
      </c>
      <c r="Q123" s="411">
        <f>'Sch4-Cost Savings by ECM'!AB123</f>
        <v>0</v>
      </c>
      <c r="R123" s="411">
        <f t="shared" si="13"/>
        <v>0</v>
      </c>
      <c r="S123" s="411">
        <f t="shared" si="14"/>
        <v>0</v>
      </c>
      <c r="T123" s="411">
        <f t="shared" si="15"/>
        <v>0</v>
      </c>
    </row>
    <row r="124" spans="1:20" ht="16.5" thickBot="1">
      <c r="A124" s="72" t="str">
        <f>IF('Sch2a-Imp Price by ECM'!B125="","",'Sch2a-Imp Price by ECM'!B125)</f>
        <v/>
      </c>
      <c r="B124" s="139" t="str">
        <f>IF('Sch2a-Imp Price by ECM'!D125="","",'Sch2a-Imp Price by ECM'!D125)</f>
        <v/>
      </c>
      <c r="C124" s="414" t="s">
        <v>430</v>
      </c>
      <c r="D124" s="410">
        <f>'Sch4-Cost Savings by ECM'!P124</f>
        <v>0</v>
      </c>
      <c r="E124" s="410">
        <f>VLOOKUP(C124,'eGRID subregion name'!$A$2:$N$30,8,0)</f>
        <v>189.83531623683197</v>
      </c>
      <c r="F124" s="410">
        <f t="shared" si="16"/>
        <v>0</v>
      </c>
      <c r="G124" s="411">
        <f>'Sch4-Cost Savings by ECM'!T124</f>
        <v>0</v>
      </c>
      <c r="H124" s="411">
        <f>VLOOKUP("Natural Gas", 'GHG Emissions'!$D$2:$M$66,4,FALSE)+VLOOKUP("Natural Gas", 'GHG Emissions'!$D$2:$M$66,6,FALSE)*'eGRID subregion name'!$P$3+VLOOKUP("Natural Gas", 'GHG Emissions'!$D$2:$M$66,8,FALSE)*'eGRID subregion name'!$P$4</f>
        <v>53.114800000000002</v>
      </c>
      <c r="I124" s="411">
        <f t="shared" si="10"/>
        <v>0</v>
      </c>
      <c r="J124" s="411">
        <f>'Sch4-Cost Savings by ECM'!V124</f>
        <v>0</v>
      </c>
      <c r="K12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4" s="411">
        <f t="shared" si="11"/>
        <v>0</v>
      </c>
      <c r="M124" s="411">
        <f>'Sch4-Cost Savings by ECM'!X124</f>
        <v>0</v>
      </c>
      <c r="N12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4" s="411">
        <f t="shared" si="12"/>
        <v>0</v>
      </c>
      <c r="P124" s="413">
        <f t="shared" si="9"/>
        <v>0</v>
      </c>
      <c r="Q124" s="411">
        <f>'Sch4-Cost Savings by ECM'!AB124</f>
        <v>0</v>
      </c>
      <c r="R124" s="411">
        <f t="shared" si="13"/>
        <v>0</v>
      </c>
      <c r="S124" s="411">
        <f t="shared" si="14"/>
        <v>0</v>
      </c>
      <c r="T124" s="411">
        <f t="shared" si="15"/>
        <v>0</v>
      </c>
    </row>
    <row r="125" spans="1:20" ht="16.5" thickBot="1">
      <c r="A125" s="72" t="str">
        <f>IF('Sch2a-Imp Price by ECM'!B126="","",'Sch2a-Imp Price by ECM'!B126)</f>
        <v/>
      </c>
      <c r="B125" s="139" t="str">
        <f>IF('Sch2a-Imp Price by ECM'!D126="","",'Sch2a-Imp Price by ECM'!D126)</f>
        <v/>
      </c>
      <c r="C125" s="414" t="s">
        <v>430</v>
      </c>
      <c r="D125" s="410">
        <f>'Sch4-Cost Savings by ECM'!P125</f>
        <v>0</v>
      </c>
      <c r="E125" s="410">
        <f>VLOOKUP(C125,'eGRID subregion name'!$A$2:$N$30,8,0)</f>
        <v>189.83531623683197</v>
      </c>
      <c r="F125" s="410">
        <f t="shared" si="16"/>
        <v>0</v>
      </c>
      <c r="G125" s="411">
        <f>'Sch4-Cost Savings by ECM'!T125</f>
        <v>0</v>
      </c>
      <c r="H125" s="411">
        <f>VLOOKUP("Natural Gas", 'GHG Emissions'!$D$2:$M$66,4,FALSE)+VLOOKUP("Natural Gas", 'GHG Emissions'!$D$2:$M$66,6,FALSE)*'eGRID subregion name'!$P$3+VLOOKUP("Natural Gas", 'GHG Emissions'!$D$2:$M$66,8,FALSE)*'eGRID subregion name'!$P$4</f>
        <v>53.114800000000002</v>
      </c>
      <c r="I125" s="411">
        <f t="shared" si="10"/>
        <v>0</v>
      </c>
      <c r="J125" s="411">
        <f>'Sch4-Cost Savings by ECM'!V125</f>
        <v>0</v>
      </c>
      <c r="K12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5" s="411">
        <f t="shared" si="11"/>
        <v>0</v>
      </c>
      <c r="M125" s="411">
        <f>'Sch4-Cost Savings by ECM'!X125</f>
        <v>0</v>
      </c>
      <c r="N12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5" s="411">
        <f t="shared" si="12"/>
        <v>0</v>
      </c>
      <c r="P125" s="413">
        <f t="shared" si="9"/>
        <v>0</v>
      </c>
      <c r="Q125" s="411">
        <f>'Sch4-Cost Savings by ECM'!AB125</f>
        <v>0</v>
      </c>
      <c r="R125" s="411">
        <f t="shared" si="13"/>
        <v>0</v>
      </c>
      <c r="S125" s="411">
        <f t="shared" si="14"/>
        <v>0</v>
      </c>
      <c r="T125" s="411">
        <f t="shared" si="15"/>
        <v>0</v>
      </c>
    </row>
    <row r="126" spans="1:20" ht="16.5" thickBot="1">
      <c r="A126" s="72" t="str">
        <f>IF('Sch2a-Imp Price by ECM'!B127="","",'Sch2a-Imp Price by ECM'!B127)</f>
        <v/>
      </c>
      <c r="B126" s="139" t="str">
        <f>IF('Sch2a-Imp Price by ECM'!D127="","",'Sch2a-Imp Price by ECM'!D127)</f>
        <v/>
      </c>
      <c r="C126" s="414" t="s">
        <v>430</v>
      </c>
      <c r="D126" s="410">
        <f>'Sch4-Cost Savings by ECM'!P126</f>
        <v>0</v>
      </c>
      <c r="E126" s="410">
        <f>VLOOKUP(C126,'eGRID subregion name'!$A$2:$N$30,8,0)</f>
        <v>189.83531623683197</v>
      </c>
      <c r="F126" s="410">
        <f t="shared" si="16"/>
        <v>0</v>
      </c>
      <c r="G126" s="411">
        <f>'Sch4-Cost Savings by ECM'!T126</f>
        <v>0</v>
      </c>
      <c r="H126" s="411">
        <f>VLOOKUP("Natural Gas", 'GHG Emissions'!$D$2:$M$66,4,FALSE)+VLOOKUP("Natural Gas", 'GHG Emissions'!$D$2:$M$66,6,FALSE)*'eGRID subregion name'!$P$3+VLOOKUP("Natural Gas", 'GHG Emissions'!$D$2:$M$66,8,FALSE)*'eGRID subregion name'!$P$4</f>
        <v>53.114800000000002</v>
      </c>
      <c r="I126" s="411">
        <f t="shared" si="10"/>
        <v>0</v>
      </c>
      <c r="J126" s="411">
        <f>'Sch4-Cost Savings by ECM'!V126</f>
        <v>0</v>
      </c>
      <c r="K12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6" s="411">
        <f t="shared" si="11"/>
        <v>0</v>
      </c>
      <c r="M126" s="411">
        <f>'Sch4-Cost Savings by ECM'!X126</f>
        <v>0</v>
      </c>
      <c r="N12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6" s="411">
        <f t="shared" si="12"/>
        <v>0</v>
      </c>
      <c r="P126" s="413">
        <f t="shared" si="9"/>
        <v>0</v>
      </c>
      <c r="Q126" s="411">
        <f>'Sch4-Cost Savings by ECM'!AB126</f>
        <v>0</v>
      </c>
      <c r="R126" s="411">
        <f t="shared" si="13"/>
        <v>0</v>
      </c>
      <c r="S126" s="411">
        <f t="shared" si="14"/>
        <v>0</v>
      </c>
      <c r="T126" s="411">
        <f t="shared" si="15"/>
        <v>0</v>
      </c>
    </row>
    <row r="127" spans="1:20" ht="16.5" thickBot="1">
      <c r="A127" s="72" t="str">
        <f>IF('Sch2a-Imp Price by ECM'!B128="","",'Sch2a-Imp Price by ECM'!B128)</f>
        <v/>
      </c>
      <c r="B127" s="139" t="str">
        <f>IF('Sch2a-Imp Price by ECM'!D128="","",'Sch2a-Imp Price by ECM'!D128)</f>
        <v/>
      </c>
      <c r="C127" s="414" t="s">
        <v>430</v>
      </c>
      <c r="D127" s="410">
        <f>'Sch4-Cost Savings by ECM'!P127</f>
        <v>0</v>
      </c>
      <c r="E127" s="410">
        <f>VLOOKUP(C127,'eGRID subregion name'!$A$2:$N$30,8,0)</f>
        <v>189.83531623683197</v>
      </c>
      <c r="F127" s="410">
        <f t="shared" si="16"/>
        <v>0</v>
      </c>
      <c r="G127" s="411">
        <f>'Sch4-Cost Savings by ECM'!T127</f>
        <v>0</v>
      </c>
      <c r="H127" s="411">
        <f>VLOOKUP("Natural Gas", 'GHG Emissions'!$D$2:$M$66,4,FALSE)+VLOOKUP("Natural Gas", 'GHG Emissions'!$D$2:$M$66,6,FALSE)*'eGRID subregion name'!$P$3+VLOOKUP("Natural Gas", 'GHG Emissions'!$D$2:$M$66,8,FALSE)*'eGRID subregion name'!$P$4</f>
        <v>53.114800000000002</v>
      </c>
      <c r="I127" s="411">
        <f t="shared" si="10"/>
        <v>0</v>
      </c>
      <c r="J127" s="411">
        <f>'Sch4-Cost Savings by ECM'!V127</f>
        <v>0</v>
      </c>
      <c r="K12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7" s="411">
        <f t="shared" si="11"/>
        <v>0</v>
      </c>
      <c r="M127" s="411">
        <f>'Sch4-Cost Savings by ECM'!X127</f>
        <v>0</v>
      </c>
      <c r="N12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7" s="411">
        <f t="shared" si="12"/>
        <v>0</v>
      </c>
      <c r="P127" s="413">
        <f t="shared" si="9"/>
        <v>0</v>
      </c>
      <c r="Q127" s="411">
        <f>'Sch4-Cost Savings by ECM'!AB127</f>
        <v>0</v>
      </c>
      <c r="R127" s="411">
        <f t="shared" si="13"/>
        <v>0</v>
      </c>
      <c r="S127" s="411">
        <f t="shared" si="14"/>
        <v>0</v>
      </c>
      <c r="T127" s="411">
        <f t="shared" si="15"/>
        <v>0</v>
      </c>
    </row>
    <row r="128" spans="1:20" ht="16.5" thickBot="1">
      <c r="A128" s="72" t="str">
        <f>IF('Sch2a-Imp Price by ECM'!B129="","",'Sch2a-Imp Price by ECM'!B129)</f>
        <v/>
      </c>
      <c r="B128" s="139" t="str">
        <f>IF('Sch2a-Imp Price by ECM'!D129="","",'Sch2a-Imp Price by ECM'!D129)</f>
        <v/>
      </c>
      <c r="C128" s="414" t="s">
        <v>430</v>
      </c>
      <c r="D128" s="410">
        <f>'Sch4-Cost Savings by ECM'!P128</f>
        <v>0</v>
      </c>
      <c r="E128" s="410">
        <f>VLOOKUP(C128,'eGRID subregion name'!$A$2:$N$30,8,0)</f>
        <v>189.83531623683197</v>
      </c>
      <c r="F128" s="410">
        <f t="shared" si="16"/>
        <v>0</v>
      </c>
      <c r="G128" s="411">
        <f>'Sch4-Cost Savings by ECM'!T128</f>
        <v>0</v>
      </c>
      <c r="H128" s="411">
        <f>VLOOKUP("Natural Gas", 'GHG Emissions'!$D$2:$M$66,4,FALSE)+VLOOKUP("Natural Gas", 'GHG Emissions'!$D$2:$M$66,6,FALSE)*'eGRID subregion name'!$P$3+VLOOKUP("Natural Gas", 'GHG Emissions'!$D$2:$M$66,8,FALSE)*'eGRID subregion name'!$P$4</f>
        <v>53.114800000000002</v>
      </c>
      <c r="I128" s="411">
        <f t="shared" si="10"/>
        <v>0</v>
      </c>
      <c r="J128" s="411">
        <f>'Sch4-Cost Savings by ECM'!V128</f>
        <v>0</v>
      </c>
      <c r="K12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8" s="411">
        <f t="shared" si="11"/>
        <v>0</v>
      </c>
      <c r="M128" s="411">
        <f>'Sch4-Cost Savings by ECM'!X128</f>
        <v>0</v>
      </c>
      <c r="N12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8" s="411">
        <f t="shared" si="12"/>
        <v>0</v>
      </c>
      <c r="P128" s="413">
        <f t="shared" si="9"/>
        <v>0</v>
      </c>
      <c r="Q128" s="411">
        <f>'Sch4-Cost Savings by ECM'!AB128</f>
        <v>0</v>
      </c>
      <c r="R128" s="411">
        <f t="shared" si="13"/>
        <v>0</v>
      </c>
      <c r="S128" s="411">
        <f t="shared" si="14"/>
        <v>0</v>
      </c>
      <c r="T128" s="411">
        <f t="shared" si="15"/>
        <v>0</v>
      </c>
    </row>
    <row r="129" spans="1:20" ht="16.5" thickBot="1">
      <c r="A129" s="72" t="str">
        <f>IF('Sch2a-Imp Price by ECM'!B130="","",'Sch2a-Imp Price by ECM'!B130)</f>
        <v/>
      </c>
      <c r="B129" s="139" t="str">
        <f>IF('Sch2a-Imp Price by ECM'!D130="","",'Sch2a-Imp Price by ECM'!D130)</f>
        <v/>
      </c>
      <c r="C129" s="414" t="s">
        <v>430</v>
      </c>
      <c r="D129" s="410">
        <f>'Sch4-Cost Savings by ECM'!P129</f>
        <v>0</v>
      </c>
      <c r="E129" s="410">
        <f>VLOOKUP(C129,'eGRID subregion name'!$A$2:$N$30,8,0)</f>
        <v>189.83531623683197</v>
      </c>
      <c r="F129" s="410">
        <f t="shared" si="16"/>
        <v>0</v>
      </c>
      <c r="G129" s="411">
        <f>'Sch4-Cost Savings by ECM'!T129</f>
        <v>0</v>
      </c>
      <c r="H129" s="411">
        <f>VLOOKUP("Natural Gas", 'GHG Emissions'!$D$2:$M$66,4,FALSE)+VLOOKUP("Natural Gas", 'GHG Emissions'!$D$2:$M$66,6,FALSE)*'eGRID subregion name'!$P$3+VLOOKUP("Natural Gas", 'GHG Emissions'!$D$2:$M$66,8,FALSE)*'eGRID subregion name'!$P$4</f>
        <v>53.114800000000002</v>
      </c>
      <c r="I129" s="411">
        <f t="shared" si="10"/>
        <v>0</v>
      </c>
      <c r="J129" s="411">
        <f>'Sch4-Cost Savings by ECM'!V129</f>
        <v>0</v>
      </c>
      <c r="K12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9" s="411">
        <f t="shared" si="11"/>
        <v>0</v>
      </c>
      <c r="M129" s="411">
        <f>'Sch4-Cost Savings by ECM'!X129</f>
        <v>0</v>
      </c>
      <c r="N12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9" s="411">
        <f t="shared" si="12"/>
        <v>0</v>
      </c>
      <c r="P129" s="413">
        <f t="shared" si="9"/>
        <v>0</v>
      </c>
      <c r="Q129" s="411">
        <f>'Sch4-Cost Savings by ECM'!AB129</f>
        <v>0</v>
      </c>
      <c r="R129" s="411">
        <f t="shared" si="13"/>
        <v>0</v>
      </c>
      <c r="S129" s="411">
        <f t="shared" si="14"/>
        <v>0</v>
      </c>
      <c r="T129" s="411">
        <f t="shared" si="15"/>
        <v>0</v>
      </c>
    </row>
    <row r="130" spans="1:20" ht="16.5" thickBot="1">
      <c r="A130" s="72" t="str">
        <f>IF('Sch2a-Imp Price by ECM'!B131="","",'Sch2a-Imp Price by ECM'!B131)</f>
        <v/>
      </c>
      <c r="B130" s="139" t="str">
        <f>IF('Sch2a-Imp Price by ECM'!D131="","",'Sch2a-Imp Price by ECM'!D131)</f>
        <v/>
      </c>
      <c r="C130" s="414" t="s">
        <v>430</v>
      </c>
      <c r="D130" s="410">
        <f>'Sch4-Cost Savings by ECM'!P130</f>
        <v>0</v>
      </c>
      <c r="E130" s="410">
        <f>VLOOKUP(C130,'eGRID subregion name'!$A$2:$N$30,8,0)</f>
        <v>189.83531623683197</v>
      </c>
      <c r="F130" s="410">
        <f t="shared" si="16"/>
        <v>0</v>
      </c>
      <c r="G130" s="411">
        <f>'Sch4-Cost Savings by ECM'!T130</f>
        <v>0</v>
      </c>
      <c r="H130" s="411">
        <f>VLOOKUP("Natural Gas", 'GHG Emissions'!$D$2:$M$66,4,FALSE)+VLOOKUP("Natural Gas", 'GHG Emissions'!$D$2:$M$66,6,FALSE)*'eGRID subregion name'!$P$3+VLOOKUP("Natural Gas", 'GHG Emissions'!$D$2:$M$66,8,FALSE)*'eGRID subregion name'!$P$4</f>
        <v>53.114800000000002</v>
      </c>
      <c r="I130" s="411">
        <f t="shared" si="10"/>
        <v>0</v>
      </c>
      <c r="J130" s="411">
        <f>'Sch4-Cost Savings by ECM'!V130</f>
        <v>0</v>
      </c>
      <c r="K13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0" s="411">
        <f t="shared" si="11"/>
        <v>0</v>
      </c>
      <c r="M130" s="411">
        <f>'Sch4-Cost Savings by ECM'!X130</f>
        <v>0</v>
      </c>
      <c r="N13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0" s="411">
        <f t="shared" si="12"/>
        <v>0</v>
      </c>
      <c r="P130" s="413">
        <f t="shared" si="9"/>
        <v>0</v>
      </c>
      <c r="Q130" s="411">
        <f>'Sch4-Cost Savings by ECM'!AB130</f>
        <v>0</v>
      </c>
      <c r="R130" s="411">
        <f t="shared" si="13"/>
        <v>0</v>
      </c>
      <c r="S130" s="411">
        <f t="shared" si="14"/>
        <v>0</v>
      </c>
      <c r="T130" s="411">
        <f t="shared" si="15"/>
        <v>0</v>
      </c>
    </row>
    <row r="131" spans="1:20" ht="16.5" thickBot="1">
      <c r="A131" s="72" t="str">
        <f>IF('Sch2a-Imp Price by ECM'!B132="","",'Sch2a-Imp Price by ECM'!B132)</f>
        <v/>
      </c>
      <c r="B131" s="139" t="str">
        <f>IF('Sch2a-Imp Price by ECM'!D132="","",'Sch2a-Imp Price by ECM'!D132)</f>
        <v/>
      </c>
      <c r="C131" s="414" t="s">
        <v>430</v>
      </c>
      <c r="D131" s="410">
        <f>'Sch4-Cost Savings by ECM'!P131</f>
        <v>0</v>
      </c>
      <c r="E131" s="410">
        <f>VLOOKUP(C131,'eGRID subregion name'!$A$2:$N$30,8,0)</f>
        <v>189.83531623683197</v>
      </c>
      <c r="F131" s="410">
        <f t="shared" si="16"/>
        <v>0</v>
      </c>
      <c r="G131" s="411">
        <f>'Sch4-Cost Savings by ECM'!T131</f>
        <v>0</v>
      </c>
      <c r="H131" s="411">
        <f>VLOOKUP("Natural Gas", 'GHG Emissions'!$D$2:$M$66,4,FALSE)+VLOOKUP("Natural Gas", 'GHG Emissions'!$D$2:$M$66,6,FALSE)*'eGRID subregion name'!$P$3+VLOOKUP("Natural Gas", 'GHG Emissions'!$D$2:$M$66,8,FALSE)*'eGRID subregion name'!$P$4</f>
        <v>53.114800000000002</v>
      </c>
      <c r="I131" s="411">
        <f t="shared" si="10"/>
        <v>0</v>
      </c>
      <c r="J131" s="411">
        <f>'Sch4-Cost Savings by ECM'!V131</f>
        <v>0</v>
      </c>
      <c r="K13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1" s="411">
        <f t="shared" si="11"/>
        <v>0</v>
      </c>
      <c r="M131" s="411">
        <f>'Sch4-Cost Savings by ECM'!X131</f>
        <v>0</v>
      </c>
      <c r="N13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1" s="411">
        <f t="shared" si="12"/>
        <v>0</v>
      </c>
      <c r="P131" s="413">
        <f t="shared" si="9"/>
        <v>0</v>
      </c>
      <c r="Q131" s="411">
        <f>'Sch4-Cost Savings by ECM'!AB131</f>
        <v>0</v>
      </c>
      <c r="R131" s="411">
        <f t="shared" si="13"/>
        <v>0</v>
      </c>
      <c r="S131" s="411">
        <f t="shared" si="14"/>
        <v>0</v>
      </c>
      <c r="T131" s="411">
        <f t="shared" si="15"/>
        <v>0</v>
      </c>
    </row>
    <row r="132" spans="1:20" ht="16.5" thickBot="1">
      <c r="A132" s="72" t="str">
        <f>IF('Sch2a-Imp Price by ECM'!B133="","",'Sch2a-Imp Price by ECM'!B133)</f>
        <v/>
      </c>
      <c r="B132" s="139" t="str">
        <f>IF('Sch2a-Imp Price by ECM'!D133="","",'Sch2a-Imp Price by ECM'!D133)</f>
        <v/>
      </c>
      <c r="C132" s="414" t="s">
        <v>430</v>
      </c>
      <c r="D132" s="410">
        <f>'Sch4-Cost Savings by ECM'!P132</f>
        <v>0</v>
      </c>
      <c r="E132" s="410">
        <f>VLOOKUP(C132,'eGRID subregion name'!$A$2:$N$30,8,0)</f>
        <v>189.83531623683197</v>
      </c>
      <c r="F132" s="410">
        <f t="shared" si="16"/>
        <v>0</v>
      </c>
      <c r="G132" s="411">
        <f>'Sch4-Cost Savings by ECM'!T132</f>
        <v>0</v>
      </c>
      <c r="H132" s="411">
        <f>VLOOKUP("Natural Gas", 'GHG Emissions'!$D$2:$M$66,4,FALSE)+VLOOKUP("Natural Gas", 'GHG Emissions'!$D$2:$M$66,6,FALSE)*'eGRID subregion name'!$P$3+VLOOKUP("Natural Gas", 'GHG Emissions'!$D$2:$M$66,8,FALSE)*'eGRID subregion name'!$P$4</f>
        <v>53.114800000000002</v>
      </c>
      <c r="I132" s="411">
        <f t="shared" si="10"/>
        <v>0</v>
      </c>
      <c r="J132" s="411">
        <f>'Sch4-Cost Savings by ECM'!V132</f>
        <v>0</v>
      </c>
      <c r="K13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2" s="411">
        <f t="shared" si="11"/>
        <v>0</v>
      </c>
      <c r="M132" s="411">
        <f>'Sch4-Cost Savings by ECM'!X132</f>
        <v>0</v>
      </c>
      <c r="N13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2" s="411">
        <f t="shared" si="12"/>
        <v>0</v>
      </c>
      <c r="P132" s="413">
        <f t="shared" si="9"/>
        <v>0</v>
      </c>
      <c r="Q132" s="411">
        <f>'Sch4-Cost Savings by ECM'!AB132</f>
        <v>0</v>
      </c>
      <c r="R132" s="411">
        <f t="shared" si="13"/>
        <v>0</v>
      </c>
      <c r="S132" s="411">
        <f t="shared" si="14"/>
        <v>0</v>
      </c>
      <c r="T132" s="411">
        <f t="shared" si="15"/>
        <v>0</v>
      </c>
    </row>
    <row r="133" spans="1:20" ht="16.5" thickBot="1">
      <c r="A133" s="72" t="str">
        <f>IF('Sch2a-Imp Price by ECM'!B134="","",'Sch2a-Imp Price by ECM'!B134)</f>
        <v/>
      </c>
      <c r="B133" s="139" t="str">
        <f>IF('Sch2a-Imp Price by ECM'!D134="","",'Sch2a-Imp Price by ECM'!D134)</f>
        <v/>
      </c>
      <c r="C133" s="414" t="s">
        <v>430</v>
      </c>
      <c r="D133" s="410">
        <f>'Sch4-Cost Savings by ECM'!P133</f>
        <v>0</v>
      </c>
      <c r="E133" s="410">
        <f>VLOOKUP(C133,'eGRID subregion name'!$A$2:$N$30,8,0)</f>
        <v>189.83531623683197</v>
      </c>
      <c r="F133" s="410">
        <f t="shared" si="16"/>
        <v>0</v>
      </c>
      <c r="G133" s="411">
        <f>'Sch4-Cost Savings by ECM'!T133</f>
        <v>0</v>
      </c>
      <c r="H133" s="411">
        <f>VLOOKUP("Natural Gas", 'GHG Emissions'!$D$2:$M$66,4,FALSE)+VLOOKUP("Natural Gas", 'GHG Emissions'!$D$2:$M$66,6,FALSE)*'eGRID subregion name'!$P$3+VLOOKUP("Natural Gas", 'GHG Emissions'!$D$2:$M$66,8,FALSE)*'eGRID subregion name'!$P$4</f>
        <v>53.114800000000002</v>
      </c>
      <c r="I133" s="411">
        <f t="shared" si="10"/>
        <v>0</v>
      </c>
      <c r="J133" s="411">
        <f>'Sch4-Cost Savings by ECM'!V133</f>
        <v>0</v>
      </c>
      <c r="K13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3" s="411">
        <f t="shared" si="11"/>
        <v>0</v>
      </c>
      <c r="M133" s="411">
        <f>'Sch4-Cost Savings by ECM'!X133</f>
        <v>0</v>
      </c>
      <c r="N13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3" s="411">
        <f t="shared" si="12"/>
        <v>0</v>
      </c>
      <c r="P133" s="413">
        <f t="shared" si="9"/>
        <v>0</v>
      </c>
      <c r="Q133" s="411">
        <f>'Sch4-Cost Savings by ECM'!AB133</f>
        <v>0</v>
      </c>
      <c r="R133" s="411">
        <f t="shared" si="13"/>
        <v>0</v>
      </c>
      <c r="S133" s="411">
        <f t="shared" si="14"/>
        <v>0</v>
      </c>
      <c r="T133" s="411">
        <f t="shared" si="15"/>
        <v>0</v>
      </c>
    </row>
    <row r="134" spans="1:20" ht="16.5" thickBot="1">
      <c r="A134" s="72" t="str">
        <f>IF('Sch2a-Imp Price by ECM'!B135="","",'Sch2a-Imp Price by ECM'!B135)</f>
        <v/>
      </c>
      <c r="B134" s="139" t="str">
        <f>IF('Sch2a-Imp Price by ECM'!D135="","",'Sch2a-Imp Price by ECM'!D135)</f>
        <v/>
      </c>
      <c r="C134" s="414" t="s">
        <v>430</v>
      </c>
      <c r="D134" s="410">
        <f>'Sch4-Cost Savings by ECM'!P134</f>
        <v>0</v>
      </c>
      <c r="E134" s="410">
        <f>VLOOKUP(C134,'eGRID subregion name'!$A$2:$N$30,8,0)</f>
        <v>189.83531623683197</v>
      </c>
      <c r="F134" s="410">
        <f t="shared" si="16"/>
        <v>0</v>
      </c>
      <c r="G134" s="411">
        <f>'Sch4-Cost Savings by ECM'!T134</f>
        <v>0</v>
      </c>
      <c r="H134" s="411">
        <f>VLOOKUP("Natural Gas", 'GHG Emissions'!$D$2:$M$66,4,FALSE)+VLOOKUP("Natural Gas", 'GHG Emissions'!$D$2:$M$66,6,FALSE)*'eGRID subregion name'!$P$3+VLOOKUP("Natural Gas", 'GHG Emissions'!$D$2:$M$66,8,FALSE)*'eGRID subregion name'!$P$4</f>
        <v>53.114800000000002</v>
      </c>
      <c r="I134" s="411">
        <f t="shared" si="10"/>
        <v>0</v>
      </c>
      <c r="J134" s="411">
        <f>'Sch4-Cost Savings by ECM'!V134</f>
        <v>0</v>
      </c>
      <c r="K13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4" s="411">
        <f t="shared" si="11"/>
        <v>0</v>
      </c>
      <c r="M134" s="411">
        <f>'Sch4-Cost Savings by ECM'!X134</f>
        <v>0</v>
      </c>
      <c r="N13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4" s="411">
        <f t="shared" si="12"/>
        <v>0</v>
      </c>
      <c r="P134" s="413">
        <f t="shared" si="9"/>
        <v>0</v>
      </c>
      <c r="Q134" s="411">
        <f>'Sch4-Cost Savings by ECM'!AB134</f>
        <v>0</v>
      </c>
      <c r="R134" s="411">
        <f t="shared" si="13"/>
        <v>0</v>
      </c>
      <c r="S134" s="411">
        <f t="shared" si="14"/>
        <v>0</v>
      </c>
      <c r="T134" s="411">
        <f t="shared" si="15"/>
        <v>0</v>
      </c>
    </row>
    <row r="135" spans="1:20" ht="16.5" thickBot="1">
      <c r="A135" s="72" t="str">
        <f>IF('Sch2a-Imp Price by ECM'!B136="","",'Sch2a-Imp Price by ECM'!B136)</f>
        <v/>
      </c>
      <c r="B135" s="139" t="str">
        <f>IF('Sch2a-Imp Price by ECM'!D136="","",'Sch2a-Imp Price by ECM'!D136)</f>
        <v/>
      </c>
      <c r="C135" s="414" t="s">
        <v>430</v>
      </c>
      <c r="D135" s="410">
        <f>'Sch4-Cost Savings by ECM'!P135</f>
        <v>0</v>
      </c>
      <c r="E135" s="410">
        <f>VLOOKUP(C135,'eGRID subregion name'!$A$2:$N$30,8,0)</f>
        <v>189.83531623683197</v>
      </c>
      <c r="F135" s="410">
        <f t="shared" si="16"/>
        <v>0</v>
      </c>
      <c r="G135" s="411">
        <f>'Sch4-Cost Savings by ECM'!T135</f>
        <v>0</v>
      </c>
      <c r="H135" s="411">
        <f>VLOOKUP("Natural Gas", 'GHG Emissions'!$D$2:$M$66,4,FALSE)+VLOOKUP("Natural Gas", 'GHG Emissions'!$D$2:$M$66,6,FALSE)*'eGRID subregion name'!$P$3+VLOOKUP("Natural Gas", 'GHG Emissions'!$D$2:$M$66,8,FALSE)*'eGRID subregion name'!$P$4</f>
        <v>53.114800000000002</v>
      </c>
      <c r="I135" s="411">
        <f t="shared" si="10"/>
        <v>0</v>
      </c>
      <c r="J135" s="411">
        <f>'Sch4-Cost Savings by ECM'!V135</f>
        <v>0</v>
      </c>
      <c r="K13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5" s="411">
        <f t="shared" si="11"/>
        <v>0</v>
      </c>
      <c r="M135" s="411">
        <f>'Sch4-Cost Savings by ECM'!X135</f>
        <v>0</v>
      </c>
      <c r="N13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5" s="411">
        <f t="shared" si="12"/>
        <v>0</v>
      </c>
      <c r="P135" s="413">
        <f t="shared" si="9"/>
        <v>0</v>
      </c>
      <c r="Q135" s="411">
        <f>'Sch4-Cost Savings by ECM'!AB135</f>
        <v>0</v>
      </c>
      <c r="R135" s="411">
        <f t="shared" si="13"/>
        <v>0</v>
      </c>
      <c r="S135" s="411">
        <f t="shared" si="14"/>
        <v>0</v>
      </c>
      <c r="T135" s="411">
        <f t="shared" si="15"/>
        <v>0</v>
      </c>
    </row>
    <row r="136" spans="1:20" ht="16.5" thickBot="1">
      <c r="A136" s="72" t="str">
        <f>IF('Sch2a-Imp Price by ECM'!B137="","",'Sch2a-Imp Price by ECM'!B137)</f>
        <v/>
      </c>
      <c r="B136" s="139" t="str">
        <f>IF('Sch2a-Imp Price by ECM'!D137="","",'Sch2a-Imp Price by ECM'!D137)</f>
        <v/>
      </c>
      <c r="C136" s="414" t="s">
        <v>430</v>
      </c>
      <c r="D136" s="410">
        <f>'Sch4-Cost Savings by ECM'!P136</f>
        <v>0</v>
      </c>
      <c r="E136" s="410">
        <f>VLOOKUP(C136,'eGRID subregion name'!$A$2:$N$30,8,0)</f>
        <v>189.83531623683197</v>
      </c>
      <c r="F136" s="410">
        <f t="shared" si="16"/>
        <v>0</v>
      </c>
      <c r="G136" s="411">
        <f>'Sch4-Cost Savings by ECM'!T136</f>
        <v>0</v>
      </c>
      <c r="H136" s="411">
        <f>VLOOKUP("Natural Gas", 'GHG Emissions'!$D$2:$M$66,4,FALSE)+VLOOKUP("Natural Gas", 'GHG Emissions'!$D$2:$M$66,6,FALSE)*'eGRID subregion name'!$P$3+VLOOKUP("Natural Gas", 'GHG Emissions'!$D$2:$M$66,8,FALSE)*'eGRID subregion name'!$P$4</f>
        <v>53.114800000000002</v>
      </c>
      <c r="I136" s="411">
        <f t="shared" si="10"/>
        <v>0</v>
      </c>
      <c r="J136" s="411">
        <f>'Sch4-Cost Savings by ECM'!V136</f>
        <v>0</v>
      </c>
      <c r="K13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6" s="411">
        <f t="shared" si="11"/>
        <v>0</v>
      </c>
      <c r="M136" s="411">
        <f>'Sch4-Cost Savings by ECM'!X136</f>
        <v>0</v>
      </c>
      <c r="N13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6" s="411">
        <f t="shared" si="12"/>
        <v>0</v>
      </c>
      <c r="P136" s="413">
        <f t="shared" ref="P136:P199" si="17">(D136*3412/10^6)+G136+J136+M136</f>
        <v>0</v>
      </c>
      <c r="Q136" s="411">
        <f>'Sch4-Cost Savings by ECM'!AB136</f>
        <v>0</v>
      </c>
      <c r="R136" s="411">
        <f t="shared" si="13"/>
        <v>0</v>
      </c>
      <c r="S136" s="411">
        <f t="shared" si="14"/>
        <v>0</v>
      </c>
      <c r="T136" s="411">
        <f t="shared" si="15"/>
        <v>0</v>
      </c>
    </row>
    <row r="137" spans="1:20" ht="16.5" thickBot="1">
      <c r="A137" s="72" t="str">
        <f>IF('Sch2a-Imp Price by ECM'!B138="","",'Sch2a-Imp Price by ECM'!B138)</f>
        <v/>
      </c>
      <c r="B137" s="139" t="str">
        <f>IF('Sch2a-Imp Price by ECM'!D138="","",'Sch2a-Imp Price by ECM'!D138)</f>
        <v/>
      </c>
      <c r="C137" s="414" t="s">
        <v>430</v>
      </c>
      <c r="D137" s="410">
        <f>'Sch4-Cost Savings by ECM'!P137</f>
        <v>0</v>
      </c>
      <c r="E137" s="410">
        <f>VLOOKUP(C137,'eGRID subregion name'!$A$2:$N$30,8,0)</f>
        <v>189.83531623683197</v>
      </c>
      <c r="F137" s="410">
        <f t="shared" si="16"/>
        <v>0</v>
      </c>
      <c r="G137" s="411">
        <f>'Sch4-Cost Savings by ECM'!T137</f>
        <v>0</v>
      </c>
      <c r="H137" s="411">
        <f>VLOOKUP("Natural Gas", 'GHG Emissions'!$D$2:$M$66,4,FALSE)+VLOOKUP("Natural Gas", 'GHG Emissions'!$D$2:$M$66,6,FALSE)*'eGRID subregion name'!$P$3+VLOOKUP("Natural Gas", 'GHG Emissions'!$D$2:$M$66,8,FALSE)*'eGRID subregion name'!$P$4</f>
        <v>53.114800000000002</v>
      </c>
      <c r="I137" s="411">
        <f t="shared" ref="I137:I200" si="18">G137*H137</f>
        <v>0</v>
      </c>
      <c r="J137" s="411">
        <f>'Sch4-Cost Savings by ECM'!V137</f>
        <v>0</v>
      </c>
      <c r="K13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7" s="411">
        <f t="shared" ref="L137:L200" si="19">K137*J137</f>
        <v>0</v>
      </c>
      <c r="M137" s="411">
        <f>'Sch4-Cost Savings by ECM'!X137</f>
        <v>0</v>
      </c>
      <c r="N13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7" s="411">
        <f t="shared" ref="O137:O200" si="20">M137*N137</f>
        <v>0</v>
      </c>
      <c r="P137" s="413">
        <f t="shared" si="17"/>
        <v>0</v>
      </c>
      <c r="Q137" s="411">
        <f>'Sch4-Cost Savings by ECM'!AB137</f>
        <v>0</v>
      </c>
      <c r="R137" s="411">
        <f t="shared" ref="R137:R200" si="21">I137+IF(AND($L$5&lt;&gt;"Other Savings Type 1: Chilled Water",$L$5&lt;&gt;"Other Savings Type 1: Purchased Steam"),L137,0)+IF(AND($O$5&lt;&gt;"Other Savings Type 2: Chilled Water",$O$5&lt;&gt;"Other Savings Type 2: Purchased Steam"),O137,0)</f>
        <v>0</v>
      </c>
      <c r="S137" s="411">
        <f t="shared" ref="S137:S200" si="22">F137+IF(OR($L$5="Other Savings Type 1: Chilled Water",$L$5="Other Savings Type 1: Purchased Steam"),L137,0)+IF(OR($O$5="Other Savings Type 2: Chilled Water",$O$5="Other Savings Type 2: Purchased Steam"),O137,0)</f>
        <v>0</v>
      </c>
      <c r="T137" s="411">
        <f t="shared" ref="T137:T200" si="23">R137+S137</f>
        <v>0</v>
      </c>
    </row>
    <row r="138" spans="1:20" ht="16.5" thickBot="1">
      <c r="A138" s="72" t="str">
        <f>IF('Sch2a-Imp Price by ECM'!B139="","",'Sch2a-Imp Price by ECM'!B139)</f>
        <v/>
      </c>
      <c r="B138" s="139" t="str">
        <f>IF('Sch2a-Imp Price by ECM'!D139="","",'Sch2a-Imp Price by ECM'!D139)</f>
        <v/>
      </c>
      <c r="C138" s="414" t="s">
        <v>430</v>
      </c>
      <c r="D138" s="410">
        <f>'Sch4-Cost Savings by ECM'!P138</f>
        <v>0</v>
      </c>
      <c r="E138" s="410">
        <f>VLOOKUP(C138,'eGRID subregion name'!$A$2:$N$30,8,0)</f>
        <v>189.83531623683197</v>
      </c>
      <c r="F138" s="410">
        <f t="shared" ref="F138:F201" si="24">D138*3412*E138/1000000</f>
        <v>0</v>
      </c>
      <c r="G138" s="411">
        <f>'Sch4-Cost Savings by ECM'!T138</f>
        <v>0</v>
      </c>
      <c r="H138" s="411">
        <f>VLOOKUP("Natural Gas", 'GHG Emissions'!$D$2:$M$66,4,FALSE)+VLOOKUP("Natural Gas", 'GHG Emissions'!$D$2:$M$66,6,FALSE)*'eGRID subregion name'!$P$3+VLOOKUP("Natural Gas", 'GHG Emissions'!$D$2:$M$66,8,FALSE)*'eGRID subregion name'!$P$4</f>
        <v>53.114800000000002</v>
      </c>
      <c r="I138" s="411">
        <f t="shared" si="18"/>
        <v>0</v>
      </c>
      <c r="J138" s="411">
        <f>'Sch4-Cost Savings by ECM'!V138</f>
        <v>0</v>
      </c>
      <c r="K13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8" s="411">
        <f t="shared" si="19"/>
        <v>0</v>
      </c>
      <c r="M138" s="411">
        <f>'Sch4-Cost Savings by ECM'!X138</f>
        <v>0</v>
      </c>
      <c r="N13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8" s="411">
        <f t="shared" si="20"/>
        <v>0</v>
      </c>
      <c r="P138" s="413">
        <f t="shared" si="17"/>
        <v>0</v>
      </c>
      <c r="Q138" s="411">
        <f>'Sch4-Cost Savings by ECM'!AB138</f>
        <v>0</v>
      </c>
      <c r="R138" s="411">
        <f t="shared" si="21"/>
        <v>0</v>
      </c>
      <c r="S138" s="411">
        <f t="shared" si="22"/>
        <v>0</v>
      </c>
      <c r="T138" s="411">
        <f t="shared" si="23"/>
        <v>0</v>
      </c>
    </row>
    <row r="139" spans="1:20" ht="18" customHeight="1" thickBot="1">
      <c r="A139" s="72" t="str">
        <f>IF('Sch2a-Imp Price by ECM'!B140="","",'Sch2a-Imp Price by ECM'!B140)</f>
        <v/>
      </c>
      <c r="B139" s="139" t="str">
        <f>IF('Sch2a-Imp Price by ECM'!D140="","",'Sch2a-Imp Price by ECM'!D140)</f>
        <v/>
      </c>
      <c r="C139" s="414" t="s">
        <v>430</v>
      </c>
      <c r="D139" s="410">
        <f>'Sch4-Cost Savings by ECM'!P139</f>
        <v>0</v>
      </c>
      <c r="E139" s="410">
        <f>VLOOKUP(C139,'eGRID subregion name'!$A$2:$N$30,8,0)</f>
        <v>189.83531623683197</v>
      </c>
      <c r="F139" s="410">
        <f t="shared" si="24"/>
        <v>0</v>
      </c>
      <c r="G139" s="411">
        <f>'Sch4-Cost Savings by ECM'!T139</f>
        <v>0</v>
      </c>
      <c r="H139" s="411">
        <f>VLOOKUP("Natural Gas", 'GHG Emissions'!$D$2:$M$66,4,FALSE)+VLOOKUP("Natural Gas", 'GHG Emissions'!$D$2:$M$66,6,FALSE)*'eGRID subregion name'!$P$3+VLOOKUP("Natural Gas", 'GHG Emissions'!$D$2:$M$66,8,FALSE)*'eGRID subregion name'!$P$4</f>
        <v>53.114800000000002</v>
      </c>
      <c r="I139" s="411">
        <f t="shared" si="18"/>
        <v>0</v>
      </c>
      <c r="J139" s="411">
        <f>'Sch4-Cost Savings by ECM'!V139</f>
        <v>0</v>
      </c>
      <c r="K13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9" s="411">
        <f t="shared" si="19"/>
        <v>0</v>
      </c>
      <c r="M139" s="411">
        <f>'Sch4-Cost Savings by ECM'!X139</f>
        <v>0</v>
      </c>
      <c r="N13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9" s="411">
        <f t="shared" si="20"/>
        <v>0</v>
      </c>
      <c r="P139" s="413">
        <f t="shared" si="17"/>
        <v>0</v>
      </c>
      <c r="Q139" s="411">
        <f>'Sch4-Cost Savings by ECM'!AB139</f>
        <v>0</v>
      </c>
      <c r="R139" s="411">
        <f t="shared" si="21"/>
        <v>0</v>
      </c>
      <c r="S139" s="411">
        <f t="shared" si="22"/>
        <v>0</v>
      </c>
      <c r="T139" s="411">
        <f t="shared" si="23"/>
        <v>0</v>
      </c>
    </row>
    <row r="140" spans="1:20" ht="16.5" thickBot="1">
      <c r="A140" s="72" t="str">
        <f>IF('Sch2a-Imp Price by ECM'!B141="","",'Sch2a-Imp Price by ECM'!B141)</f>
        <v/>
      </c>
      <c r="B140" s="139" t="str">
        <f>IF('Sch2a-Imp Price by ECM'!D141="","",'Sch2a-Imp Price by ECM'!D141)</f>
        <v/>
      </c>
      <c r="C140" s="414" t="s">
        <v>430</v>
      </c>
      <c r="D140" s="410">
        <f>'Sch4-Cost Savings by ECM'!P140</f>
        <v>0</v>
      </c>
      <c r="E140" s="410">
        <f>VLOOKUP(C140,'eGRID subregion name'!$A$2:$N$30,8,0)</f>
        <v>189.83531623683197</v>
      </c>
      <c r="F140" s="410">
        <f t="shared" si="24"/>
        <v>0</v>
      </c>
      <c r="G140" s="411">
        <f>'Sch4-Cost Savings by ECM'!T140</f>
        <v>0</v>
      </c>
      <c r="H140" s="411">
        <f>VLOOKUP("Natural Gas", 'GHG Emissions'!$D$2:$M$66,4,FALSE)+VLOOKUP("Natural Gas", 'GHG Emissions'!$D$2:$M$66,6,FALSE)*'eGRID subregion name'!$P$3+VLOOKUP("Natural Gas", 'GHG Emissions'!$D$2:$M$66,8,FALSE)*'eGRID subregion name'!$P$4</f>
        <v>53.114800000000002</v>
      </c>
      <c r="I140" s="411">
        <f t="shared" si="18"/>
        <v>0</v>
      </c>
      <c r="J140" s="411">
        <f>'Sch4-Cost Savings by ECM'!V140</f>
        <v>0</v>
      </c>
      <c r="K14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0" s="411">
        <f t="shared" si="19"/>
        <v>0</v>
      </c>
      <c r="M140" s="411">
        <f>'Sch4-Cost Savings by ECM'!X140</f>
        <v>0</v>
      </c>
      <c r="N14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0" s="411">
        <f t="shared" si="20"/>
        <v>0</v>
      </c>
      <c r="P140" s="413">
        <f t="shared" si="17"/>
        <v>0</v>
      </c>
      <c r="Q140" s="411">
        <f>'Sch4-Cost Savings by ECM'!AB140</f>
        <v>0</v>
      </c>
      <c r="R140" s="411">
        <f t="shared" si="21"/>
        <v>0</v>
      </c>
      <c r="S140" s="411">
        <f t="shared" si="22"/>
        <v>0</v>
      </c>
      <c r="T140" s="411">
        <f t="shared" si="23"/>
        <v>0</v>
      </c>
    </row>
    <row r="141" spans="1:20" ht="16.5" thickBot="1">
      <c r="A141" s="72" t="str">
        <f>IF('Sch2a-Imp Price by ECM'!B142="","",'Sch2a-Imp Price by ECM'!B142)</f>
        <v/>
      </c>
      <c r="B141" s="139" t="str">
        <f>IF('Sch2a-Imp Price by ECM'!D142="","",'Sch2a-Imp Price by ECM'!D142)</f>
        <v/>
      </c>
      <c r="C141" s="414" t="s">
        <v>430</v>
      </c>
      <c r="D141" s="410">
        <f>'Sch4-Cost Savings by ECM'!P141</f>
        <v>0</v>
      </c>
      <c r="E141" s="410">
        <f>VLOOKUP(C141,'eGRID subregion name'!$A$2:$N$30,8,0)</f>
        <v>189.83531623683197</v>
      </c>
      <c r="F141" s="410">
        <f t="shared" si="24"/>
        <v>0</v>
      </c>
      <c r="G141" s="411">
        <f>'Sch4-Cost Savings by ECM'!T141</f>
        <v>0</v>
      </c>
      <c r="H141" s="411">
        <f>VLOOKUP("Natural Gas", 'GHG Emissions'!$D$2:$M$66,4,FALSE)+VLOOKUP("Natural Gas", 'GHG Emissions'!$D$2:$M$66,6,FALSE)*'eGRID subregion name'!$P$3+VLOOKUP("Natural Gas", 'GHG Emissions'!$D$2:$M$66,8,FALSE)*'eGRID subregion name'!$P$4</f>
        <v>53.114800000000002</v>
      </c>
      <c r="I141" s="411">
        <f t="shared" si="18"/>
        <v>0</v>
      </c>
      <c r="J141" s="411">
        <f>'Sch4-Cost Savings by ECM'!V141</f>
        <v>0</v>
      </c>
      <c r="K14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1" s="411">
        <f t="shared" si="19"/>
        <v>0</v>
      </c>
      <c r="M141" s="411">
        <f>'Sch4-Cost Savings by ECM'!X141</f>
        <v>0</v>
      </c>
      <c r="N14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1" s="411">
        <f t="shared" si="20"/>
        <v>0</v>
      </c>
      <c r="P141" s="413">
        <f t="shared" si="17"/>
        <v>0</v>
      </c>
      <c r="Q141" s="411">
        <f>'Sch4-Cost Savings by ECM'!AB141</f>
        <v>0</v>
      </c>
      <c r="R141" s="411">
        <f t="shared" si="21"/>
        <v>0</v>
      </c>
      <c r="S141" s="411">
        <f t="shared" si="22"/>
        <v>0</v>
      </c>
      <c r="T141" s="411">
        <f t="shared" si="23"/>
        <v>0</v>
      </c>
    </row>
    <row r="142" spans="1:20" ht="16.5" thickBot="1">
      <c r="A142" s="72" t="str">
        <f>IF('Sch2a-Imp Price by ECM'!B143="","",'Sch2a-Imp Price by ECM'!B143)</f>
        <v/>
      </c>
      <c r="B142" s="139" t="str">
        <f>IF('Sch2a-Imp Price by ECM'!D143="","",'Sch2a-Imp Price by ECM'!D143)</f>
        <v/>
      </c>
      <c r="C142" s="414" t="s">
        <v>430</v>
      </c>
      <c r="D142" s="410">
        <f>'Sch4-Cost Savings by ECM'!P142</f>
        <v>0</v>
      </c>
      <c r="E142" s="410">
        <f>VLOOKUP(C142,'eGRID subregion name'!$A$2:$N$30,8,0)</f>
        <v>189.83531623683197</v>
      </c>
      <c r="F142" s="410">
        <f t="shared" si="24"/>
        <v>0</v>
      </c>
      <c r="G142" s="411">
        <f>'Sch4-Cost Savings by ECM'!T142</f>
        <v>0</v>
      </c>
      <c r="H142" s="411">
        <f>VLOOKUP("Natural Gas", 'GHG Emissions'!$D$2:$M$66,4,FALSE)+VLOOKUP("Natural Gas", 'GHG Emissions'!$D$2:$M$66,6,FALSE)*'eGRID subregion name'!$P$3+VLOOKUP("Natural Gas", 'GHG Emissions'!$D$2:$M$66,8,FALSE)*'eGRID subregion name'!$P$4</f>
        <v>53.114800000000002</v>
      </c>
      <c r="I142" s="411">
        <f t="shared" si="18"/>
        <v>0</v>
      </c>
      <c r="J142" s="411">
        <f>'Sch4-Cost Savings by ECM'!V142</f>
        <v>0</v>
      </c>
      <c r="K14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2" s="411">
        <f t="shared" si="19"/>
        <v>0</v>
      </c>
      <c r="M142" s="411">
        <f>'Sch4-Cost Savings by ECM'!X142</f>
        <v>0</v>
      </c>
      <c r="N14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2" s="411">
        <f t="shared" si="20"/>
        <v>0</v>
      </c>
      <c r="P142" s="413">
        <f t="shared" si="17"/>
        <v>0</v>
      </c>
      <c r="Q142" s="411">
        <f>'Sch4-Cost Savings by ECM'!AB142</f>
        <v>0</v>
      </c>
      <c r="R142" s="411">
        <f t="shared" si="21"/>
        <v>0</v>
      </c>
      <c r="S142" s="411">
        <f t="shared" si="22"/>
        <v>0</v>
      </c>
      <c r="T142" s="411">
        <f t="shared" si="23"/>
        <v>0</v>
      </c>
    </row>
    <row r="143" spans="1:20" ht="16.5" thickBot="1">
      <c r="A143" s="72" t="str">
        <f>IF('Sch2a-Imp Price by ECM'!B144="","",'Sch2a-Imp Price by ECM'!B144)</f>
        <v/>
      </c>
      <c r="B143" s="139" t="str">
        <f>IF('Sch2a-Imp Price by ECM'!D144="","",'Sch2a-Imp Price by ECM'!D144)</f>
        <v/>
      </c>
      <c r="C143" s="414" t="s">
        <v>430</v>
      </c>
      <c r="D143" s="410">
        <f>'Sch4-Cost Savings by ECM'!P143</f>
        <v>0</v>
      </c>
      <c r="E143" s="410">
        <f>VLOOKUP(C143,'eGRID subregion name'!$A$2:$N$30,8,0)</f>
        <v>189.83531623683197</v>
      </c>
      <c r="F143" s="410">
        <f t="shared" si="24"/>
        <v>0</v>
      </c>
      <c r="G143" s="411">
        <f>'Sch4-Cost Savings by ECM'!T143</f>
        <v>0</v>
      </c>
      <c r="H143" s="411">
        <f>VLOOKUP("Natural Gas", 'GHG Emissions'!$D$2:$M$66,4,FALSE)+VLOOKUP("Natural Gas", 'GHG Emissions'!$D$2:$M$66,6,FALSE)*'eGRID subregion name'!$P$3+VLOOKUP("Natural Gas", 'GHG Emissions'!$D$2:$M$66,8,FALSE)*'eGRID subregion name'!$P$4</f>
        <v>53.114800000000002</v>
      </c>
      <c r="I143" s="411">
        <f t="shared" si="18"/>
        <v>0</v>
      </c>
      <c r="J143" s="411">
        <f>'Sch4-Cost Savings by ECM'!V143</f>
        <v>0</v>
      </c>
      <c r="K14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3" s="411">
        <f t="shared" si="19"/>
        <v>0</v>
      </c>
      <c r="M143" s="411">
        <f>'Sch4-Cost Savings by ECM'!X143</f>
        <v>0</v>
      </c>
      <c r="N14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3" s="411">
        <f t="shared" si="20"/>
        <v>0</v>
      </c>
      <c r="P143" s="413">
        <f t="shared" si="17"/>
        <v>0</v>
      </c>
      <c r="Q143" s="411">
        <f>'Sch4-Cost Savings by ECM'!AB143</f>
        <v>0</v>
      </c>
      <c r="R143" s="411">
        <f t="shared" si="21"/>
        <v>0</v>
      </c>
      <c r="S143" s="411">
        <f t="shared" si="22"/>
        <v>0</v>
      </c>
      <c r="T143" s="411">
        <f t="shared" si="23"/>
        <v>0</v>
      </c>
    </row>
    <row r="144" spans="1:20" ht="16.5" thickBot="1">
      <c r="A144" s="72" t="str">
        <f>IF('Sch2a-Imp Price by ECM'!B145="","",'Sch2a-Imp Price by ECM'!B145)</f>
        <v/>
      </c>
      <c r="B144" s="139" t="str">
        <f>IF('Sch2a-Imp Price by ECM'!D145="","",'Sch2a-Imp Price by ECM'!D145)</f>
        <v/>
      </c>
      <c r="C144" s="414" t="s">
        <v>430</v>
      </c>
      <c r="D144" s="410">
        <f>'Sch4-Cost Savings by ECM'!P144</f>
        <v>0</v>
      </c>
      <c r="E144" s="410">
        <f>VLOOKUP(C144,'eGRID subregion name'!$A$2:$N$30,8,0)</f>
        <v>189.83531623683197</v>
      </c>
      <c r="F144" s="410">
        <f t="shared" si="24"/>
        <v>0</v>
      </c>
      <c r="G144" s="411">
        <f>'Sch4-Cost Savings by ECM'!T144</f>
        <v>0</v>
      </c>
      <c r="H144" s="411">
        <f>VLOOKUP("Natural Gas", 'GHG Emissions'!$D$2:$M$66,4,FALSE)+VLOOKUP("Natural Gas", 'GHG Emissions'!$D$2:$M$66,6,FALSE)*'eGRID subregion name'!$P$3+VLOOKUP("Natural Gas", 'GHG Emissions'!$D$2:$M$66,8,FALSE)*'eGRID subregion name'!$P$4</f>
        <v>53.114800000000002</v>
      </c>
      <c r="I144" s="411">
        <f t="shared" si="18"/>
        <v>0</v>
      </c>
      <c r="J144" s="411">
        <f>'Sch4-Cost Savings by ECM'!V144</f>
        <v>0</v>
      </c>
      <c r="K14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4" s="411">
        <f t="shared" si="19"/>
        <v>0</v>
      </c>
      <c r="M144" s="411">
        <f>'Sch4-Cost Savings by ECM'!X144</f>
        <v>0</v>
      </c>
      <c r="N14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4" s="411">
        <f t="shared" si="20"/>
        <v>0</v>
      </c>
      <c r="P144" s="413">
        <f t="shared" si="17"/>
        <v>0</v>
      </c>
      <c r="Q144" s="411">
        <f>'Sch4-Cost Savings by ECM'!AB144</f>
        <v>0</v>
      </c>
      <c r="R144" s="411">
        <f t="shared" si="21"/>
        <v>0</v>
      </c>
      <c r="S144" s="411">
        <f t="shared" si="22"/>
        <v>0</v>
      </c>
      <c r="T144" s="411">
        <f t="shared" si="23"/>
        <v>0</v>
      </c>
    </row>
    <row r="145" spans="1:20" ht="16.5" thickBot="1">
      <c r="A145" s="72" t="str">
        <f>IF('Sch2a-Imp Price by ECM'!B146="","",'Sch2a-Imp Price by ECM'!B146)</f>
        <v/>
      </c>
      <c r="B145" s="139" t="str">
        <f>IF('Sch2a-Imp Price by ECM'!D146="","",'Sch2a-Imp Price by ECM'!D146)</f>
        <v/>
      </c>
      <c r="C145" s="414" t="s">
        <v>430</v>
      </c>
      <c r="D145" s="410">
        <f>'Sch4-Cost Savings by ECM'!P145</f>
        <v>0</v>
      </c>
      <c r="E145" s="410">
        <f>VLOOKUP(C145,'eGRID subregion name'!$A$2:$N$30,8,0)</f>
        <v>189.83531623683197</v>
      </c>
      <c r="F145" s="410">
        <f t="shared" si="24"/>
        <v>0</v>
      </c>
      <c r="G145" s="411">
        <f>'Sch4-Cost Savings by ECM'!T145</f>
        <v>0</v>
      </c>
      <c r="H145" s="411">
        <f>VLOOKUP("Natural Gas", 'GHG Emissions'!$D$2:$M$66,4,FALSE)+VLOOKUP("Natural Gas", 'GHG Emissions'!$D$2:$M$66,6,FALSE)*'eGRID subregion name'!$P$3+VLOOKUP("Natural Gas", 'GHG Emissions'!$D$2:$M$66,8,FALSE)*'eGRID subregion name'!$P$4</f>
        <v>53.114800000000002</v>
      </c>
      <c r="I145" s="411">
        <f t="shared" si="18"/>
        <v>0</v>
      </c>
      <c r="J145" s="411">
        <f>'Sch4-Cost Savings by ECM'!V145</f>
        <v>0</v>
      </c>
      <c r="K14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5" s="411">
        <f t="shared" si="19"/>
        <v>0</v>
      </c>
      <c r="M145" s="411">
        <f>'Sch4-Cost Savings by ECM'!X145</f>
        <v>0</v>
      </c>
      <c r="N14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5" s="411">
        <f t="shared" si="20"/>
        <v>0</v>
      </c>
      <c r="P145" s="413">
        <f t="shared" si="17"/>
        <v>0</v>
      </c>
      <c r="Q145" s="411">
        <f>'Sch4-Cost Savings by ECM'!AB145</f>
        <v>0</v>
      </c>
      <c r="R145" s="411">
        <f t="shared" si="21"/>
        <v>0</v>
      </c>
      <c r="S145" s="411">
        <f t="shared" si="22"/>
        <v>0</v>
      </c>
      <c r="T145" s="411">
        <f t="shared" si="23"/>
        <v>0</v>
      </c>
    </row>
    <row r="146" spans="1:20" ht="16.5" thickBot="1">
      <c r="A146" s="72" t="str">
        <f>IF('Sch2a-Imp Price by ECM'!B147="","",'Sch2a-Imp Price by ECM'!B147)</f>
        <v/>
      </c>
      <c r="B146" s="139" t="str">
        <f>IF('Sch2a-Imp Price by ECM'!D147="","",'Sch2a-Imp Price by ECM'!D147)</f>
        <v/>
      </c>
      <c r="C146" s="414" t="s">
        <v>430</v>
      </c>
      <c r="D146" s="410">
        <f>'Sch4-Cost Savings by ECM'!P146</f>
        <v>0</v>
      </c>
      <c r="E146" s="410">
        <f>VLOOKUP(C146,'eGRID subregion name'!$A$2:$N$30,8,0)</f>
        <v>189.83531623683197</v>
      </c>
      <c r="F146" s="410">
        <f t="shared" si="24"/>
        <v>0</v>
      </c>
      <c r="G146" s="411">
        <f>'Sch4-Cost Savings by ECM'!T146</f>
        <v>0</v>
      </c>
      <c r="H146" s="411">
        <f>VLOOKUP("Natural Gas", 'GHG Emissions'!$D$2:$M$66,4,FALSE)+VLOOKUP("Natural Gas", 'GHG Emissions'!$D$2:$M$66,6,FALSE)*'eGRID subregion name'!$P$3+VLOOKUP("Natural Gas", 'GHG Emissions'!$D$2:$M$66,8,FALSE)*'eGRID subregion name'!$P$4</f>
        <v>53.114800000000002</v>
      </c>
      <c r="I146" s="411">
        <f t="shared" si="18"/>
        <v>0</v>
      </c>
      <c r="J146" s="411">
        <f>'Sch4-Cost Savings by ECM'!V146</f>
        <v>0</v>
      </c>
      <c r="K14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6" s="411">
        <f t="shared" si="19"/>
        <v>0</v>
      </c>
      <c r="M146" s="411">
        <f>'Sch4-Cost Savings by ECM'!X146</f>
        <v>0</v>
      </c>
      <c r="N14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6" s="411">
        <f t="shared" si="20"/>
        <v>0</v>
      </c>
      <c r="P146" s="413">
        <f t="shared" si="17"/>
        <v>0</v>
      </c>
      <c r="Q146" s="411">
        <f>'Sch4-Cost Savings by ECM'!AB146</f>
        <v>0</v>
      </c>
      <c r="R146" s="411">
        <f t="shared" si="21"/>
        <v>0</v>
      </c>
      <c r="S146" s="411">
        <f t="shared" si="22"/>
        <v>0</v>
      </c>
      <c r="T146" s="411">
        <f t="shared" si="23"/>
        <v>0</v>
      </c>
    </row>
    <row r="147" spans="1:20" ht="16.5" thickBot="1">
      <c r="A147" s="72" t="str">
        <f>IF('Sch2a-Imp Price by ECM'!B148="","",'Sch2a-Imp Price by ECM'!B148)</f>
        <v/>
      </c>
      <c r="B147" s="139" t="str">
        <f>IF('Sch2a-Imp Price by ECM'!D148="","",'Sch2a-Imp Price by ECM'!D148)</f>
        <v/>
      </c>
      <c r="C147" s="414" t="s">
        <v>430</v>
      </c>
      <c r="D147" s="410">
        <f>'Sch4-Cost Savings by ECM'!P147</f>
        <v>0</v>
      </c>
      <c r="E147" s="410">
        <f>VLOOKUP(C147,'eGRID subregion name'!$A$2:$N$30,8,0)</f>
        <v>189.83531623683197</v>
      </c>
      <c r="F147" s="410">
        <f t="shared" si="24"/>
        <v>0</v>
      </c>
      <c r="G147" s="411">
        <f>'Sch4-Cost Savings by ECM'!T147</f>
        <v>0</v>
      </c>
      <c r="H147" s="411">
        <f>VLOOKUP("Natural Gas", 'GHG Emissions'!$D$2:$M$66,4,FALSE)+VLOOKUP("Natural Gas", 'GHG Emissions'!$D$2:$M$66,6,FALSE)*'eGRID subregion name'!$P$3+VLOOKUP("Natural Gas", 'GHG Emissions'!$D$2:$M$66,8,FALSE)*'eGRID subregion name'!$P$4</f>
        <v>53.114800000000002</v>
      </c>
      <c r="I147" s="411">
        <f t="shared" si="18"/>
        <v>0</v>
      </c>
      <c r="J147" s="411">
        <f>'Sch4-Cost Savings by ECM'!V147</f>
        <v>0</v>
      </c>
      <c r="K14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7" s="411">
        <f t="shared" si="19"/>
        <v>0</v>
      </c>
      <c r="M147" s="411">
        <f>'Sch4-Cost Savings by ECM'!X147</f>
        <v>0</v>
      </c>
      <c r="N14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7" s="411">
        <f t="shared" si="20"/>
        <v>0</v>
      </c>
      <c r="P147" s="413">
        <f t="shared" si="17"/>
        <v>0</v>
      </c>
      <c r="Q147" s="411">
        <f>'Sch4-Cost Savings by ECM'!AB147</f>
        <v>0</v>
      </c>
      <c r="R147" s="411">
        <f t="shared" si="21"/>
        <v>0</v>
      </c>
      <c r="S147" s="411">
        <f t="shared" si="22"/>
        <v>0</v>
      </c>
      <c r="T147" s="411">
        <f t="shared" si="23"/>
        <v>0</v>
      </c>
    </row>
    <row r="148" spans="1:20" ht="16.5" thickBot="1">
      <c r="A148" s="72" t="str">
        <f>IF('Sch2a-Imp Price by ECM'!B149="","",'Sch2a-Imp Price by ECM'!B149)</f>
        <v/>
      </c>
      <c r="B148" s="139" t="str">
        <f>IF('Sch2a-Imp Price by ECM'!D149="","",'Sch2a-Imp Price by ECM'!D149)</f>
        <v/>
      </c>
      <c r="C148" s="414" t="s">
        <v>430</v>
      </c>
      <c r="D148" s="410">
        <f>'Sch4-Cost Savings by ECM'!P148</f>
        <v>0</v>
      </c>
      <c r="E148" s="410">
        <f>VLOOKUP(C148,'eGRID subregion name'!$A$2:$N$30,8,0)</f>
        <v>189.83531623683197</v>
      </c>
      <c r="F148" s="410">
        <f t="shared" si="24"/>
        <v>0</v>
      </c>
      <c r="G148" s="411">
        <f>'Sch4-Cost Savings by ECM'!T148</f>
        <v>0</v>
      </c>
      <c r="H148" s="411">
        <f>VLOOKUP("Natural Gas", 'GHG Emissions'!$D$2:$M$66,4,FALSE)+VLOOKUP("Natural Gas", 'GHG Emissions'!$D$2:$M$66,6,FALSE)*'eGRID subregion name'!$P$3+VLOOKUP("Natural Gas", 'GHG Emissions'!$D$2:$M$66,8,FALSE)*'eGRID subregion name'!$P$4</f>
        <v>53.114800000000002</v>
      </c>
      <c r="I148" s="411">
        <f t="shared" si="18"/>
        <v>0</v>
      </c>
      <c r="J148" s="411">
        <f>'Sch4-Cost Savings by ECM'!V148</f>
        <v>0</v>
      </c>
      <c r="K14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8" s="411">
        <f t="shared" si="19"/>
        <v>0</v>
      </c>
      <c r="M148" s="411">
        <f>'Sch4-Cost Savings by ECM'!X148</f>
        <v>0</v>
      </c>
      <c r="N14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8" s="411">
        <f t="shared" si="20"/>
        <v>0</v>
      </c>
      <c r="P148" s="413">
        <f t="shared" si="17"/>
        <v>0</v>
      </c>
      <c r="Q148" s="411">
        <f>'Sch4-Cost Savings by ECM'!AB148</f>
        <v>0</v>
      </c>
      <c r="R148" s="411">
        <f t="shared" si="21"/>
        <v>0</v>
      </c>
      <c r="S148" s="411">
        <f t="shared" si="22"/>
        <v>0</v>
      </c>
      <c r="T148" s="411">
        <f t="shared" si="23"/>
        <v>0</v>
      </c>
    </row>
    <row r="149" spans="1:20" ht="16.5" thickBot="1">
      <c r="A149" s="72" t="str">
        <f>IF('Sch2a-Imp Price by ECM'!B150="","",'Sch2a-Imp Price by ECM'!B150)</f>
        <v/>
      </c>
      <c r="B149" s="139" t="str">
        <f>IF('Sch2a-Imp Price by ECM'!D150="","",'Sch2a-Imp Price by ECM'!D150)</f>
        <v/>
      </c>
      <c r="C149" s="414" t="s">
        <v>430</v>
      </c>
      <c r="D149" s="410">
        <f>'Sch4-Cost Savings by ECM'!P149</f>
        <v>0</v>
      </c>
      <c r="E149" s="410">
        <f>VLOOKUP(C149,'eGRID subregion name'!$A$2:$N$30,8,0)</f>
        <v>189.83531623683197</v>
      </c>
      <c r="F149" s="410">
        <f t="shared" si="24"/>
        <v>0</v>
      </c>
      <c r="G149" s="411">
        <f>'Sch4-Cost Savings by ECM'!T149</f>
        <v>0</v>
      </c>
      <c r="H149" s="411">
        <f>VLOOKUP("Natural Gas", 'GHG Emissions'!$D$2:$M$66,4,FALSE)+VLOOKUP("Natural Gas", 'GHG Emissions'!$D$2:$M$66,6,FALSE)*'eGRID subregion name'!$P$3+VLOOKUP("Natural Gas", 'GHG Emissions'!$D$2:$M$66,8,FALSE)*'eGRID subregion name'!$P$4</f>
        <v>53.114800000000002</v>
      </c>
      <c r="I149" s="411">
        <f t="shared" si="18"/>
        <v>0</v>
      </c>
      <c r="J149" s="411">
        <f>'Sch4-Cost Savings by ECM'!V149</f>
        <v>0</v>
      </c>
      <c r="K14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9" s="411">
        <f t="shared" si="19"/>
        <v>0</v>
      </c>
      <c r="M149" s="411">
        <f>'Sch4-Cost Savings by ECM'!X149</f>
        <v>0</v>
      </c>
      <c r="N14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9" s="411">
        <f t="shared" si="20"/>
        <v>0</v>
      </c>
      <c r="P149" s="413">
        <f t="shared" si="17"/>
        <v>0</v>
      </c>
      <c r="Q149" s="411">
        <f>'Sch4-Cost Savings by ECM'!AB149</f>
        <v>0</v>
      </c>
      <c r="R149" s="411">
        <f t="shared" si="21"/>
        <v>0</v>
      </c>
      <c r="S149" s="411">
        <f t="shared" si="22"/>
        <v>0</v>
      </c>
      <c r="T149" s="411">
        <f t="shared" si="23"/>
        <v>0</v>
      </c>
    </row>
    <row r="150" spans="1:20" ht="16.5" thickBot="1">
      <c r="A150" s="72" t="str">
        <f>IF('Sch2a-Imp Price by ECM'!B151="","",'Sch2a-Imp Price by ECM'!B151)</f>
        <v/>
      </c>
      <c r="B150" s="139" t="str">
        <f>IF('Sch2a-Imp Price by ECM'!D151="","",'Sch2a-Imp Price by ECM'!D151)</f>
        <v/>
      </c>
      <c r="C150" s="414" t="s">
        <v>430</v>
      </c>
      <c r="D150" s="410">
        <f>'Sch4-Cost Savings by ECM'!P150</f>
        <v>0</v>
      </c>
      <c r="E150" s="410">
        <f>VLOOKUP(C150,'eGRID subregion name'!$A$2:$N$30,8,0)</f>
        <v>189.83531623683197</v>
      </c>
      <c r="F150" s="410">
        <f t="shared" si="24"/>
        <v>0</v>
      </c>
      <c r="G150" s="411">
        <f>'Sch4-Cost Savings by ECM'!T150</f>
        <v>0</v>
      </c>
      <c r="H150" s="411">
        <f>VLOOKUP("Natural Gas", 'GHG Emissions'!$D$2:$M$66,4,FALSE)+VLOOKUP("Natural Gas", 'GHG Emissions'!$D$2:$M$66,6,FALSE)*'eGRID subregion name'!$P$3+VLOOKUP("Natural Gas", 'GHG Emissions'!$D$2:$M$66,8,FALSE)*'eGRID subregion name'!$P$4</f>
        <v>53.114800000000002</v>
      </c>
      <c r="I150" s="411">
        <f t="shared" si="18"/>
        <v>0</v>
      </c>
      <c r="J150" s="411">
        <f>'Sch4-Cost Savings by ECM'!V150</f>
        <v>0</v>
      </c>
      <c r="K15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0" s="411">
        <f t="shared" si="19"/>
        <v>0</v>
      </c>
      <c r="M150" s="411">
        <f>'Sch4-Cost Savings by ECM'!X150</f>
        <v>0</v>
      </c>
      <c r="N15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0" s="411">
        <f t="shared" si="20"/>
        <v>0</v>
      </c>
      <c r="P150" s="413">
        <f t="shared" si="17"/>
        <v>0</v>
      </c>
      <c r="Q150" s="411">
        <f>'Sch4-Cost Savings by ECM'!AB150</f>
        <v>0</v>
      </c>
      <c r="R150" s="411">
        <f t="shared" si="21"/>
        <v>0</v>
      </c>
      <c r="S150" s="411">
        <f t="shared" si="22"/>
        <v>0</v>
      </c>
      <c r="T150" s="411">
        <f t="shared" si="23"/>
        <v>0</v>
      </c>
    </row>
    <row r="151" spans="1:20" ht="16.5" thickBot="1">
      <c r="A151" s="72" t="str">
        <f>IF('Sch2a-Imp Price by ECM'!B152="","",'Sch2a-Imp Price by ECM'!B152)</f>
        <v/>
      </c>
      <c r="B151" s="139" t="str">
        <f>IF('Sch2a-Imp Price by ECM'!D152="","",'Sch2a-Imp Price by ECM'!D152)</f>
        <v/>
      </c>
      <c r="C151" s="414" t="s">
        <v>430</v>
      </c>
      <c r="D151" s="410">
        <f>'Sch4-Cost Savings by ECM'!P151</f>
        <v>0</v>
      </c>
      <c r="E151" s="410">
        <f>VLOOKUP(C151,'eGRID subregion name'!$A$2:$N$30,8,0)</f>
        <v>189.83531623683197</v>
      </c>
      <c r="F151" s="410">
        <f t="shared" si="24"/>
        <v>0</v>
      </c>
      <c r="G151" s="411">
        <f>'Sch4-Cost Savings by ECM'!T151</f>
        <v>0</v>
      </c>
      <c r="H151" s="411">
        <f>VLOOKUP("Natural Gas", 'GHG Emissions'!$D$2:$M$66,4,FALSE)+VLOOKUP("Natural Gas", 'GHG Emissions'!$D$2:$M$66,6,FALSE)*'eGRID subregion name'!$P$3+VLOOKUP("Natural Gas", 'GHG Emissions'!$D$2:$M$66,8,FALSE)*'eGRID subregion name'!$P$4</f>
        <v>53.114800000000002</v>
      </c>
      <c r="I151" s="411">
        <f t="shared" si="18"/>
        <v>0</v>
      </c>
      <c r="J151" s="411">
        <f>'Sch4-Cost Savings by ECM'!V151</f>
        <v>0</v>
      </c>
      <c r="K15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1" s="411">
        <f t="shared" si="19"/>
        <v>0</v>
      </c>
      <c r="M151" s="411">
        <f>'Sch4-Cost Savings by ECM'!X151</f>
        <v>0</v>
      </c>
      <c r="N15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1" s="411">
        <f t="shared" si="20"/>
        <v>0</v>
      </c>
      <c r="P151" s="413">
        <f t="shared" si="17"/>
        <v>0</v>
      </c>
      <c r="Q151" s="411">
        <f>'Sch4-Cost Savings by ECM'!AB151</f>
        <v>0</v>
      </c>
      <c r="R151" s="411">
        <f t="shared" si="21"/>
        <v>0</v>
      </c>
      <c r="S151" s="411">
        <f t="shared" si="22"/>
        <v>0</v>
      </c>
      <c r="T151" s="411">
        <f t="shared" si="23"/>
        <v>0</v>
      </c>
    </row>
    <row r="152" spans="1:20" ht="16.5" thickBot="1">
      <c r="A152" s="72" t="str">
        <f>IF('Sch2a-Imp Price by ECM'!B153="","",'Sch2a-Imp Price by ECM'!B153)</f>
        <v/>
      </c>
      <c r="B152" s="139" t="str">
        <f>IF('Sch2a-Imp Price by ECM'!D153="","",'Sch2a-Imp Price by ECM'!D153)</f>
        <v/>
      </c>
      <c r="C152" s="414" t="s">
        <v>430</v>
      </c>
      <c r="D152" s="410">
        <f>'Sch4-Cost Savings by ECM'!P152</f>
        <v>0</v>
      </c>
      <c r="E152" s="410">
        <f>VLOOKUP(C152,'eGRID subregion name'!$A$2:$N$30,8,0)</f>
        <v>189.83531623683197</v>
      </c>
      <c r="F152" s="410">
        <f t="shared" si="24"/>
        <v>0</v>
      </c>
      <c r="G152" s="411">
        <f>'Sch4-Cost Savings by ECM'!T152</f>
        <v>0</v>
      </c>
      <c r="H152" s="411">
        <f>VLOOKUP("Natural Gas", 'GHG Emissions'!$D$2:$M$66,4,FALSE)+VLOOKUP("Natural Gas", 'GHG Emissions'!$D$2:$M$66,6,FALSE)*'eGRID subregion name'!$P$3+VLOOKUP("Natural Gas", 'GHG Emissions'!$D$2:$M$66,8,FALSE)*'eGRID subregion name'!$P$4</f>
        <v>53.114800000000002</v>
      </c>
      <c r="I152" s="411">
        <f t="shared" si="18"/>
        <v>0</v>
      </c>
      <c r="J152" s="411">
        <f>'Sch4-Cost Savings by ECM'!V152</f>
        <v>0</v>
      </c>
      <c r="K15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2" s="411">
        <f t="shared" si="19"/>
        <v>0</v>
      </c>
      <c r="M152" s="411">
        <f>'Sch4-Cost Savings by ECM'!X152</f>
        <v>0</v>
      </c>
      <c r="N15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2" s="411">
        <f t="shared" si="20"/>
        <v>0</v>
      </c>
      <c r="P152" s="413">
        <f t="shared" si="17"/>
        <v>0</v>
      </c>
      <c r="Q152" s="411">
        <f>'Sch4-Cost Savings by ECM'!AB152</f>
        <v>0</v>
      </c>
      <c r="R152" s="411">
        <f t="shared" si="21"/>
        <v>0</v>
      </c>
      <c r="S152" s="411">
        <f t="shared" si="22"/>
        <v>0</v>
      </c>
      <c r="T152" s="411">
        <f t="shared" si="23"/>
        <v>0</v>
      </c>
    </row>
    <row r="153" spans="1:20" ht="16.5" thickBot="1">
      <c r="A153" s="72" t="str">
        <f>IF('Sch2a-Imp Price by ECM'!B154="","",'Sch2a-Imp Price by ECM'!B154)</f>
        <v/>
      </c>
      <c r="B153" s="139" t="str">
        <f>IF('Sch2a-Imp Price by ECM'!D154="","",'Sch2a-Imp Price by ECM'!D154)</f>
        <v/>
      </c>
      <c r="C153" s="414" t="s">
        <v>430</v>
      </c>
      <c r="D153" s="410">
        <f>'Sch4-Cost Savings by ECM'!P153</f>
        <v>0</v>
      </c>
      <c r="E153" s="410">
        <f>VLOOKUP(C153,'eGRID subregion name'!$A$2:$N$30,8,0)</f>
        <v>189.83531623683197</v>
      </c>
      <c r="F153" s="410">
        <f t="shared" si="24"/>
        <v>0</v>
      </c>
      <c r="G153" s="411">
        <f>'Sch4-Cost Savings by ECM'!T153</f>
        <v>0</v>
      </c>
      <c r="H153" s="411">
        <f>VLOOKUP("Natural Gas", 'GHG Emissions'!$D$2:$M$66,4,FALSE)+VLOOKUP("Natural Gas", 'GHG Emissions'!$D$2:$M$66,6,FALSE)*'eGRID subregion name'!$P$3+VLOOKUP("Natural Gas", 'GHG Emissions'!$D$2:$M$66,8,FALSE)*'eGRID subregion name'!$P$4</f>
        <v>53.114800000000002</v>
      </c>
      <c r="I153" s="411">
        <f t="shared" si="18"/>
        <v>0</v>
      </c>
      <c r="J153" s="411">
        <f>'Sch4-Cost Savings by ECM'!V153</f>
        <v>0</v>
      </c>
      <c r="K15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3" s="411">
        <f t="shared" si="19"/>
        <v>0</v>
      </c>
      <c r="M153" s="411">
        <f>'Sch4-Cost Savings by ECM'!X153</f>
        <v>0</v>
      </c>
      <c r="N15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3" s="411">
        <f t="shared" si="20"/>
        <v>0</v>
      </c>
      <c r="P153" s="413">
        <f t="shared" si="17"/>
        <v>0</v>
      </c>
      <c r="Q153" s="411">
        <f>'Sch4-Cost Savings by ECM'!AB153</f>
        <v>0</v>
      </c>
      <c r="R153" s="411">
        <f t="shared" si="21"/>
        <v>0</v>
      </c>
      <c r="S153" s="411">
        <f t="shared" si="22"/>
        <v>0</v>
      </c>
      <c r="T153" s="411">
        <f t="shared" si="23"/>
        <v>0</v>
      </c>
    </row>
    <row r="154" spans="1:20" ht="16.5" thickBot="1">
      <c r="A154" s="72" t="str">
        <f>IF('Sch2a-Imp Price by ECM'!B155="","",'Sch2a-Imp Price by ECM'!B155)</f>
        <v/>
      </c>
      <c r="B154" s="139" t="str">
        <f>IF('Sch2a-Imp Price by ECM'!D155="","",'Sch2a-Imp Price by ECM'!D155)</f>
        <v/>
      </c>
      <c r="C154" s="414" t="s">
        <v>430</v>
      </c>
      <c r="D154" s="410">
        <f>'Sch4-Cost Savings by ECM'!P154</f>
        <v>0</v>
      </c>
      <c r="E154" s="410">
        <f>VLOOKUP(C154,'eGRID subregion name'!$A$2:$N$30,8,0)</f>
        <v>189.83531623683197</v>
      </c>
      <c r="F154" s="410">
        <f t="shared" si="24"/>
        <v>0</v>
      </c>
      <c r="G154" s="411">
        <f>'Sch4-Cost Savings by ECM'!T154</f>
        <v>0</v>
      </c>
      <c r="H154" s="411">
        <f>VLOOKUP("Natural Gas", 'GHG Emissions'!$D$2:$M$66,4,FALSE)+VLOOKUP("Natural Gas", 'GHG Emissions'!$D$2:$M$66,6,FALSE)*'eGRID subregion name'!$P$3+VLOOKUP("Natural Gas", 'GHG Emissions'!$D$2:$M$66,8,FALSE)*'eGRID subregion name'!$P$4</f>
        <v>53.114800000000002</v>
      </c>
      <c r="I154" s="411">
        <f t="shared" si="18"/>
        <v>0</v>
      </c>
      <c r="J154" s="411">
        <f>'Sch4-Cost Savings by ECM'!V154</f>
        <v>0</v>
      </c>
      <c r="K15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4" s="411">
        <f t="shared" si="19"/>
        <v>0</v>
      </c>
      <c r="M154" s="411">
        <f>'Sch4-Cost Savings by ECM'!X154</f>
        <v>0</v>
      </c>
      <c r="N15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4" s="411">
        <f t="shared" si="20"/>
        <v>0</v>
      </c>
      <c r="P154" s="413">
        <f t="shared" si="17"/>
        <v>0</v>
      </c>
      <c r="Q154" s="411">
        <f>'Sch4-Cost Savings by ECM'!AB154</f>
        <v>0</v>
      </c>
      <c r="R154" s="411">
        <f t="shared" si="21"/>
        <v>0</v>
      </c>
      <c r="S154" s="411">
        <f t="shared" si="22"/>
        <v>0</v>
      </c>
      <c r="T154" s="411">
        <f t="shared" si="23"/>
        <v>0</v>
      </c>
    </row>
    <row r="155" spans="1:20" ht="16.5" thickBot="1">
      <c r="A155" s="72" t="str">
        <f>IF('Sch2a-Imp Price by ECM'!B156="","",'Sch2a-Imp Price by ECM'!B156)</f>
        <v/>
      </c>
      <c r="B155" s="139" t="str">
        <f>IF('Sch2a-Imp Price by ECM'!D156="","",'Sch2a-Imp Price by ECM'!D156)</f>
        <v/>
      </c>
      <c r="C155" s="414" t="s">
        <v>430</v>
      </c>
      <c r="D155" s="410">
        <f>'Sch4-Cost Savings by ECM'!P155</f>
        <v>0</v>
      </c>
      <c r="E155" s="410">
        <f>VLOOKUP(C155,'eGRID subregion name'!$A$2:$N$30,8,0)</f>
        <v>189.83531623683197</v>
      </c>
      <c r="F155" s="410">
        <f t="shared" si="24"/>
        <v>0</v>
      </c>
      <c r="G155" s="411">
        <f>'Sch4-Cost Savings by ECM'!T155</f>
        <v>0</v>
      </c>
      <c r="H155" s="411">
        <f>VLOOKUP("Natural Gas", 'GHG Emissions'!$D$2:$M$66,4,FALSE)+VLOOKUP("Natural Gas", 'GHG Emissions'!$D$2:$M$66,6,FALSE)*'eGRID subregion name'!$P$3+VLOOKUP("Natural Gas", 'GHG Emissions'!$D$2:$M$66,8,FALSE)*'eGRID subregion name'!$P$4</f>
        <v>53.114800000000002</v>
      </c>
      <c r="I155" s="411">
        <f t="shared" si="18"/>
        <v>0</v>
      </c>
      <c r="J155" s="411">
        <f>'Sch4-Cost Savings by ECM'!V155</f>
        <v>0</v>
      </c>
      <c r="K15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5" s="411">
        <f t="shared" si="19"/>
        <v>0</v>
      </c>
      <c r="M155" s="411">
        <f>'Sch4-Cost Savings by ECM'!X155</f>
        <v>0</v>
      </c>
      <c r="N15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5" s="411">
        <f t="shared" si="20"/>
        <v>0</v>
      </c>
      <c r="P155" s="413">
        <f t="shared" si="17"/>
        <v>0</v>
      </c>
      <c r="Q155" s="411">
        <f>'Sch4-Cost Savings by ECM'!AB155</f>
        <v>0</v>
      </c>
      <c r="R155" s="411">
        <f t="shared" si="21"/>
        <v>0</v>
      </c>
      <c r="S155" s="411">
        <f t="shared" si="22"/>
        <v>0</v>
      </c>
      <c r="T155" s="411">
        <f t="shared" si="23"/>
        <v>0</v>
      </c>
    </row>
    <row r="156" spans="1:20" ht="16.5" thickBot="1">
      <c r="A156" s="72" t="str">
        <f>IF('Sch2a-Imp Price by ECM'!B157="","",'Sch2a-Imp Price by ECM'!B157)</f>
        <v/>
      </c>
      <c r="B156" s="139" t="str">
        <f>IF('Sch2a-Imp Price by ECM'!D157="","",'Sch2a-Imp Price by ECM'!D157)</f>
        <v/>
      </c>
      <c r="C156" s="414" t="s">
        <v>430</v>
      </c>
      <c r="D156" s="410">
        <f>'Sch4-Cost Savings by ECM'!P156</f>
        <v>0</v>
      </c>
      <c r="E156" s="410">
        <f>VLOOKUP(C156,'eGRID subregion name'!$A$2:$N$30,8,0)</f>
        <v>189.83531623683197</v>
      </c>
      <c r="F156" s="410">
        <f t="shared" si="24"/>
        <v>0</v>
      </c>
      <c r="G156" s="411">
        <f>'Sch4-Cost Savings by ECM'!T156</f>
        <v>0</v>
      </c>
      <c r="H156" s="411">
        <f>VLOOKUP("Natural Gas", 'GHG Emissions'!$D$2:$M$66,4,FALSE)+VLOOKUP("Natural Gas", 'GHG Emissions'!$D$2:$M$66,6,FALSE)*'eGRID subregion name'!$P$3+VLOOKUP("Natural Gas", 'GHG Emissions'!$D$2:$M$66,8,FALSE)*'eGRID subregion name'!$P$4</f>
        <v>53.114800000000002</v>
      </c>
      <c r="I156" s="411">
        <f t="shared" si="18"/>
        <v>0</v>
      </c>
      <c r="J156" s="411">
        <f>'Sch4-Cost Savings by ECM'!V156</f>
        <v>0</v>
      </c>
      <c r="K15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6" s="411">
        <f t="shared" si="19"/>
        <v>0</v>
      </c>
      <c r="M156" s="411">
        <f>'Sch4-Cost Savings by ECM'!X156</f>
        <v>0</v>
      </c>
      <c r="N15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6" s="411">
        <f t="shared" si="20"/>
        <v>0</v>
      </c>
      <c r="P156" s="413">
        <f t="shared" si="17"/>
        <v>0</v>
      </c>
      <c r="Q156" s="411">
        <f>'Sch4-Cost Savings by ECM'!AB156</f>
        <v>0</v>
      </c>
      <c r="R156" s="411">
        <f t="shared" si="21"/>
        <v>0</v>
      </c>
      <c r="S156" s="411">
        <f t="shared" si="22"/>
        <v>0</v>
      </c>
      <c r="T156" s="411">
        <f t="shared" si="23"/>
        <v>0</v>
      </c>
    </row>
    <row r="157" spans="1:20" ht="16.5" thickBot="1">
      <c r="A157" s="72" t="str">
        <f>IF('Sch2a-Imp Price by ECM'!B158="","",'Sch2a-Imp Price by ECM'!B158)</f>
        <v/>
      </c>
      <c r="B157" s="139" t="str">
        <f>IF('Sch2a-Imp Price by ECM'!D158="","",'Sch2a-Imp Price by ECM'!D158)</f>
        <v/>
      </c>
      <c r="C157" s="414" t="s">
        <v>430</v>
      </c>
      <c r="D157" s="410">
        <f>'Sch4-Cost Savings by ECM'!P157</f>
        <v>0</v>
      </c>
      <c r="E157" s="410">
        <f>VLOOKUP(C157,'eGRID subregion name'!$A$2:$N$30,8,0)</f>
        <v>189.83531623683197</v>
      </c>
      <c r="F157" s="410">
        <f t="shared" si="24"/>
        <v>0</v>
      </c>
      <c r="G157" s="411">
        <f>'Sch4-Cost Savings by ECM'!T157</f>
        <v>0</v>
      </c>
      <c r="H157" s="411">
        <f>VLOOKUP("Natural Gas", 'GHG Emissions'!$D$2:$M$66,4,FALSE)+VLOOKUP("Natural Gas", 'GHG Emissions'!$D$2:$M$66,6,FALSE)*'eGRID subregion name'!$P$3+VLOOKUP("Natural Gas", 'GHG Emissions'!$D$2:$M$66,8,FALSE)*'eGRID subregion name'!$P$4</f>
        <v>53.114800000000002</v>
      </c>
      <c r="I157" s="411">
        <f t="shared" si="18"/>
        <v>0</v>
      </c>
      <c r="J157" s="411">
        <f>'Sch4-Cost Savings by ECM'!V157</f>
        <v>0</v>
      </c>
      <c r="K15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7" s="411">
        <f t="shared" si="19"/>
        <v>0</v>
      </c>
      <c r="M157" s="411">
        <f>'Sch4-Cost Savings by ECM'!X157</f>
        <v>0</v>
      </c>
      <c r="N15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7" s="411">
        <f t="shared" si="20"/>
        <v>0</v>
      </c>
      <c r="P157" s="413">
        <f t="shared" si="17"/>
        <v>0</v>
      </c>
      <c r="Q157" s="411">
        <f>'Sch4-Cost Savings by ECM'!AB157</f>
        <v>0</v>
      </c>
      <c r="R157" s="411">
        <f t="shared" si="21"/>
        <v>0</v>
      </c>
      <c r="S157" s="411">
        <f t="shared" si="22"/>
        <v>0</v>
      </c>
      <c r="T157" s="411">
        <f t="shared" si="23"/>
        <v>0</v>
      </c>
    </row>
    <row r="158" spans="1:20" ht="16.5" thickBot="1">
      <c r="A158" s="72" t="str">
        <f>IF('Sch2a-Imp Price by ECM'!B159="","",'Sch2a-Imp Price by ECM'!B159)</f>
        <v/>
      </c>
      <c r="B158" s="139" t="str">
        <f>IF('Sch2a-Imp Price by ECM'!D159="","",'Sch2a-Imp Price by ECM'!D159)</f>
        <v/>
      </c>
      <c r="C158" s="414" t="s">
        <v>430</v>
      </c>
      <c r="D158" s="410">
        <f>'Sch4-Cost Savings by ECM'!P158</f>
        <v>0</v>
      </c>
      <c r="E158" s="410">
        <f>VLOOKUP(C158,'eGRID subregion name'!$A$2:$N$30,8,0)</f>
        <v>189.83531623683197</v>
      </c>
      <c r="F158" s="410">
        <f t="shared" si="24"/>
        <v>0</v>
      </c>
      <c r="G158" s="411">
        <f>'Sch4-Cost Savings by ECM'!T158</f>
        <v>0</v>
      </c>
      <c r="H158" s="411">
        <f>VLOOKUP("Natural Gas", 'GHG Emissions'!$D$2:$M$66,4,FALSE)+VLOOKUP("Natural Gas", 'GHG Emissions'!$D$2:$M$66,6,FALSE)*'eGRID subregion name'!$P$3+VLOOKUP("Natural Gas", 'GHG Emissions'!$D$2:$M$66,8,FALSE)*'eGRID subregion name'!$P$4</f>
        <v>53.114800000000002</v>
      </c>
      <c r="I158" s="411">
        <f t="shared" si="18"/>
        <v>0</v>
      </c>
      <c r="J158" s="411">
        <f>'Sch4-Cost Savings by ECM'!V158</f>
        <v>0</v>
      </c>
      <c r="K15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8" s="411">
        <f t="shared" si="19"/>
        <v>0</v>
      </c>
      <c r="M158" s="411">
        <f>'Sch4-Cost Savings by ECM'!X158</f>
        <v>0</v>
      </c>
      <c r="N15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8" s="411">
        <f t="shared" si="20"/>
        <v>0</v>
      </c>
      <c r="P158" s="413">
        <f t="shared" si="17"/>
        <v>0</v>
      </c>
      <c r="Q158" s="411">
        <f>'Sch4-Cost Savings by ECM'!AB158</f>
        <v>0</v>
      </c>
      <c r="R158" s="411">
        <f t="shared" si="21"/>
        <v>0</v>
      </c>
      <c r="S158" s="411">
        <f t="shared" si="22"/>
        <v>0</v>
      </c>
      <c r="T158" s="411">
        <f t="shared" si="23"/>
        <v>0</v>
      </c>
    </row>
    <row r="159" spans="1:20" ht="16.5" thickBot="1">
      <c r="A159" s="72" t="str">
        <f>IF('Sch2a-Imp Price by ECM'!B160="","",'Sch2a-Imp Price by ECM'!B160)</f>
        <v/>
      </c>
      <c r="B159" s="139" t="str">
        <f>IF('Sch2a-Imp Price by ECM'!D160="","",'Sch2a-Imp Price by ECM'!D160)</f>
        <v/>
      </c>
      <c r="C159" s="414" t="s">
        <v>430</v>
      </c>
      <c r="D159" s="410">
        <f>'Sch4-Cost Savings by ECM'!P159</f>
        <v>0</v>
      </c>
      <c r="E159" s="410">
        <f>VLOOKUP(C159,'eGRID subregion name'!$A$2:$N$30,8,0)</f>
        <v>189.83531623683197</v>
      </c>
      <c r="F159" s="410">
        <f t="shared" si="24"/>
        <v>0</v>
      </c>
      <c r="G159" s="411">
        <f>'Sch4-Cost Savings by ECM'!T159</f>
        <v>0</v>
      </c>
      <c r="H159" s="411">
        <f>VLOOKUP("Natural Gas", 'GHG Emissions'!$D$2:$M$66,4,FALSE)+VLOOKUP("Natural Gas", 'GHG Emissions'!$D$2:$M$66,6,FALSE)*'eGRID subregion name'!$P$3+VLOOKUP("Natural Gas", 'GHG Emissions'!$D$2:$M$66,8,FALSE)*'eGRID subregion name'!$P$4</f>
        <v>53.114800000000002</v>
      </c>
      <c r="I159" s="411">
        <f t="shared" si="18"/>
        <v>0</v>
      </c>
      <c r="J159" s="411">
        <f>'Sch4-Cost Savings by ECM'!V159</f>
        <v>0</v>
      </c>
      <c r="K15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9" s="411">
        <f t="shared" si="19"/>
        <v>0</v>
      </c>
      <c r="M159" s="411">
        <f>'Sch4-Cost Savings by ECM'!X159</f>
        <v>0</v>
      </c>
      <c r="N15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9" s="411">
        <f t="shared" si="20"/>
        <v>0</v>
      </c>
      <c r="P159" s="413">
        <f t="shared" si="17"/>
        <v>0</v>
      </c>
      <c r="Q159" s="411">
        <f>'Sch4-Cost Savings by ECM'!AB159</f>
        <v>0</v>
      </c>
      <c r="R159" s="411">
        <f t="shared" si="21"/>
        <v>0</v>
      </c>
      <c r="S159" s="411">
        <f t="shared" si="22"/>
        <v>0</v>
      </c>
      <c r="T159" s="411">
        <f t="shared" si="23"/>
        <v>0</v>
      </c>
    </row>
    <row r="160" spans="1:20" ht="18" customHeight="1" thickBot="1">
      <c r="A160" s="72" t="str">
        <f>IF('Sch2a-Imp Price by ECM'!B161="","",'Sch2a-Imp Price by ECM'!B161)</f>
        <v/>
      </c>
      <c r="B160" s="139" t="str">
        <f>IF('Sch2a-Imp Price by ECM'!D161="","",'Sch2a-Imp Price by ECM'!D161)</f>
        <v/>
      </c>
      <c r="C160" s="414" t="s">
        <v>430</v>
      </c>
      <c r="D160" s="410">
        <f>'Sch4-Cost Savings by ECM'!P160</f>
        <v>0</v>
      </c>
      <c r="E160" s="410">
        <f>VLOOKUP(C160,'eGRID subregion name'!$A$2:$N$30,8,0)</f>
        <v>189.83531623683197</v>
      </c>
      <c r="F160" s="410">
        <f t="shared" si="24"/>
        <v>0</v>
      </c>
      <c r="G160" s="411">
        <f>'Sch4-Cost Savings by ECM'!T160</f>
        <v>0</v>
      </c>
      <c r="H160" s="411">
        <f>VLOOKUP("Natural Gas", 'GHG Emissions'!$D$2:$M$66,4,FALSE)+VLOOKUP("Natural Gas", 'GHG Emissions'!$D$2:$M$66,6,FALSE)*'eGRID subregion name'!$P$3+VLOOKUP("Natural Gas", 'GHG Emissions'!$D$2:$M$66,8,FALSE)*'eGRID subregion name'!$P$4</f>
        <v>53.114800000000002</v>
      </c>
      <c r="I160" s="411">
        <f t="shared" si="18"/>
        <v>0</v>
      </c>
      <c r="J160" s="411">
        <f>'Sch4-Cost Savings by ECM'!V160</f>
        <v>0</v>
      </c>
      <c r="K16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0" s="411">
        <f t="shared" si="19"/>
        <v>0</v>
      </c>
      <c r="M160" s="411">
        <f>'Sch4-Cost Savings by ECM'!X160</f>
        <v>0</v>
      </c>
      <c r="N16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0" s="411">
        <f t="shared" si="20"/>
        <v>0</v>
      </c>
      <c r="P160" s="413">
        <f t="shared" si="17"/>
        <v>0</v>
      </c>
      <c r="Q160" s="411">
        <f>'Sch4-Cost Savings by ECM'!AB160</f>
        <v>0</v>
      </c>
      <c r="R160" s="411">
        <f t="shared" si="21"/>
        <v>0</v>
      </c>
      <c r="S160" s="411">
        <f t="shared" si="22"/>
        <v>0</v>
      </c>
      <c r="T160" s="411">
        <f t="shared" si="23"/>
        <v>0</v>
      </c>
    </row>
    <row r="161" spans="1:20" ht="16.5" thickBot="1">
      <c r="A161" s="72" t="str">
        <f>IF('Sch2a-Imp Price by ECM'!B162="","",'Sch2a-Imp Price by ECM'!B162)</f>
        <v/>
      </c>
      <c r="B161" s="139" t="str">
        <f>IF('Sch2a-Imp Price by ECM'!D162="","",'Sch2a-Imp Price by ECM'!D162)</f>
        <v/>
      </c>
      <c r="C161" s="414" t="s">
        <v>430</v>
      </c>
      <c r="D161" s="410">
        <f>'Sch4-Cost Savings by ECM'!P161</f>
        <v>0</v>
      </c>
      <c r="E161" s="410">
        <f>VLOOKUP(C161,'eGRID subregion name'!$A$2:$N$30,8,0)</f>
        <v>189.83531623683197</v>
      </c>
      <c r="F161" s="410">
        <f t="shared" si="24"/>
        <v>0</v>
      </c>
      <c r="G161" s="411">
        <f>'Sch4-Cost Savings by ECM'!T161</f>
        <v>0</v>
      </c>
      <c r="H161" s="411">
        <f>VLOOKUP("Natural Gas", 'GHG Emissions'!$D$2:$M$66,4,FALSE)+VLOOKUP("Natural Gas", 'GHG Emissions'!$D$2:$M$66,6,FALSE)*'eGRID subregion name'!$P$3+VLOOKUP("Natural Gas", 'GHG Emissions'!$D$2:$M$66,8,FALSE)*'eGRID subregion name'!$P$4</f>
        <v>53.114800000000002</v>
      </c>
      <c r="I161" s="411">
        <f t="shared" si="18"/>
        <v>0</v>
      </c>
      <c r="J161" s="411">
        <f>'Sch4-Cost Savings by ECM'!V161</f>
        <v>0</v>
      </c>
      <c r="K16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1" s="411">
        <f t="shared" si="19"/>
        <v>0</v>
      </c>
      <c r="M161" s="411">
        <f>'Sch4-Cost Savings by ECM'!X161</f>
        <v>0</v>
      </c>
      <c r="N16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1" s="411">
        <f t="shared" si="20"/>
        <v>0</v>
      </c>
      <c r="P161" s="413">
        <f t="shared" si="17"/>
        <v>0</v>
      </c>
      <c r="Q161" s="411">
        <f>'Sch4-Cost Savings by ECM'!AB161</f>
        <v>0</v>
      </c>
      <c r="R161" s="411">
        <f t="shared" si="21"/>
        <v>0</v>
      </c>
      <c r="S161" s="411">
        <f t="shared" si="22"/>
        <v>0</v>
      </c>
      <c r="T161" s="411">
        <f t="shared" si="23"/>
        <v>0</v>
      </c>
    </row>
    <row r="162" spans="1:20" ht="16.5" thickBot="1">
      <c r="A162" s="72" t="str">
        <f>IF('Sch2a-Imp Price by ECM'!B163="","",'Sch2a-Imp Price by ECM'!B163)</f>
        <v/>
      </c>
      <c r="B162" s="139" t="str">
        <f>IF('Sch2a-Imp Price by ECM'!D163="","",'Sch2a-Imp Price by ECM'!D163)</f>
        <v/>
      </c>
      <c r="C162" s="414" t="s">
        <v>430</v>
      </c>
      <c r="D162" s="410">
        <f>'Sch4-Cost Savings by ECM'!P162</f>
        <v>0</v>
      </c>
      <c r="E162" s="410">
        <f>VLOOKUP(C162,'eGRID subregion name'!$A$2:$N$30,8,0)</f>
        <v>189.83531623683197</v>
      </c>
      <c r="F162" s="410">
        <f t="shared" si="24"/>
        <v>0</v>
      </c>
      <c r="G162" s="411">
        <f>'Sch4-Cost Savings by ECM'!T162</f>
        <v>0</v>
      </c>
      <c r="H162" s="411">
        <f>VLOOKUP("Natural Gas", 'GHG Emissions'!$D$2:$M$66,4,FALSE)+VLOOKUP("Natural Gas", 'GHG Emissions'!$D$2:$M$66,6,FALSE)*'eGRID subregion name'!$P$3+VLOOKUP("Natural Gas", 'GHG Emissions'!$D$2:$M$66,8,FALSE)*'eGRID subregion name'!$P$4</f>
        <v>53.114800000000002</v>
      </c>
      <c r="I162" s="411">
        <f t="shared" si="18"/>
        <v>0</v>
      </c>
      <c r="J162" s="411">
        <f>'Sch4-Cost Savings by ECM'!V162</f>
        <v>0</v>
      </c>
      <c r="K16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2" s="411">
        <f t="shared" si="19"/>
        <v>0</v>
      </c>
      <c r="M162" s="411">
        <f>'Sch4-Cost Savings by ECM'!X162</f>
        <v>0</v>
      </c>
      <c r="N16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2" s="411">
        <f t="shared" si="20"/>
        <v>0</v>
      </c>
      <c r="P162" s="413">
        <f t="shared" si="17"/>
        <v>0</v>
      </c>
      <c r="Q162" s="411">
        <f>'Sch4-Cost Savings by ECM'!AB162</f>
        <v>0</v>
      </c>
      <c r="R162" s="411">
        <f t="shared" si="21"/>
        <v>0</v>
      </c>
      <c r="S162" s="411">
        <f t="shared" si="22"/>
        <v>0</v>
      </c>
      <c r="T162" s="411">
        <f t="shared" si="23"/>
        <v>0</v>
      </c>
    </row>
    <row r="163" spans="1:20" ht="16.5" thickBot="1">
      <c r="A163" s="72" t="str">
        <f>IF('Sch2a-Imp Price by ECM'!B164="","",'Sch2a-Imp Price by ECM'!B164)</f>
        <v/>
      </c>
      <c r="B163" s="139" t="str">
        <f>IF('Sch2a-Imp Price by ECM'!D164="","",'Sch2a-Imp Price by ECM'!D164)</f>
        <v/>
      </c>
      <c r="C163" s="414" t="s">
        <v>430</v>
      </c>
      <c r="D163" s="410">
        <f>'Sch4-Cost Savings by ECM'!P163</f>
        <v>0</v>
      </c>
      <c r="E163" s="410">
        <f>VLOOKUP(C163,'eGRID subregion name'!$A$2:$N$30,8,0)</f>
        <v>189.83531623683197</v>
      </c>
      <c r="F163" s="410">
        <f t="shared" si="24"/>
        <v>0</v>
      </c>
      <c r="G163" s="411">
        <f>'Sch4-Cost Savings by ECM'!T163</f>
        <v>0</v>
      </c>
      <c r="H163" s="411">
        <f>VLOOKUP("Natural Gas", 'GHG Emissions'!$D$2:$M$66,4,FALSE)+VLOOKUP("Natural Gas", 'GHG Emissions'!$D$2:$M$66,6,FALSE)*'eGRID subregion name'!$P$3+VLOOKUP("Natural Gas", 'GHG Emissions'!$D$2:$M$66,8,FALSE)*'eGRID subregion name'!$P$4</f>
        <v>53.114800000000002</v>
      </c>
      <c r="I163" s="411">
        <f t="shared" si="18"/>
        <v>0</v>
      </c>
      <c r="J163" s="411">
        <f>'Sch4-Cost Savings by ECM'!V163</f>
        <v>0</v>
      </c>
      <c r="K16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3" s="411">
        <f t="shared" si="19"/>
        <v>0</v>
      </c>
      <c r="M163" s="411">
        <f>'Sch4-Cost Savings by ECM'!X163</f>
        <v>0</v>
      </c>
      <c r="N16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3" s="411">
        <f t="shared" si="20"/>
        <v>0</v>
      </c>
      <c r="P163" s="413">
        <f t="shared" si="17"/>
        <v>0</v>
      </c>
      <c r="Q163" s="411">
        <f>'Sch4-Cost Savings by ECM'!AB163</f>
        <v>0</v>
      </c>
      <c r="R163" s="411">
        <f t="shared" si="21"/>
        <v>0</v>
      </c>
      <c r="S163" s="411">
        <f t="shared" si="22"/>
        <v>0</v>
      </c>
      <c r="T163" s="411">
        <f t="shared" si="23"/>
        <v>0</v>
      </c>
    </row>
    <row r="164" spans="1:20" ht="16.5" thickBot="1">
      <c r="A164" s="72" t="str">
        <f>IF('Sch2a-Imp Price by ECM'!B165="","",'Sch2a-Imp Price by ECM'!B165)</f>
        <v/>
      </c>
      <c r="B164" s="139" t="str">
        <f>IF('Sch2a-Imp Price by ECM'!D165="","",'Sch2a-Imp Price by ECM'!D165)</f>
        <v/>
      </c>
      <c r="C164" s="414" t="s">
        <v>430</v>
      </c>
      <c r="D164" s="410">
        <f>'Sch4-Cost Savings by ECM'!P164</f>
        <v>0</v>
      </c>
      <c r="E164" s="410">
        <f>VLOOKUP(C164,'eGRID subregion name'!$A$2:$N$30,8,0)</f>
        <v>189.83531623683197</v>
      </c>
      <c r="F164" s="410">
        <f t="shared" si="24"/>
        <v>0</v>
      </c>
      <c r="G164" s="411">
        <f>'Sch4-Cost Savings by ECM'!T164</f>
        <v>0</v>
      </c>
      <c r="H164" s="411">
        <f>VLOOKUP("Natural Gas", 'GHG Emissions'!$D$2:$M$66,4,FALSE)+VLOOKUP("Natural Gas", 'GHG Emissions'!$D$2:$M$66,6,FALSE)*'eGRID subregion name'!$P$3+VLOOKUP("Natural Gas", 'GHG Emissions'!$D$2:$M$66,8,FALSE)*'eGRID subregion name'!$P$4</f>
        <v>53.114800000000002</v>
      </c>
      <c r="I164" s="411">
        <f t="shared" si="18"/>
        <v>0</v>
      </c>
      <c r="J164" s="411">
        <f>'Sch4-Cost Savings by ECM'!V164</f>
        <v>0</v>
      </c>
      <c r="K16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4" s="411">
        <f t="shared" si="19"/>
        <v>0</v>
      </c>
      <c r="M164" s="411">
        <f>'Sch4-Cost Savings by ECM'!X164</f>
        <v>0</v>
      </c>
      <c r="N16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4" s="411">
        <f t="shared" si="20"/>
        <v>0</v>
      </c>
      <c r="P164" s="413">
        <f t="shared" si="17"/>
        <v>0</v>
      </c>
      <c r="Q164" s="411">
        <f>'Sch4-Cost Savings by ECM'!AB164</f>
        <v>0</v>
      </c>
      <c r="R164" s="411">
        <f t="shared" si="21"/>
        <v>0</v>
      </c>
      <c r="S164" s="411">
        <f t="shared" si="22"/>
        <v>0</v>
      </c>
      <c r="T164" s="411">
        <f t="shared" si="23"/>
        <v>0</v>
      </c>
    </row>
    <row r="165" spans="1:20" ht="16.5" thickBot="1">
      <c r="A165" s="72" t="str">
        <f>IF('Sch2a-Imp Price by ECM'!B166="","",'Sch2a-Imp Price by ECM'!B166)</f>
        <v/>
      </c>
      <c r="B165" s="139" t="str">
        <f>IF('Sch2a-Imp Price by ECM'!D166="","",'Sch2a-Imp Price by ECM'!D166)</f>
        <v/>
      </c>
      <c r="C165" s="414" t="s">
        <v>430</v>
      </c>
      <c r="D165" s="410">
        <f>'Sch4-Cost Savings by ECM'!P165</f>
        <v>0</v>
      </c>
      <c r="E165" s="410">
        <f>VLOOKUP(C165,'eGRID subregion name'!$A$2:$N$30,8,0)</f>
        <v>189.83531623683197</v>
      </c>
      <c r="F165" s="410">
        <f t="shared" si="24"/>
        <v>0</v>
      </c>
      <c r="G165" s="411">
        <f>'Sch4-Cost Savings by ECM'!T165</f>
        <v>0</v>
      </c>
      <c r="H165" s="411">
        <f>VLOOKUP("Natural Gas", 'GHG Emissions'!$D$2:$M$66,4,FALSE)+VLOOKUP("Natural Gas", 'GHG Emissions'!$D$2:$M$66,6,FALSE)*'eGRID subregion name'!$P$3+VLOOKUP("Natural Gas", 'GHG Emissions'!$D$2:$M$66,8,FALSE)*'eGRID subregion name'!$P$4</f>
        <v>53.114800000000002</v>
      </c>
      <c r="I165" s="411">
        <f t="shared" si="18"/>
        <v>0</v>
      </c>
      <c r="J165" s="411">
        <f>'Sch4-Cost Savings by ECM'!V165</f>
        <v>0</v>
      </c>
      <c r="K16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5" s="411">
        <f t="shared" si="19"/>
        <v>0</v>
      </c>
      <c r="M165" s="411">
        <f>'Sch4-Cost Savings by ECM'!X165</f>
        <v>0</v>
      </c>
      <c r="N16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5" s="411">
        <f t="shared" si="20"/>
        <v>0</v>
      </c>
      <c r="P165" s="413">
        <f t="shared" si="17"/>
        <v>0</v>
      </c>
      <c r="Q165" s="411">
        <f>'Sch4-Cost Savings by ECM'!AB165</f>
        <v>0</v>
      </c>
      <c r="R165" s="411">
        <f t="shared" si="21"/>
        <v>0</v>
      </c>
      <c r="S165" s="411">
        <f t="shared" si="22"/>
        <v>0</v>
      </c>
      <c r="T165" s="411">
        <f t="shared" si="23"/>
        <v>0</v>
      </c>
    </row>
    <row r="166" spans="1:20" ht="16.5" thickBot="1">
      <c r="A166" s="72" t="str">
        <f>IF('Sch2a-Imp Price by ECM'!B167="","",'Sch2a-Imp Price by ECM'!B167)</f>
        <v/>
      </c>
      <c r="B166" s="139" t="str">
        <f>IF('Sch2a-Imp Price by ECM'!D167="","",'Sch2a-Imp Price by ECM'!D167)</f>
        <v/>
      </c>
      <c r="C166" s="414" t="s">
        <v>430</v>
      </c>
      <c r="D166" s="410">
        <f>'Sch4-Cost Savings by ECM'!P166</f>
        <v>0</v>
      </c>
      <c r="E166" s="410">
        <f>VLOOKUP(C166,'eGRID subregion name'!$A$2:$N$30,8,0)</f>
        <v>189.83531623683197</v>
      </c>
      <c r="F166" s="410">
        <f t="shared" si="24"/>
        <v>0</v>
      </c>
      <c r="G166" s="411">
        <f>'Sch4-Cost Savings by ECM'!T166</f>
        <v>0</v>
      </c>
      <c r="H166" s="411">
        <f>VLOOKUP("Natural Gas", 'GHG Emissions'!$D$2:$M$66,4,FALSE)+VLOOKUP("Natural Gas", 'GHG Emissions'!$D$2:$M$66,6,FALSE)*'eGRID subregion name'!$P$3+VLOOKUP("Natural Gas", 'GHG Emissions'!$D$2:$M$66,8,FALSE)*'eGRID subregion name'!$P$4</f>
        <v>53.114800000000002</v>
      </c>
      <c r="I166" s="411">
        <f t="shared" si="18"/>
        <v>0</v>
      </c>
      <c r="J166" s="411">
        <f>'Sch4-Cost Savings by ECM'!V166</f>
        <v>0</v>
      </c>
      <c r="K16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6" s="411">
        <f t="shared" si="19"/>
        <v>0</v>
      </c>
      <c r="M166" s="411">
        <f>'Sch4-Cost Savings by ECM'!X166</f>
        <v>0</v>
      </c>
      <c r="N16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6" s="411">
        <f t="shared" si="20"/>
        <v>0</v>
      </c>
      <c r="P166" s="413">
        <f t="shared" si="17"/>
        <v>0</v>
      </c>
      <c r="Q166" s="411">
        <f>'Sch4-Cost Savings by ECM'!AB166</f>
        <v>0</v>
      </c>
      <c r="R166" s="411">
        <f t="shared" si="21"/>
        <v>0</v>
      </c>
      <c r="S166" s="411">
        <f t="shared" si="22"/>
        <v>0</v>
      </c>
      <c r="T166" s="411">
        <f t="shared" si="23"/>
        <v>0</v>
      </c>
    </row>
    <row r="167" spans="1:20" ht="16.5" thickBot="1">
      <c r="A167" s="72" t="str">
        <f>IF('Sch2a-Imp Price by ECM'!B168="","",'Sch2a-Imp Price by ECM'!B168)</f>
        <v/>
      </c>
      <c r="B167" s="139" t="str">
        <f>IF('Sch2a-Imp Price by ECM'!D168="","",'Sch2a-Imp Price by ECM'!D168)</f>
        <v/>
      </c>
      <c r="C167" s="414" t="s">
        <v>430</v>
      </c>
      <c r="D167" s="410">
        <f>'Sch4-Cost Savings by ECM'!P167</f>
        <v>0</v>
      </c>
      <c r="E167" s="410">
        <f>VLOOKUP(C167,'eGRID subregion name'!$A$2:$N$30,8,0)</f>
        <v>189.83531623683197</v>
      </c>
      <c r="F167" s="410">
        <f t="shared" si="24"/>
        <v>0</v>
      </c>
      <c r="G167" s="411">
        <f>'Sch4-Cost Savings by ECM'!T167</f>
        <v>0</v>
      </c>
      <c r="H167" s="411">
        <f>VLOOKUP("Natural Gas", 'GHG Emissions'!$D$2:$M$66,4,FALSE)+VLOOKUP("Natural Gas", 'GHG Emissions'!$D$2:$M$66,6,FALSE)*'eGRID subregion name'!$P$3+VLOOKUP("Natural Gas", 'GHG Emissions'!$D$2:$M$66,8,FALSE)*'eGRID subregion name'!$P$4</f>
        <v>53.114800000000002</v>
      </c>
      <c r="I167" s="411">
        <f t="shared" si="18"/>
        <v>0</v>
      </c>
      <c r="J167" s="411">
        <f>'Sch4-Cost Savings by ECM'!V167</f>
        <v>0</v>
      </c>
      <c r="K16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7" s="411">
        <f t="shared" si="19"/>
        <v>0</v>
      </c>
      <c r="M167" s="411">
        <f>'Sch4-Cost Savings by ECM'!X167</f>
        <v>0</v>
      </c>
      <c r="N16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7" s="411">
        <f t="shared" si="20"/>
        <v>0</v>
      </c>
      <c r="P167" s="413">
        <f t="shared" si="17"/>
        <v>0</v>
      </c>
      <c r="Q167" s="411">
        <f>'Sch4-Cost Savings by ECM'!AB167</f>
        <v>0</v>
      </c>
      <c r="R167" s="411">
        <f t="shared" si="21"/>
        <v>0</v>
      </c>
      <c r="S167" s="411">
        <f t="shared" si="22"/>
        <v>0</v>
      </c>
      <c r="T167" s="411">
        <f t="shared" si="23"/>
        <v>0</v>
      </c>
    </row>
    <row r="168" spans="1:20" ht="16.5" thickBot="1">
      <c r="A168" s="72" t="str">
        <f>IF('Sch2a-Imp Price by ECM'!B169="","",'Sch2a-Imp Price by ECM'!B169)</f>
        <v/>
      </c>
      <c r="B168" s="139" t="str">
        <f>IF('Sch2a-Imp Price by ECM'!D169="","",'Sch2a-Imp Price by ECM'!D169)</f>
        <v/>
      </c>
      <c r="C168" s="414" t="s">
        <v>430</v>
      </c>
      <c r="D168" s="410">
        <f>'Sch4-Cost Savings by ECM'!P168</f>
        <v>0</v>
      </c>
      <c r="E168" s="410">
        <f>VLOOKUP(C168,'eGRID subregion name'!$A$2:$N$30,8,0)</f>
        <v>189.83531623683197</v>
      </c>
      <c r="F168" s="410">
        <f t="shared" si="24"/>
        <v>0</v>
      </c>
      <c r="G168" s="411">
        <f>'Sch4-Cost Savings by ECM'!T168</f>
        <v>0</v>
      </c>
      <c r="H168" s="411">
        <f>VLOOKUP("Natural Gas", 'GHG Emissions'!$D$2:$M$66,4,FALSE)+VLOOKUP("Natural Gas", 'GHG Emissions'!$D$2:$M$66,6,FALSE)*'eGRID subregion name'!$P$3+VLOOKUP("Natural Gas", 'GHG Emissions'!$D$2:$M$66,8,FALSE)*'eGRID subregion name'!$P$4</f>
        <v>53.114800000000002</v>
      </c>
      <c r="I168" s="411">
        <f t="shared" si="18"/>
        <v>0</v>
      </c>
      <c r="J168" s="411">
        <f>'Sch4-Cost Savings by ECM'!V168</f>
        <v>0</v>
      </c>
      <c r="K16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8" s="411">
        <f t="shared" si="19"/>
        <v>0</v>
      </c>
      <c r="M168" s="411">
        <f>'Sch4-Cost Savings by ECM'!X168</f>
        <v>0</v>
      </c>
      <c r="N16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8" s="411">
        <f t="shared" si="20"/>
        <v>0</v>
      </c>
      <c r="P168" s="413">
        <f t="shared" si="17"/>
        <v>0</v>
      </c>
      <c r="Q168" s="411">
        <f>'Sch4-Cost Savings by ECM'!AB168</f>
        <v>0</v>
      </c>
      <c r="R168" s="411">
        <f t="shared" si="21"/>
        <v>0</v>
      </c>
      <c r="S168" s="411">
        <f t="shared" si="22"/>
        <v>0</v>
      </c>
      <c r="T168" s="411">
        <f t="shared" si="23"/>
        <v>0</v>
      </c>
    </row>
    <row r="169" spans="1:20" ht="16.5" thickBot="1">
      <c r="A169" s="72" t="str">
        <f>IF('Sch2a-Imp Price by ECM'!B170="","",'Sch2a-Imp Price by ECM'!B170)</f>
        <v/>
      </c>
      <c r="B169" s="139" t="str">
        <f>IF('Sch2a-Imp Price by ECM'!D170="","",'Sch2a-Imp Price by ECM'!D170)</f>
        <v/>
      </c>
      <c r="C169" s="414" t="s">
        <v>430</v>
      </c>
      <c r="D169" s="410">
        <f>'Sch4-Cost Savings by ECM'!P169</f>
        <v>0</v>
      </c>
      <c r="E169" s="410">
        <f>VLOOKUP(C169,'eGRID subregion name'!$A$2:$N$30,8,0)</f>
        <v>189.83531623683197</v>
      </c>
      <c r="F169" s="410">
        <f t="shared" si="24"/>
        <v>0</v>
      </c>
      <c r="G169" s="411">
        <f>'Sch4-Cost Savings by ECM'!T169</f>
        <v>0</v>
      </c>
      <c r="H169" s="411">
        <f>VLOOKUP("Natural Gas", 'GHG Emissions'!$D$2:$M$66,4,FALSE)+VLOOKUP("Natural Gas", 'GHG Emissions'!$D$2:$M$66,6,FALSE)*'eGRID subregion name'!$P$3+VLOOKUP("Natural Gas", 'GHG Emissions'!$D$2:$M$66,8,FALSE)*'eGRID subregion name'!$P$4</f>
        <v>53.114800000000002</v>
      </c>
      <c r="I169" s="411">
        <f t="shared" si="18"/>
        <v>0</v>
      </c>
      <c r="J169" s="411">
        <f>'Sch4-Cost Savings by ECM'!V169</f>
        <v>0</v>
      </c>
      <c r="K16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9" s="411">
        <f t="shared" si="19"/>
        <v>0</v>
      </c>
      <c r="M169" s="411">
        <f>'Sch4-Cost Savings by ECM'!X169</f>
        <v>0</v>
      </c>
      <c r="N16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9" s="411">
        <f t="shared" si="20"/>
        <v>0</v>
      </c>
      <c r="P169" s="413">
        <f t="shared" si="17"/>
        <v>0</v>
      </c>
      <c r="Q169" s="411">
        <f>'Sch4-Cost Savings by ECM'!AB169</f>
        <v>0</v>
      </c>
      <c r="R169" s="411">
        <f t="shared" si="21"/>
        <v>0</v>
      </c>
      <c r="S169" s="411">
        <f t="shared" si="22"/>
        <v>0</v>
      </c>
      <c r="T169" s="411">
        <f t="shared" si="23"/>
        <v>0</v>
      </c>
    </row>
    <row r="170" spans="1:20" ht="16.5" thickBot="1">
      <c r="A170" s="72" t="str">
        <f>IF('Sch2a-Imp Price by ECM'!B171="","",'Sch2a-Imp Price by ECM'!B171)</f>
        <v/>
      </c>
      <c r="B170" s="139" t="str">
        <f>IF('Sch2a-Imp Price by ECM'!D171="","",'Sch2a-Imp Price by ECM'!D171)</f>
        <v/>
      </c>
      <c r="C170" s="414" t="s">
        <v>430</v>
      </c>
      <c r="D170" s="410">
        <f>'Sch4-Cost Savings by ECM'!P170</f>
        <v>0</v>
      </c>
      <c r="E170" s="410">
        <f>VLOOKUP(C170,'eGRID subregion name'!$A$2:$N$30,8,0)</f>
        <v>189.83531623683197</v>
      </c>
      <c r="F170" s="410">
        <f t="shared" si="24"/>
        <v>0</v>
      </c>
      <c r="G170" s="411">
        <f>'Sch4-Cost Savings by ECM'!T170</f>
        <v>0</v>
      </c>
      <c r="H170" s="411">
        <f>VLOOKUP("Natural Gas", 'GHG Emissions'!$D$2:$M$66,4,FALSE)+VLOOKUP("Natural Gas", 'GHG Emissions'!$D$2:$M$66,6,FALSE)*'eGRID subregion name'!$P$3+VLOOKUP("Natural Gas", 'GHG Emissions'!$D$2:$M$66,8,FALSE)*'eGRID subregion name'!$P$4</f>
        <v>53.114800000000002</v>
      </c>
      <c r="I170" s="411">
        <f t="shared" si="18"/>
        <v>0</v>
      </c>
      <c r="J170" s="411">
        <f>'Sch4-Cost Savings by ECM'!V170</f>
        <v>0</v>
      </c>
      <c r="K17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0" s="411">
        <f t="shared" si="19"/>
        <v>0</v>
      </c>
      <c r="M170" s="411">
        <f>'Sch4-Cost Savings by ECM'!X170</f>
        <v>0</v>
      </c>
      <c r="N17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0" s="411">
        <f t="shared" si="20"/>
        <v>0</v>
      </c>
      <c r="P170" s="413">
        <f t="shared" si="17"/>
        <v>0</v>
      </c>
      <c r="Q170" s="411">
        <f>'Sch4-Cost Savings by ECM'!AB170</f>
        <v>0</v>
      </c>
      <c r="R170" s="411">
        <f t="shared" si="21"/>
        <v>0</v>
      </c>
      <c r="S170" s="411">
        <f t="shared" si="22"/>
        <v>0</v>
      </c>
      <c r="T170" s="411">
        <f t="shared" si="23"/>
        <v>0</v>
      </c>
    </row>
    <row r="171" spans="1:20" ht="16.5" thickBot="1">
      <c r="A171" s="72" t="str">
        <f>IF('Sch2a-Imp Price by ECM'!B172="","",'Sch2a-Imp Price by ECM'!B172)</f>
        <v/>
      </c>
      <c r="B171" s="139" t="str">
        <f>IF('Sch2a-Imp Price by ECM'!D172="","",'Sch2a-Imp Price by ECM'!D172)</f>
        <v/>
      </c>
      <c r="C171" s="414" t="s">
        <v>430</v>
      </c>
      <c r="D171" s="410">
        <f>'Sch4-Cost Savings by ECM'!P171</f>
        <v>0</v>
      </c>
      <c r="E171" s="410">
        <f>VLOOKUP(C171,'eGRID subregion name'!$A$2:$N$30,8,0)</f>
        <v>189.83531623683197</v>
      </c>
      <c r="F171" s="410">
        <f t="shared" si="24"/>
        <v>0</v>
      </c>
      <c r="G171" s="411">
        <f>'Sch4-Cost Savings by ECM'!T171</f>
        <v>0</v>
      </c>
      <c r="H171" s="411">
        <f>VLOOKUP("Natural Gas", 'GHG Emissions'!$D$2:$M$66,4,FALSE)+VLOOKUP("Natural Gas", 'GHG Emissions'!$D$2:$M$66,6,FALSE)*'eGRID subregion name'!$P$3+VLOOKUP("Natural Gas", 'GHG Emissions'!$D$2:$M$66,8,FALSE)*'eGRID subregion name'!$P$4</f>
        <v>53.114800000000002</v>
      </c>
      <c r="I171" s="411">
        <f t="shared" si="18"/>
        <v>0</v>
      </c>
      <c r="J171" s="411">
        <f>'Sch4-Cost Savings by ECM'!V171</f>
        <v>0</v>
      </c>
      <c r="K17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1" s="411">
        <f t="shared" si="19"/>
        <v>0</v>
      </c>
      <c r="M171" s="411">
        <f>'Sch4-Cost Savings by ECM'!X171</f>
        <v>0</v>
      </c>
      <c r="N17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1" s="411">
        <f t="shared" si="20"/>
        <v>0</v>
      </c>
      <c r="P171" s="413">
        <f t="shared" si="17"/>
        <v>0</v>
      </c>
      <c r="Q171" s="411">
        <f>'Sch4-Cost Savings by ECM'!AB171</f>
        <v>0</v>
      </c>
      <c r="R171" s="411">
        <f t="shared" si="21"/>
        <v>0</v>
      </c>
      <c r="S171" s="411">
        <f t="shared" si="22"/>
        <v>0</v>
      </c>
      <c r="T171" s="411">
        <f t="shared" si="23"/>
        <v>0</v>
      </c>
    </row>
    <row r="172" spans="1:20" ht="16.5" thickBot="1">
      <c r="A172" s="72" t="str">
        <f>IF('Sch2a-Imp Price by ECM'!B173="","",'Sch2a-Imp Price by ECM'!B173)</f>
        <v/>
      </c>
      <c r="B172" s="139" t="str">
        <f>IF('Sch2a-Imp Price by ECM'!D173="","",'Sch2a-Imp Price by ECM'!D173)</f>
        <v/>
      </c>
      <c r="C172" s="414" t="s">
        <v>430</v>
      </c>
      <c r="D172" s="410">
        <f>'Sch4-Cost Savings by ECM'!P172</f>
        <v>0</v>
      </c>
      <c r="E172" s="410">
        <f>VLOOKUP(C172,'eGRID subregion name'!$A$2:$N$30,8,0)</f>
        <v>189.83531623683197</v>
      </c>
      <c r="F172" s="410">
        <f t="shared" si="24"/>
        <v>0</v>
      </c>
      <c r="G172" s="411">
        <f>'Sch4-Cost Savings by ECM'!T172</f>
        <v>0</v>
      </c>
      <c r="H172" s="411">
        <f>VLOOKUP("Natural Gas", 'GHG Emissions'!$D$2:$M$66,4,FALSE)+VLOOKUP("Natural Gas", 'GHG Emissions'!$D$2:$M$66,6,FALSE)*'eGRID subregion name'!$P$3+VLOOKUP("Natural Gas", 'GHG Emissions'!$D$2:$M$66,8,FALSE)*'eGRID subregion name'!$P$4</f>
        <v>53.114800000000002</v>
      </c>
      <c r="I172" s="411">
        <f t="shared" si="18"/>
        <v>0</v>
      </c>
      <c r="J172" s="411">
        <f>'Sch4-Cost Savings by ECM'!V172</f>
        <v>0</v>
      </c>
      <c r="K17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2" s="411">
        <f t="shared" si="19"/>
        <v>0</v>
      </c>
      <c r="M172" s="411">
        <f>'Sch4-Cost Savings by ECM'!X172</f>
        <v>0</v>
      </c>
      <c r="N17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2" s="411">
        <f t="shared" si="20"/>
        <v>0</v>
      </c>
      <c r="P172" s="413">
        <f t="shared" si="17"/>
        <v>0</v>
      </c>
      <c r="Q172" s="411">
        <f>'Sch4-Cost Savings by ECM'!AB172</f>
        <v>0</v>
      </c>
      <c r="R172" s="411">
        <f t="shared" si="21"/>
        <v>0</v>
      </c>
      <c r="S172" s="411">
        <f t="shared" si="22"/>
        <v>0</v>
      </c>
      <c r="T172" s="411">
        <f t="shared" si="23"/>
        <v>0</v>
      </c>
    </row>
    <row r="173" spans="1:20" ht="16.5" thickBot="1">
      <c r="A173" s="72" t="str">
        <f>IF('Sch2a-Imp Price by ECM'!B174="","",'Sch2a-Imp Price by ECM'!B174)</f>
        <v/>
      </c>
      <c r="B173" s="139" t="str">
        <f>IF('Sch2a-Imp Price by ECM'!D174="","",'Sch2a-Imp Price by ECM'!D174)</f>
        <v/>
      </c>
      <c r="C173" s="414" t="s">
        <v>430</v>
      </c>
      <c r="D173" s="410">
        <f>'Sch4-Cost Savings by ECM'!P173</f>
        <v>0</v>
      </c>
      <c r="E173" s="410">
        <f>VLOOKUP(C173,'eGRID subregion name'!$A$2:$N$30,8,0)</f>
        <v>189.83531623683197</v>
      </c>
      <c r="F173" s="410">
        <f t="shared" si="24"/>
        <v>0</v>
      </c>
      <c r="G173" s="411">
        <f>'Sch4-Cost Savings by ECM'!T173</f>
        <v>0</v>
      </c>
      <c r="H173" s="411">
        <f>VLOOKUP("Natural Gas", 'GHG Emissions'!$D$2:$M$66,4,FALSE)+VLOOKUP("Natural Gas", 'GHG Emissions'!$D$2:$M$66,6,FALSE)*'eGRID subregion name'!$P$3+VLOOKUP("Natural Gas", 'GHG Emissions'!$D$2:$M$66,8,FALSE)*'eGRID subregion name'!$P$4</f>
        <v>53.114800000000002</v>
      </c>
      <c r="I173" s="411">
        <f t="shared" si="18"/>
        <v>0</v>
      </c>
      <c r="J173" s="411">
        <f>'Sch4-Cost Savings by ECM'!V173</f>
        <v>0</v>
      </c>
      <c r="K17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3" s="411">
        <f t="shared" si="19"/>
        <v>0</v>
      </c>
      <c r="M173" s="411">
        <f>'Sch4-Cost Savings by ECM'!X173</f>
        <v>0</v>
      </c>
      <c r="N17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3" s="411">
        <f t="shared" si="20"/>
        <v>0</v>
      </c>
      <c r="P173" s="413">
        <f t="shared" si="17"/>
        <v>0</v>
      </c>
      <c r="Q173" s="411">
        <f>'Sch4-Cost Savings by ECM'!AB173</f>
        <v>0</v>
      </c>
      <c r="R173" s="411">
        <f t="shared" si="21"/>
        <v>0</v>
      </c>
      <c r="S173" s="411">
        <f t="shared" si="22"/>
        <v>0</v>
      </c>
      <c r="T173" s="411">
        <f t="shared" si="23"/>
        <v>0</v>
      </c>
    </row>
    <row r="174" spans="1:20" ht="16.5" thickBot="1">
      <c r="A174" s="72" t="str">
        <f>IF('Sch2a-Imp Price by ECM'!B175="","",'Sch2a-Imp Price by ECM'!B175)</f>
        <v/>
      </c>
      <c r="B174" s="139" t="str">
        <f>IF('Sch2a-Imp Price by ECM'!D175="","",'Sch2a-Imp Price by ECM'!D175)</f>
        <v/>
      </c>
      <c r="C174" s="414" t="s">
        <v>430</v>
      </c>
      <c r="D174" s="410">
        <f>'Sch4-Cost Savings by ECM'!P174</f>
        <v>0</v>
      </c>
      <c r="E174" s="410">
        <f>VLOOKUP(C174,'eGRID subregion name'!$A$2:$N$30,8,0)</f>
        <v>189.83531623683197</v>
      </c>
      <c r="F174" s="410">
        <f t="shared" si="24"/>
        <v>0</v>
      </c>
      <c r="G174" s="411">
        <f>'Sch4-Cost Savings by ECM'!T174</f>
        <v>0</v>
      </c>
      <c r="H174" s="411">
        <f>VLOOKUP("Natural Gas", 'GHG Emissions'!$D$2:$M$66,4,FALSE)+VLOOKUP("Natural Gas", 'GHG Emissions'!$D$2:$M$66,6,FALSE)*'eGRID subregion name'!$P$3+VLOOKUP("Natural Gas", 'GHG Emissions'!$D$2:$M$66,8,FALSE)*'eGRID subregion name'!$P$4</f>
        <v>53.114800000000002</v>
      </c>
      <c r="I174" s="411">
        <f t="shared" si="18"/>
        <v>0</v>
      </c>
      <c r="J174" s="411">
        <f>'Sch4-Cost Savings by ECM'!V174</f>
        <v>0</v>
      </c>
      <c r="K17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4" s="411">
        <f t="shared" si="19"/>
        <v>0</v>
      </c>
      <c r="M174" s="411">
        <f>'Sch4-Cost Savings by ECM'!X174</f>
        <v>0</v>
      </c>
      <c r="N17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4" s="411">
        <f t="shared" si="20"/>
        <v>0</v>
      </c>
      <c r="P174" s="413">
        <f t="shared" si="17"/>
        <v>0</v>
      </c>
      <c r="Q174" s="411">
        <f>'Sch4-Cost Savings by ECM'!AB174</f>
        <v>0</v>
      </c>
      <c r="R174" s="411">
        <f t="shared" si="21"/>
        <v>0</v>
      </c>
      <c r="S174" s="411">
        <f t="shared" si="22"/>
        <v>0</v>
      </c>
      <c r="T174" s="411">
        <f t="shared" si="23"/>
        <v>0</v>
      </c>
    </row>
    <row r="175" spans="1:20" ht="16.5" thickBot="1">
      <c r="A175" s="72" t="str">
        <f>IF('Sch2a-Imp Price by ECM'!B176="","",'Sch2a-Imp Price by ECM'!B176)</f>
        <v/>
      </c>
      <c r="B175" s="139" t="str">
        <f>IF('Sch2a-Imp Price by ECM'!D176="","",'Sch2a-Imp Price by ECM'!D176)</f>
        <v/>
      </c>
      <c r="C175" s="414" t="s">
        <v>430</v>
      </c>
      <c r="D175" s="410">
        <f>'Sch4-Cost Savings by ECM'!P175</f>
        <v>0</v>
      </c>
      <c r="E175" s="410">
        <f>VLOOKUP(C175,'eGRID subregion name'!$A$2:$N$30,8,0)</f>
        <v>189.83531623683197</v>
      </c>
      <c r="F175" s="410">
        <f t="shared" si="24"/>
        <v>0</v>
      </c>
      <c r="G175" s="411">
        <f>'Sch4-Cost Savings by ECM'!T175</f>
        <v>0</v>
      </c>
      <c r="H175" s="411">
        <f>VLOOKUP("Natural Gas", 'GHG Emissions'!$D$2:$M$66,4,FALSE)+VLOOKUP("Natural Gas", 'GHG Emissions'!$D$2:$M$66,6,FALSE)*'eGRID subregion name'!$P$3+VLOOKUP("Natural Gas", 'GHG Emissions'!$D$2:$M$66,8,FALSE)*'eGRID subregion name'!$P$4</f>
        <v>53.114800000000002</v>
      </c>
      <c r="I175" s="411">
        <f t="shared" si="18"/>
        <v>0</v>
      </c>
      <c r="J175" s="411">
        <f>'Sch4-Cost Savings by ECM'!V175</f>
        <v>0</v>
      </c>
      <c r="K17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5" s="411">
        <f t="shared" si="19"/>
        <v>0</v>
      </c>
      <c r="M175" s="411">
        <f>'Sch4-Cost Savings by ECM'!X175</f>
        <v>0</v>
      </c>
      <c r="N17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5" s="411">
        <f t="shared" si="20"/>
        <v>0</v>
      </c>
      <c r="P175" s="413">
        <f t="shared" si="17"/>
        <v>0</v>
      </c>
      <c r="Q175" s="411">
        <f>'Sch4-Cost Savings by ECM'!AB175</f>
        <v>0</v>
      </c>
      <c r="R175" s="411">
        <f t="shared" si="21"/>
        <v>0</v>
      </c>
      <c r="S175" s="411">
        <f t="shared" si="22"/>
        <v>0</v>
      </c>
      <c r="T175" s="411">
        <f t="shared" si="23"/>
        <v>0</v>
      </c>
    </row>
    <row r="176" spans="1:20" ht="16.5" thickBot="1">
      <c r="A176" s="72" t="str">
        <f>IF('Sch2a-Imp Price by ECM'!B177="","",'Sch2a-Imp Price by ECM'!B177)</f>
        <v/>
      </c>
      <c r="B176" s="139" t="str">
        <f>IF('Sch2a-Imp Price by ECM'!D177="","",'Sch2a-Imp Price by ECM'!D177)</f>
        <v/>
      </c>
      <c r="C176" s="414" t="s">
        <v>430</v>
      </c>
      <c r="D176" s="410">
        <f>'Sch4-Cost Savings by ECM'!P176</f>
        <v>0</v>
      </c>
      <c r="E176" s="410">
        <f>VLOOKUP(C176,'eGRID subregion name'!$A$2:$N$30,8,0)</f>
        <v>189.83531623683197</v>
      </c>
      <c r="F176" s="410">
        <f t="shared" si="24"/>
        <v>0</v>
      </c>
      <c r="G176" s="411">
        <f>'Sch4-Cost Savings by ECM'!T176</f>
        <v>0</v>
      </c>
      <c r="H176" s="411">
        <f>VLOOKUP("Natural Gas", 'GHG Emissions'!$D$2:$M$66,4,FALSE)+VLOOKUP("Natural Gas", 'GHG Emissions'!$D$2:$M$66,6,FALSE)*'eGRID subregion name'!$P$3+VLOOKUP("Natural Gas", 'GHG Emissions'!$D$2:$M$66,8,FALSE)*'eGRID subregion name'!$P$4</f>
        <v>53.114800000000002</v>
      </c>
      <c r="I176" s="411">
        <f t="shared" si="18"/>
        <v>0</v>
      </c>
      <c r="J176" s="411">
        <f>'Sch4-Cost Savings by ECM'!V176</f>
        <v>0</v>
      </c>
      <c r="K17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6" s="411">
        <f t="shared" si="19"/>
        <v>0</v>
      </c>
      <c r="M176" s="411">
        <f>'Sch4-Cost Savings by ECM'!X176</f>
        <v>0</v>
      </c>
      <c r="N17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6" s="411">
        <f t="shared" si="20"/>
        <v>0</v>
      </c>
      <c r="P176" s="413">
        <f t="shared" si="17"/>
        <v>0</v>
      </c>
      <c r="Q176" s="411">
        <f>'Sch4-Cost Savings by ECM'!AB176</f>
        <v>0</v>
      </c>
      <c r="R176" s="411">
        <f t="shared" si="21"/>
        <v>0</v>
      </c>
      <c r="S176" s="411">
        <f t="shared" si="22"/>
        <v>0</v>
      </c>
      <c r="T176" s="411">
        <f t="shared" si="23"/>
        <v>0</v>
      </c>
    </row>
    <row r="177" spans="1:20" ht="16.5" thickBot="1">
      <c r="A177" s="72" t="str">
        <f>IF('Sch2a-Imp Price by ECM'!B178="","",'Sch2a-Imp Price by ECM'!B178)</f>
        <v/>
      </c>
      <c r="B177" s="139" t="str">
        <f>IF('Sch2a-Imp Price by ECM'!D178="","",'Sch2a-Imp Price by ECM'!D178)</f>
        <v/>
      </c>
      <c r="C177" s="414" t="s">
        <v>430</v>
      </c>
      <c r="D177" s="410">
        <f>'Sch4-Cost Savings by ECM'!P177</f>
        <v>0</v>
      </c>
      <c r="E177" s="410">
        <f>VLOOKUP(C177,'eGRID subregion name'!$A$2:$N$30,8,0)</f>
        <v>189.83531623683197</v>
      </c>
      <c r="F177" s="410">
        <f t="shared" si="24"/>
        <v>0</v>
      </c>
      <c r="G177" s="411">
        <f>'Sch4-Cost Savings by ECM'!T177</f>
        <v>0</v>
      </c>
      <c r="H177" s="411">
        <f>VLOOKUP("Natural Gas", 'GHG Emissions'!$D$2:$M$66,4,FALSE)+VLOOKUP("Natural Gas", 'GHG Emissions'!$D$2:$M$66,6,FALSE)*'eGRID subregion name'!$P$3+VLOOKUP("Natural Gas", 'GHG Emissions'!$D$2:$M$66,8,FALSE)*'eGRID subregion name'!$P$4</f>
        <v>53.114800000000002</v>
      </c>
      <c r="I177" s="411">
        <f t="shared" si="18"/>
        <v>0</v>
      </c>
      <c r="J177" s="411">
        <f>'Sch4-Cost Savings by ECM'!V177</f>
        <v>0</v>
      </c>
      <c r="K17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7" s="411">
        <f t="shared" si="19"/>
        <v>0</v>
      </c>
      <c r="M177" s="411">
        <f>'Sch4-Cost Savings by ECM'!X177</f>
        <v>0</v>
      </c>
      <c r="N17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7" s="411">
        <f t="shared" si="20"/>
        <v>0</v>
      </c>
      <c r="P177" s="413">
        <f t="shared" si="17"/>
        <v>0</v>
      </c>
      <c r="Q177" s="411">
        <f>'Sch4-Cost Savings by ECM'!AB177</f>
        <v>0</v>
      </c>
      <c r="R177" s="411">
        <f t="shared" si="21"/>
        <v>0</v>
      </c>
      <c r="S177" s="411">
        <f t="shared" si="22"/>
        <v>0</v>
      </c>
      <c r="T177" s="411">
        <f t="shared" si="23"/>
        <v>0</v>
      </c>
    </row>
    <row r="178" spans="1:20" ht="16.5" thickBot="1">
      <c r="A178" s="72" t="str">
        <f>IF('Sch2a-Imp Price by ECM'!B179="","",'Sch2a-Imp Price by ECM'!B179)</f>
        <v/>
      </c>
      <c r="B178" s="139" t="str">
        <f>IF('Sch2a-Imp Price by ECM'!D179="","",'Sch2a-Imp Price by ECM'!D179)</f>
        <v/>
      </c>
      <c r="C178" s="414" t="s">
        <v>430</v>
      </c>
      <c r="D178" s="410">
        <f>'Sch4-Cost Savings by ECM'!P178</f>
        <v>0</v>
      </c>
      <c r="E178" s="410">
        <f>VLOOKUP(C178,'eGRID subregion name'!$A$2:$N$30,8,0)</f>
        <v>189.83531623683197</v>
      </c>
      <c r="F178" s="410">
        <f t="shared" si="24"/>
        <v>0</v>
      </c>
      <c r="G178" s="411">
        <f>'Sch4-Cost Savings by ECM'!T178</f>
        <v>0</v>
      </c>
      <c r="H178" s="411">
        <f>VLOOKUP("Natural Gas", 'GHG Emissions'!$D$2:$M$66,4,FALSE)+VLOOKUP("Natural Gas", 'GHG Emissions'!$D$2:$M$66,6,FALSE)*'eGRID subregion name'!$P$3+VLOOKUP("Natural Gas", 'GHG Emissions'!$D$2:$M$66,8,FALSE)*'eGRID subregion name'!$P$4</f>
        <v>53.114800000000002</v>
      </c>
      <c r="I178" s="411">
        <f t="shared" si="18"/>
        <v>0</v>
      </c>
      <c r="J178" s="411">
        <f>'Sch4-Cost Savings by ECM'!V178</f>
        <v>0</v>
      </c>
      <c r="K17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8" s="411">
        <f t="shared" si="19"/>
        <v>0</v>
      </c>
      <c r="M178" s="411">
        <f>'Sch4-Cost Savings by ECM'!X178</f>
        <v>0</v>
      </c>
      <c r="N17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8" s="411">
        <f t="shared" si="20"/>
        <v>0</v>
      </c>
      <c r="P178" s="413">
        <f t="shared" si="17"/>
        <v>0</v>
      </c>
      <c r="Q178" s="411">
        <f>'Sch4-Cost Savings by ECM'!AB178</f>
        <v>0</v>
      </c>
      <c r="R178" s="411">
        <f t="shared" si="21"/>
        <v>0</v>
      </c>
      <c r="S178" s="411">
        <f t="shared" si="22"/>
        <v>0</v>
      </c>
      <c r="T178" s="411">
        <f t="shared" si="23"/>
        <v>0</v>
      </c>
    </row>
    <row r="179" spans="1:20" ht="16.5" thickBot="1">
      <c r="A179" s="72" t="str">
        <f>IF('Sch2a-Imp Price by ECM'!B180="","",'Sch2a-Imp Price by ECM'!B180)</f>
        <v/>
      </c>
      <c r="B179" s="139" t="str">
        <f>IF('Sch2a-Imp Price by ECM'!D180="","",'Sch2a-Imp Price by ECM'!D180)</f>
        <v/>
      </c>
      <c r="C179" s="414" t="s">
        <v>430</v>
      </c>
      <c r="D179" s="410">
        <f>'Sch4-Cost Savings by ECM'!P179</f>
        <v>0</v>
      </c>
      <c r="E179" s="410">
        <f>VLOOKUP(C179,'eGRID subregion name'!$A$2:$N$30,8,0)</f>
        <v>189.83531623683197</v>
      </c>
      <c r="F179" s="410">
        <f t="shared" si="24"/>
        <v>0</v>
      </c>
      <c r="G179" s="411">
        <f>'Sch4-Cost Savings by ECM'!T179</f>
        <v>0</v>
      </c>
      <c r="H179" s="411">
        <f>VLOOKUP("Natural Gas", 'GHG Emissions'!$D$2:$M$66,4,FALSE)+VLOOKUP("Natural Gas", 'GHG Emissions'!$D$2:$M$66,6,FALSE)*'eGRID subregion name'!$P$3+VLOOKUP("Natural Gas", 'GHG Emissions'!$D$2:$M$66,8,FALSE)*'eGRID subregion name'!$P$4</f>
        <v>53.114800000000002</v>
      </c>
      <c r="I179" s="411">
        <f t="shared" si="18"/>
        <v>0</v>
      </c>
      <c r="J179" s="411">
        <f>'Sch4-Cost Savings by ECM'!V179</f>
        <v>0</v>
      </c>
      <c r="K17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9" s="411">
        <f t="shared" si="19"/>
        <v>0</v>
      </c>
      <c r="M179" s="411">
        <f>'Sch4-Cost Savings by ECM'!X179</f>
        <v>0</v>
      </c>
      <c r="N17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9" s="411">
        <f t="shared" si="20"/>
        <v>0</v>
      </c>
      <c r="P179" s="413">
        <f t="shared" si="17"/>
        <v>0</v>
      </c>
      <c r="Q179" s="411">
        <f>'Sch4-Cost Savings by ECM'!AB179</f>
        <v>0</v>
      </c>
      <c r="R179" s="411">
        <f t="shared" si="21"/>
        <v>0</v>
      </c>
      <c r="S179" s="411">
        <f t="shared" si="22"/>
        <v>0</v>
      </c>
      <c r="T179" s="411">
        <f t="shared" si="23"/>
        <v>0</v>
      </c>
    </row>
    <row r="180" spans="1:20" ht="16.5" thickBot="1">
      <c r="A180" s="72" t="str">
        <f>IF('Sch2a-Imp Price by ECM'!B181="","",'Sch2a-Imp Price by ECM'!B181)</f>
        <v/>
      </c>
      <c r="B180" s="139" t="str">
        <f>IF('Sch2a-Imp Price by ECM'!D181="","",'Sch2a-Imp Price by ECM'!D181)</f>
        <v/>
      </c>
      <c r="C180" s="414" t="s">
        <v>430</v>
      </c>
      <c r="D180" s="410">
        <f>'Sch4-Cost Savings by ECM'!P180</f>
        <v>0</v>
      </c>
      <c r="E180" s="410">
        <f>VLOOKUP(C180,'eGRID subregion name'!$A$2:$N$30,8,0)</f>
        <v>189.83531623683197</v>
      </c>
      <c r="F180" s="410">
        <f t="shared" si="24"/>
        <v>0</v>
      </c>
      <c r="G180" s="411">
        <f>'Sch4-Cost Savings by ECM'!T180</f>
        <v>0</v>
      </c>
      <c r="H180" s="411">
        <f>VLOOKUP("Natural Gas", 'GHG Emissions'!$D$2:$M$66,4,FALSE)+VLOOKUP("Natural Gas", 'GHG Emissions'!$D$2:$M$66,6,FALSE)*'eGRID subregion name'!$P$3+VLOOKUP("Natural Gas", 'GHG Emissions'!$D$2:$M$66,8,FALSE)*'eGRID subregion name'!$P$4</f>
        <v>53.114800000000002</v>
      </c>
      <c r="I180" s="411">
        <f t="shared" si="18"/>
        <v>0</v>
      </c>
      <c r="J180" s="411">
        <f>'Sch4-Cost Savings by ECM'!V180</f>
        <v>0</v>
      </c>
      <c r="K18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0" s="411">
        <f t="shared" si="19"/>
        <v>0</v>
      </c>
      <c r="M180" s="411">
        <f>'Sch4-Cost Savings by ECM'!X180</f>
        <v>0</v>
      </c>
      <c r="N18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0" s="411">
        <f t="shared" si="20"/>
        <v>0</v>
      </c>
      <c r="P180" s="413">
        <f t="shared" si="17"/>
        <v>0</v>
      </c>
      <c r="Q180" s="411">
        <f>'Sch4-Cost Savings by ECM'!AB180</f>
        <v>0</v>
      </c>
      <c r="R180" s="411">
        <f t="shared" si="21"/>
        <v>0</v>
      </c>
      <c r="S180" s="411">
        <f t="shared" si="22"/>
        <v>0</v>
      </c>
      <c r="T180" s="411">
        <f t="shared" si="23"/>
        <v>0</v>
      </c>
    </row>
    <row r="181" spans="1:20" ht="18" customHeight="1" thickBot="1">
      <c r="A181" s="72" t="str">
        <f>IF('Sch2a-Imp Price by ECM'!B182="","",'Sch2a-Imp Price by ECM'!B182)</f>
        <v/>
      </c>
      <c r="B181" s="139" t="str">
        <f>IF('Sch2a-Imp Price by ECM'!D182="","",'Sch2a-Imp Price by ECM'!D182)</f>
        <v/>
      </c>
      <c r="C181" s="414" t="s">
        <v>430</v>
      </c>
      <c r="D181" s="410">
        <f>'Sch4-Cost Savings by ECM'!P181</f>
        <v>0</v>
      </c>
      <c r="E181" s="410">
        <f>VLOOKUP(C181,'eGRID subregion name'!$A$2:$N$30,8,0)</f>
        <v>189.83531623683197</v>
      </c>
      <c r="F181" s="410">
        <f t="shared" si="24"/>
        <v>0</v>
      </c>
      <c r="G181" s="411">
        <f>'Sch4-Cost Savings by ECM'!T181</f>
        <v>0</v>
      </c>
      <c r="H181" s="411">
        <f>VLOOKUP("Natural Gas", 'GHG Emissions'!$D$2:$M$66,4,FALSE)+VLOOKUP("Natural Gas", 'GHG Emissions'!$D$2:$M$66,6,FALSE)*'eGRID subregion name'!$P$3+VLOOKUP("Natural Gas", 'GHG Emissions'!$D$2:$M$66,8,FALSE)*'eGRID subregion name'!$P$4</f>
        <v>53.114800000000002</v>
      </c>
      <c r="I181" s="411">
        <f t="shared" si="18"/>
        <v>0</v>
      </c>
      <c r="J181" s="411">
        <f>'Sch4-Cost Savings by ECM'!V181</f>
        <v>0</v>
      </c>
      <c r="K18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1" s="411">
        <f t="shared" si="19"/>
        <v>0</v>
      </c>
      <c r="M181" s="411">
        <f>'Sch4-Cost Savings by ECM'!X181</f>
        <v>0</v>
      </c>
      <c r="N18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1" s="411">
        <f t="shared" si="20"/>
        <v>0</v>
      </c>
      <c r="P181" s="413">
        <f t="shared" si="17"/>
        <v>0</v>
      </c>
      <c r="Q181" s="411">
        <f>'Sch4-Cost Savings by ECM'!AB181</f>
        <v>0</v>
      </c>
      <c r="R181" s="411">
        <f t="shared" si="21"/>
        <v>0</v>
      </c>
      <c r="S181" s="411">
        <f t="shared" si="22"/>
        <v>0</v>
      </c>
      <c r="T181" s="411">
        <f t="shared" si="23"/>
        <v>0</v>
      </c>
    </row>
    <row r="182" spans="1:20" ht="16.5" thickBot="1">
      <c r="A182" s="72" t="str">
        <f>IF('Sch2a-Imp Price by ECM'!B183="","",'Sch2a-Imp Price by ECM'!B183)</f>
        <v/>
      </c>
      <c r="B182" s="139" t="str">
        <f>IF('Sch2a-Imp Price by ECM'!D183="","",'Sch2a-Imp Price by ECM'!D183)</f>
        <v/>
      </c>
      <c r="C182" s="414" t="s">
        <v>430</v>
      </c>
      <c r="D182" s="410">
        <f>'Sch4-Cost Savings by ECM'!P182</f>
        <v>0</v>
      </c>
      <c r="E182" s="410">
        <f>VLOOKUP(C182,'eGRID subregion name'!$A$2:$N$30,8,0)</f>
        <v>189.83531623683197</v>
      </c>
      <c r="F182" s="410">
        <f t="shared" si="24"/>
        <v>0</v>
      </c>
      <c r="G182" s="411">
        <f>'Sch4-Cost Savings by ECM'!T182</f>
        <v>0</v>
      </c>
      <c r="H182" s="411">
        <f>VLOOKUP("Natural Gas", 'GHG Emissions'!$D$2:$M$66,4,FALSE)+VLOOKUP("Natural Gas", 'GHG Emissions'!$D$2:$M$66,6,FALSE)*'eGRID subregion name'!$P$3+VLOOKUP("Natural Gas", 'GHG Emissions'!$D$2:$M$66,8,FALSE)*'eGRID subregion name'!$P$4</f>
        <v>53.114800000000002</v>
      </c>
      <c r="I182" s="411">
        <f t="shared" si="18"/>
        <v>0</v>
      </c>
      <c r="J182" s="411">
        <f>'Sch4-Cost Savings by ECM'!V182</f>
        <v>0</v>
      </c>
      <c r="K18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2" s="411">
        <f t="shared" si="19"/>
        <v>0</v>
      </c>
      <c r="M182" s="411">
        <f>'Sch4-Cost Savings by ECM'!X182</f>
        <v>0</v>
      </c>
      <c r="N18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2" s="411">
        <f t="shared" si="20"/>
        <v>0</v>
      </c>
      <c r="P182" s="413">
        <f t="shared" si="17"/>
        <v>0</v>
      </c>
      <c r="Q182" s="411">
        <f>'Sch4-Cost Savings by ECM'!AB182</f>
        <v>0</v>
      </c>
      <c r="R182" s="411">
        <f t="shared" si="21"/>
        <v>0</v>
      </c>
      <c r="S182" s="411">
        <f t="shared" si="22"/>
        <v>0</v>
      </c>
      <c r="T182" s="411">
        <f t="shared" si="23"/>
        <v>0</v>
      </c>
    </row>
    <row r="183" spans="1:20" ht="16.5" thickBot="1">
      <c r="A183" s="72" t="str">
        <f>IF('Sch2a-Imp Price by ECM'!B184="","",'Sch2a-Imp Price by ECM'!B184)</f>
        <v/>
      </c>
      <c r="B183" s="139" t="str">
        <f>IF('Sch2a-Imp Price by ECM'!D184="","",'Sch2a-Imp Price by ECM'!D184)</f>
        <v/>
      </c>
      <c r="C183" s="414" t="s">
        <v>430</v>
      </c>
      <c r="D183" s="410">
        <f>'Sch4-Cost Savings by ECM'!P183</f>
        <v>0</v>
      </c>
      <c r="E183" s="410">
        <f>VLOOKUP(C183,'eGRID subregion name'!$A$2:$N$30,8,0)</f>
        <v>189.83531623683197</v>
      </c>
      <c r="F183" s="410">
        <f t="shared" si="24"/>
        <v>0</v>
      </c>
      <c r="G183" s="411">
        <f>'Sch4-Cost Savings by ECM'!T183</f>
        <v>0</v>
      </c>
      <c r="H183" s="411">
        <f>VLOOKUP("Natural Gas", 'GHG Emissions'!$D$2:$M$66,4,FALSE)+VLOOKUP("Natural Gas", 'GHG Emissions'!$D$2:$M$66,6,FALSE)*'eGRID subregion name'!$P$3+VLOOKUP("Natural Gas", 'GHG Emissions'!$D$2:$M$66,8,FALSE)*'eGRID subregion name'!$P$4</f>
        <v>53.114800000000002</v>
      </c>
      <c r="I183" s="411">
        <f t="shared" si="18"/>
        <v>0</v>
      </c>
      <c r="J183" s="411">
        <f>'Sch4-Cost Savings by ECM'!V183</f>
        <v>0</v>
      </c>
      <c r="K18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3" s="411">
        <f t="shared" si="19"/>
        <v>0</v>
      </c>
      <c r="M183" s="411">
        <f>'Sch4-Cost Savings by ECM'!X183</f>
        <v>0</v>
      </c>
      <c r="N18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3" s="411">
        <f t="shared" si="20"/>
        <v>0</v>
      </c>
      <c r="P183" s="413">
        <f t="shared" si="17"/>
        <v>0</v>
      </c>
      <c r="Q183" s="411">
        <f>'Sch4-Cost Savings by ECM'!AB183</f>
        <v>0</v>
      </c>
      <c r="R183" s="411">
        <f t="shared" si="21"/>
        <v>0</v>
      </c>
      <c r="S183" s="411">
        <f t="shared" si="22"/>
        <v>0</v>
      </c>
      <c r="T183" s="411">
        <f t="shared" si="23"/>
        <v>0</v>
      </c>
    </row>
    <row r="184" spans="1:20" ht="16.5" thickBot="1">
      <c r="A184" s="72" t="str">
        <f>IF('Sch2a-Imp Price by ECM'!B185="","",'Sch2a-Imp Price by ECM'!B185)</f>
        <v/>
      </c>
      <c r="B184" s="139" t="str">
        <f>IF('Sch2a-Imp Price by ECM'!D185="","",'Sch2a-Imp Price by ECM'!D185)</f>
        <v/>
      </c>
      <c r="C184" s="414" t="s">
        <v>430</v>
      </c>
      <c r="D184" s="410">
        <f>'Sch4-Cost Savings by ECM'!P184</f>
        <v>0</v>
      </c>
      <c r="E184" s="410">
        <f>VLOOKUP(C184,'eGRID subregion name'!$A$2:$N$30,8,0)</f>
        <v>189.83531623683197</v>
      </c>
      <c r="F184" s="410">
        <f t="shared" si="24"/>
        <v>0</v>
      </c>
      <c r="G184" s="411">
        <f>'Sch4-Cost Savings by ECM'!T184</f>
        <v>0</v>
      </c>
      <c r="H184" s="411">
        <f>VLOOKUP("Natural Gas", 'GHG Emissions'!$D$2:$M$66,4,FALSE)+VLOOKUP("Natural Gas", 'GHG Emissions'!$D$2:$M$66,6,FALSE)*'eGRID subregion name'!$P$3+VLOOKUP("Natural Gas", 'GHG Emissions'!$D$2:$M$66,8,FALSE)*'eGRID subregion name'!$P$4</f>
        <v>53.114800000000002</v>
      </c>
      <c r="I184" s="411">
        <f t="shared" si="18"/>
        <v>0</v>
      </c>
      <c r="J184" s="411">
        <f>'Sch4-Cost Savings by ECM'!V184</f>
        <v>0</v>
      </c>
      <c r="K18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4" s="411">
        <f t="shared" si="19"/>
        <v>0</v>
      </c>
      <c r="M184" s="411">
        <f>'Sch4-Cost Savings by ECM'!X184</f>
        <v>0</v>
      </c>
      <c r="N18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4" s="411">
        <f t="shared" si="20"/>
        <v>0</v>
      </c>
      <c r="P184" s="413">
        <f t="shared" si="17"/>
        <v>0</v>
      </c>
      <c r="Q184" s="411">
        <f>'Sch4-Cost Savings by ECM'!AB184</f>
        <v>0</v>
      </c>
      <c r="R184" s="411">
        <f t="shared" si="21"/>
        <v>0</v>
      </c>
      <c r="S184" s="411">
        <f t="shared" si="22"/>
        <v>0</v>
      </c>
      <c r="T184" s="411">
        <f t="shared" si="23"/>
        <v>0</v>
      </c>
    </row>
    <row r="185" spans="1:20" ht="16.5" thickBot="1">
      <c r="A185" s="72" t="str">
        <f>IF('Sch2a-Imp Price by ECM'!B186="","",'Sch2a-Imp Price by ECM'!B186)</f>
        <v/>
      </c>
      <c r="B185" s="139" t="str">
        <f>IF('Sch2a-Imp Price by ECM'!D186="","",'Sch2a-Imp Price by ECM'!D186)</f>
        <v/>
      </c>
      <c r="C185" s="414" t="s">
        <v>430</v>
      </c>
      <c r="D185" s="410">
        <f>'Sch4-Cost Savings by ECM'!P185</f>
        <v>0</v>
      </c>
      <c r="E185" s="410">
        <f>VLOOKUP(C185,'eGRID subregion name'!$A$2:$N$30,8,0)</f>
        <v>189.83531623683197</v>
      </c>
      <c r="F185" s="410">
        <f t="shared" si="24"/>
        <v>0</v>
      </c>
      <c r="G185" s="411">
        <f>'Sch4-Cost Savings by ECM'!T185</f>
        <v>0</v>
      </c>
      <c r="H185" s="411">
        <f>VLOOKUP("Natural Gas", 'GHG Emissions'!$D$2:$M$66,4,FALSE)+VLOOKUP("Natural Gas", 'GHG Emissions'!$D$2:$M$66,6,FALSE)*'eGRID subregion name'!$P$3+VLOOKUP("Natural Gas", 'GHG Emissions'!$D$2:$M$66,8,FALSE)*'eGRID subregion name'!$P$4</f>
        <v>53.114800000000002</v>
      </c>
      <c r="I185" s="411">
        <f t="shared" si="18"/>
        <v>0</v>
      </c>
      <c r="J185" s="411">
        <f>'Sch4-Cost Savings by ECM'!V185</f>
        <v>0</v>
      </c>
      <c r="K18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5" s="411">
        <f t="shared" si="19"/>
        <v>0</v>
      </c>
      <c r="M185" s="411">
        <f>'Sch4-Cost Savings by ECM'!X185</f>
        <v>0</v>
      </c>
      <c r="N18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5" s="411">
        <f t="shared" si="20"/>
        <v>0</v>
      </c>
      <c r="P185" s="413">
        <f t="shared" si="17"/>
        <v>0</v>
      </c>
      <c r="Q185" s="411">
        <f>'Sch4-Cost Savings by ECM'!AB185</f>
        <v>0</v>
      </c>
      <c r="R185" s="411">
        <f t="shared" si="21"/>
        <v>0</v>
      </c>
      <c r="S185" s="411">
        <f t="shared" si="22"/>
        <v>0</v>
      </c>
      <c r="T185" s="411">
        <f t="shared" si="23"/>
        <v>0</v>
      </c>
    </row>
    <row r="186" spans="1:20" ht="16.5" thickBot="1">
      <c r="A186" s="72" t="str">
        <f>IF('Sch2a-Imp Price by ECM'!B187="","",'Sch2a-Imp Price by ECM'!B187)</f>
        <v/>
      </c>
      <c r="B186" s="139" t="str">
        <f>IF('Sch2a-Imp Price by ECM'!D187="","",'Sch2a-Imp Price by ECM'!D187)</f>
        <v/>
      </c>
      <c r="C186" s="414" t="s">
        <v>430</v>
      </c>
      <c r="D186" s="410">
        <f>'Sch4-Cost Savings by ECM'!P186</f>
        <v>0</v>
      </c>
      <c r="E186" s="410">
        <f>VLOOKUP(C186,'eGRID subregion name'!$A$2:$N$30,8,0)</f>
        <v>189.83531623683197</v>
      </c>
      <c r="F186" s="410">
        <f t="shared" si="24"/>
        <v>0</v>
      </c>
      <c r="G186" s="411">
        <f>'Sch4-Cost Savings by ECM'!T186</f>
        <v>0</v>
      </c>
      <c r="H186" s="411">
        <f>VLOOKUP("Natural Gas", 'GHG Emissions'!$D$2:$M$66,4,FALSE)+VLOOKUP("Natural Gas", 'GHG Emissions'!$D$2:$M$66,6,FALSE)*'eGRID subregion name'!$P$3+VLOOKUP("Natural Gas", 'GHG Emissions'!$D$2:$M$66,8,FALSE)*'eGRID subregion name'!$P$4</f>
        <v>53.114800000000002</v>
      </c>
      <c r="I186" s="411">
        <f t="shared" si="18"/>
        <v>0</v>
      </c>
      <c r="J186" s="411">
        <f>'Sch4-Cost Savings by ECM'!V186</f>
        <v>0</v>
      </c>
      <c r="K18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6" s="411">
        <f t="shared" si="19"/>
        <v>0</v>
      </c>
      <c r="M186" s="411">
        <f>'Sch4-Cost Savings by ECM'!X186</f>
        <v>0</v>
      </c>
      <c r="N18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6" s="411">
        <f t="shared" si="20"/>
        <v>0</v>
      </c>
      <c r="P186" s="413">
        <f t="shared" si="17"/>
        <v>0</v>
      </c>
      <c r="Q186" s="411">
        <f>'Sch4-Cost Savings by ECM'!AB186</f>
        <v>0</v>
      </c>
      <c r="R186" s="411">
        <f t="shared" si="21"/>
        <v>0</v>
      </c>
      <c r="S186" s="411">
        <f t="shared" si="22"/>
        <v>0</v>
      </c>
      <c r="T186" s="411">
        <f t="shared" si="23"/>
        <v>0</v>
      </c>
    </row>
    <row r="187" spans="1:20" ht="16.5" thickBot="1">
      <c r="A187" s="72" t="str">
        <f>IF('Sch2a-Imp Price by ECM'!B188="","",'Sch2a-Imp Price by ECM'!B188)</f>
        <v/>
      </c>
      <c r="B187" s="139" t="str">
        <f>IF('Sch2a-Imp Price by ECM'!D188="","",'Sch2a-Imp Price by ECM'!D188)</f>
        <v/>
      </c>
      <c r="C187" s="414" t="s">
        <v>430</v>
      </c>
      <c r="D187" s="410">
        <f>'Sch4-Cost Savings by ECM'!P187</f>
        <v>0</v>
      </c>
      <c r="E187" s="410">
        <f>VLOOKUP(C187,'eGRID subregion name'!$A$2:$N$30,8,0)</f>
        <v>189.83531623683197</v>
      </c>
      <c r="F187" s="410">
        <f t="shared" si="24"/>
        <v>0</v>
      </c>
      <c r="G187" s="411">
        <f>'Sch4-Cost Savings by ECM'!T187</f>
        <v>0</v>
      </c>
      <c r="H187" s="411">
        <f>VLOOKUP("Natural Gas", 'GHG Emissions'!$D$2:$M$66,4,FALSE)+VLOOKUP("Natural Gas", 'GHG Emissions'!$D$2:$M$66,6,FALSE)*'eGRID subregion name'!$P$3+VLOOKUP("Natural Gas", 'GHG Emissions'!$D$2:$M$66,8,FALSE)*'eGRID subregion name'!$P$4</f>
        <v>53.114800000000002</v>
      </c>
      <c r="I187" s="411">
        <f t="shared" si="18"/>
        <v>0</v>
      </c>
      <c r="J187" s="411">
        <f>'Sch4-Cost Savings by ECM'!V187</f>
        <v>0</v>
      </c>
      <c r="K18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7" s="411">
        <f t="shared" si="19"/>
        <v>0</v>
      </c>
      <c r="M187" s="411">
        <f>'Sch4-Cost Savings by ECM'!X187</f>
        <v>0</v>
      </c>
      <c r="N18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7" s="411">
        <f t="shared" si="20"/>
        <v>0</v>
      </c>
      <c r="P187" s="413">
        <f t="shared" si="17"/>
        <v>0</v>
      </c>
      <c r="Q187" s="411">
        <f>'Sch4-Cost Savings by ECM'!AB187</f>
        <v>0</v>
      </c>
      <c r="R187" s="411">
        <f t="shared" si="21"/>
        <v>0</v>
      </c>
      <c r="S187" s="411">
        <f t="shared" si="22"/>
        <v>0</v>
      </c>
      <c r="T187" s="411">
        <f t="shared" si="23"/>
        <v>0</v>
      </c>
    </row>
    <row r="188" spans="1:20" ht="16.5" thickBot="1">
      <c r="A188" s="72" t="str">
        <f>IF('Sch2a-Imp Price by ECM'!B189="","",'Sch2a-Imp Price by ECM'!B189)</f>
        <v/>
      </c>
      <c r="B188" s="139" t="str">
        <f>IF('Sch2a-Imp Price by ECM'!D189="","",'Sch2a-Imp Price by ECM'!D189)</f>
        <v/>
      </c>
      <c r="C188" s="414" t="s">
        <v>430</v>
      </c>
      <c r="D188" s="410">
        <f>'Sch4-Cost Savings by ECM'!P188</f>
        <v>0</v>
      </c>
      <c r="E188" s="410">
        <f>VLOOKUP(C188,'eGRID subregion name'!$A$2:$N$30,8,0)</f>
        <v>189.83531623683197</v>
      </c>
      <c r="F188" s="410">
        <f t="shared" si="24"/>
        <v>0</v>
      </c>
      <c r="G188" s="411">
        <f>'Sch4-Cost Savings by ECM'!T188</f>
        <v>0</v>
      </c>
      <c r="H188" s="411">
        <f>VLOOKUP("Natural Gas", 'GHG Emissions'!$D$2:$M$66,4,FALSE)+VLOOKUP("Natural Gas", 'GHG Emissions'!$D$2:$M$66,6,FALSE)*'eGRID subregion name'!$P$3+VLOOKUP("Natural Gas", 'GHG Emissions'!$D$2:$M$66,8,FALSE)*'eGRID subregion name'!$P$4</f>
        <v>53.114800000000002</v>
      </c>
      <c r="I188" s="411">
        <f t="shared" si="18"/>
        <v>0</v>
      </c>
      <c r="J188" s="411">
        <f>'Sch4-Cost Savings by ECM'!V188</f>
        <v>0</v>
      </c>
      <c r="K18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8" s="411">
        <f t="shared" si="19"/>
        <v>0</v>
      </c>
      <c r="M188" s="411">
        <f>'Sch4-Cost Savings by ECM'!X188</f>
        <v>0</v>
      </c>
      <c r="N18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8" s="411">
        <f t="shared" si="20"/>
        <v>0</v>
      </c>
      <c r="P188" s="413">
        <f t="shared" si="17"/>
        <v>0</v>
      </c>
      <c r="Q188" s="411">
        <f>'Sch4-Cost Savings by ECM'!AB188</f>
        <v>0</v>
      </c>
      <c r="R188" s="411">
        <f t="shared" si="21"/>
        <v>0</v>
      </c>
      <c r="S188" s="411">
        <f t="shared" si="22"/>
        <v>0</v>
      </c>
      <c r="T188" s="411">
        <f t="shared" si="23"/>
        <v>0</v>
      </c>
    </row>
    <row r="189" spans="1:20" ht="16.5" thickBot="1">
      <c r="A189" s="72" t="str">
        <f>IF('Sch2a-Imp Price by ECM'!B190="","",'Sch2a-Imp Price by ECM'!B190)</f>
        <v/>
      </c>
      <c r="B189" s="139" t="str">
        <f>IF('Sch2a-Imp Price by ECM'!D190="","",'Sch2a-Imp Price by ECM'!D190)</f>
        <v/>
      </c>
      <c r="C189" s="414" t="s">
        <v>430</v>
      </c>
      <c r="D189" s="410">
        <f>'Sch4-Cost Savings by ECM'!P189</f>
        <v>0</v>
      </c>
      <c r="E189" s="410">
        <f>VLOOKUP(C189,'eGRID subregion name'!$A$2:$N$30,8,0)</f>
        <v>189.83531623683197</v>
      </c>
      <c r="F189" s="410">
        <f t="shared" si="24"/>
        <v>0</v>
      </c>
      <c r="G189" s="411">
        <f>'Sch4-Cost Savings by ECM'!T189</f>
        <v>0</v>
      </c>
      <c r="H189" s="411">
        <f>VLOOKUP("Natural Gas", 'GHG Emissions'!$D$2:$M$66,4,FALSE)+VLOOKUP("Natural Gas", 'GHG Emissions'!$D$2:$M$66,6,FALSE)*'eGRID subregion name'!$P$3+VLOOKUP("Natural Gas", 'GHG Emissions'!$D$2:$M$66,8,FALSE)*'eGRID subregion name'!$P$4</f>
        <v>53.114800000000002</v>
      </c>
      <c r="I189" s="411">
        <f t="shared" si="18"/>
        <v>0</v>
      </c>
      <c r="J189" s="411">
        <f>'Sch4-Cost Savings by ECM'!V189</f>
        <v>0</v>
      </c>
      <c r="K18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9" s="411">
        <f t="shared" si="19"/>
        <v>0</v>
      </c>
      <c r="M189" s="411">
        <f>'Sch4-Cost Savings by ECM'!X189</f>
        <v>0</v>
      </c>
      <c r="N18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9" s="411">
        <f t="shared" si="20"/>
        <v>0</v>
      </c>
      <c r="P189" s="413">
        <f t="shared" si="17"/>
        <v>0</v>
      </c>
      <c r="Q189" s="411">
        <f>'Sch4-Cost Savings by ECM'!AB189</f>
        <v>0</v>
      </c>
      <c r="R189" s="411">
        <f t="shared" si="21"/>
        <v>0</v>
      </c>
      <c r="S189" s="411">
        <f t="shared" si="22"/>
        <v>0</v>
      </c>
      <c r="T189" s="411">
        <f t="shared" si="23"/>
        <v>0</v>
      </c>
    </row>
    <row r="190" spans="1:20" ht="16.5" thickBot="1">
      <c r="A190" s="72" t="str">
        <f>IF('Sch2a-Imp Price by ECM'!B191="","",'Sch2a-Imp Price by ECM'!B191)</f>
        <v/>
      </c>
      <c r="B190" s="139" t="str">
        <f>IF('Sch2a-Imp Price by ECM'!D191="","",'Sch2a-Imp Price by ECM'!D191)</f>
        <v/>
      </c>
      <c r="C190" s="414" t="s">
        <v>430</v>
      </c>
      <c r="D190" s="410">
        <f>'Sch4-Cost Savings by ECM'!P190</f>
        <v>0</v>
      </c>
      <c r="E190" s="410">
        <f>VLOOKUP(C190,'eGRID subregion name'!$A$2:$N$30,8,0)</f>
        <v>189.83531623683197</v>
      </c>
      <c r="F190" s="410">
        <f t="shared" si="24"/>
        <v>0</v>
      </c>
      <c r="G190" s="411">
        <f>'Sch4-Cost Savings by ECM'!T190</f>
        <v>0</v>
      </c>
      <c r="H190" s="411">
        <f>VLOOKUP("Natural Gas", 'GHG Emissions'!$D$2:$M$66,4,FALSE)+VLOOKUP("Natural Gas", 'GHG Emissions'!$D$2:$M$66,6,FALSE)*'eGRID subregion name'!$P$3+VLOOKUP("Natural Gas", 'GHG Emissions'!$D$2:$M$66,8,FALSE)*'eGRID subregion name'!$P$4</f>
        <v>53.114800000000002</v>
      </c>
      <c r="I190" s="411">
        <f t="shared" si="18"/>
        <v>0</v>
      </c>
      <c r="J190" s="411">
        <f>'Sch4-Cost Savings by ECM'!V190</f>
        <v>0</v>
      </c>
      <c r="K19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0" s="411">
        <f t="shared" si="19"/>
        <v>0</v>
      </c>
      <c r="M190" s="411">
        <f>'Sch4-Cost Savings by ECM'!X190</f>
        <v>0</v>
      </c>
      <c r="N19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0" s="411">
        <f t="shared" si="20"/>
        <v>0</v>
      </c>
      <c r="P190" s="413">
        <f t="shared" si="17"/>
        <v>0</v>
      </c>
      <c r="Q190" s="411">
        <f>'Sch4-Cost Savings by ECM'!AB190</f>
        <v>0</v>
      </c>
      <c r="R190" s="411">
        <f t="shared" si="21"/>
        <v>0</v>
      </c>
      <c r="S190" s="411">
        <f t="shared" si="22"/>
        <v>0</v>
      </c>
      <c r="T190" s="411">
        <f t="shared" si="23"/>
        <v>0</v>
      </c>
    </row>
    <row r="191" spans="1:20" ht="16.5" thickBot="1">
      <c r="A191" s="72" t="str">
        <f>IF('Sch2a-Imp Price by ECM'!B192="","",'Sch2a-Imp Price by ECM'!B192)</f>
        <v/>
      </c>
      <c r="B191" s="139" t="str">
        <f>IF('Sch2a-Imp Price by ECM'!D192="","",'Sch2a-Imp Price by ECM'!D192)</f>
        <v/>
      </c>
      <c r="C191" s="414" t="s">
        <v>430</v>
      </c>
      <c r="D191" s="410">
        <f>'Sch4-Cost Savings by ECM'!P191</f>
        <v>0</v>
      </c>
      <c r="E191" s="410">
        <f>VLOOKUP(C191,'eGRID subregion name'!$A$2:$N$30,8,0)</f>
        <v>189.83531623683197</v>
      </c>
      <c r="F191" s="410">
        <f t="shared" si="24"/>
        <v>0</v>
      </c>
      <c r="G191" s="411">
        <f>'Sch4-Cost Savings by ECM'!T191</f>
        <v>0</v>
      </c>
      <c r="H191" s="411">
        <f>VLOOKUP("Natural Gas", 'GHG Emissions'!$D$2:$M$66,4,FALSE)+VLOOKUP("Natural Gas", 'GHG Emissions'!$D$2:$M$66,6,FALSE)*'eGRID subregion name'!$P$3+VLOOKUP("Natural Gas", 'GHG Emissions'!$D$2:$M$66,8,FALSE)*'eGRID subregion name'!$P$4</f>
        <v>53.114800000000002</v>
      </c>
      <c r="I191" s="411">
        <f t="shared" si="18"/>
        <v>0</v>
      </c>
      <c r="J191" s="411">
        <f>'Sch4-Cost Savings by ECM'!V191</f>
        <v>0</v>
      </c>
      <c r="K19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1" s="411">
        <f t="shared" si="19"/>
        <v>0</v>
      </c>
      <c r="M191" s="411">
        <f>'Sch4-Cost Savings by ECM'!X191</f>
        <v>0</v>
      </c>
      <c r="N19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1" s="411">
        <f t="shared" si="20"/>
        <v>0</v>
      </c>
      <c r="P191" s="413">
        <f t="shared" si="17"/>
        <v>0</v>
      </c>
      <c r="Q191" s="411">
        <f>'Sch4-Cost Savings by ECM'!AB191</f>
        <v>0</v>
      </c>
      <c r="R191" s="411">
        <f t="shared" si="21"/>
        <v>0</v>
      </c>
      <c r="S191" s="411">
        <f t="shared" si="22"/>
        <v>0</v>
      </c>
      <c r="T191" s="411">
        <f t="shared" si="23"/>
        <v>0</v>
      </c>
    </row>
    <row r="192" spans="1:20" ht="16.5" thickBot="1">
      <c r="A192" s="72" t="str">
        <f>IF('Sch2a-Imp Price by ECM'!B193="","",'Sch2a-Imp Price by ECM'!B193)</f>
        <v/>
      </c>
      <c r="B192" s="139" t="str">
        <f>IF('Sch2a-Imp Price by ECM'!D193="","",'Sch2a-Imp Price by ECM'!D193)</f>
        <v/>
      </c>
      <c r="C192" s="414" t="s">
        <v>430</v>
      </c>
      <c r="D192" s="410">
        <f>'Sch4-Cost Savings by ECM'!P192</f>
        <v>0</v>
      </c>
      <c r="E192" s="410">
        <f>VLOOKUP(C192,'eGRID subregion name'!$A$2:$N$30,8,0)</f>
        <v>189.83531623683197</v>
      </c>
      <c r="F192" s="410">
        <f t="shared" si="24"/>
        <v>0</v>
      </c>
      <c r="G192" s="411">
        <f>'Sch4-Cost Savings by ECM'!T192</f>
        <v>0</v>
      </c>
      <c r="H192" s="411">
        <f>VLOOKUP("Natural Gas", 'GHG Emissions'!$D$2:$M$66,4,FALSE)+VLOOKUP("Natural Gas", 'GHG Emissions'!$D$2:$M$66,6,FALSE)*'eGRID subregion name'!$P$3+VLOOKUP("Natural Gas", 'GHG Emissions'!$D$2:$M$66,8,FALSE)*'eGRID subregion name'!$P$4</f>
        <v>53.114800000000002</v>
      </c>
      <c r="I192" s="411">
        <f t="shared" si="18"/>
        <v>0</v>
      </c>
      <c r="J192" s="411">
        <f>'Sch4-Cost Savings by ECM'!V192</f>
        <v>0</v>
      </c>
      <c r="K19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2" s="411">
        <f t="shared" si="19"/>
        <v>0</v>
      </c>
      <c r="M192" s="411">
        <f>'Sch4-Cost Savings by ECM'!X192</f>
        <v>0</v>
      </c>
      <c r="N19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2" s="411">
        <f t="shared" si="20"/>
        <v>0</v>
      </c>
      <c r="P192" s="413">
        <f t="shared" si="17"/>
        <v>0</v>
      </c>
      <c r="Q192" s="411">
        <f>'Sch4-Cost Savings by ECM'!AB192</f>
        <v>0</v>
      </c>
      <c r="R192" s="411">
        <f t="shared" si="21"/>
        <v>0</v>
      </c>
      <c r="S192" s="411">
        <f t="shared" si="22"/>
        <v>0</v>
      </c>
      <c r="T192" s="411">
        <f t="shared" si="23"/>
        <v>0</v>
      </c>
    </row>
    <row r="193" spans="1:20" ht="16.5" thickBot="1">
      <c r="A193" s="72" t="str">
        <f>IF('Sch2a-Imp Price by ECM'!B194="","",'Sch2a-Imp Price by ECM'!B194)</f>
        <v/>
      </c>
      <c r="B193" s="139" t="str">
        <f>IF('Sch2a-Imp Price by ECM'!D194="","",'Sch2a-Imp Price by ECM'!D194)</f>
        <v/>
      </c>
      <c r="C193" s="414" t="s">
        <v>430</v>
      </c>
      <c r="D193" s="410">
        <f>'Sch4-Cost Savings by ECM'!P193</f>
        <v>0</v>
      </c>
      <c r="E193" s="410">
        <f>VLOOKUP(C193,'eGRID subregion name'!$A$2:$N$30,8,0)</f>
        <v>189.83531623683197</v>
      </c>
      <c r="F193" s="410">
        <f t="shared" si="24"/>
        <v>0</v>
      </c>
      <c r="G193" s="411">
        <f>'Sch4-Cost Savings by ECM'!T193</f>
        <v>0</v>
      </c>
      <c r="H193" s="411">
        <f>VLOOKUP("Natural Gas", 'GHG Emissions'!$D$2:$M$66,4,FALSE)+VLOOKUP("Natural Gas", 'GHG Emissions'!$D$2:$M$66,6,FALSE)*'eGRID subregion name'!$P$3+VLOOKUP("Natural Gas", 'GHG Emissions'!$D$2:$M$66,8,FALSE)*'eGRID subregion name'!$P$4</f>
        <v>53.114800000000002</v>
      </c>
      <c r="I193" s="411">
        <f t="shared" si="18"/>
        <v>0</v>
      </c>
      <c r="J193" s="411">
        <f>'Sch4-Cost Savings by ECM'!V193</f>
        <v>0</v>
      </c>
      <c r="K19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3" s="411">
        <f t="shared" si="19"/>
        <v>0</v>
      </c>
      <c r="M193" s="411">
        <f>'Sch4-Cost Savings by ECM'!X193</f>
        <v>0</v>
      </c>
      <c r="N19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3" s="411">
        <f t="shared" si="20"/>
        <v>0</v>
      </c>
      <c r="P193" s="413">
        <f t="shared" si="17"/>
        <v>0</v>
      </c>
      <c r="Q193" s="411">
        <f>'Sch4-Cost Savings by ECM'!AB193</f>
        <v>0</v>
      </c>
      <c r="R193" s="411">
        <f t="shared" si="21"/>
        <v>0</v>
      </c>
      <c r="S193" s="411">
        <f t="shared" si="22"/>
        <v>0</v>
      </c>
      <c r="T193" s="411">
        <f t="shared" si="23"/>
        <v>0</v>
      </c>
    </row>
    <row r="194" spans="1:20" ht="16.5" thickBot="1">
      <c r="A194" s="72" t="str">
        <f>IF('Sch2a-Imp Price by ECM'!B195="","",'Sch2a-Imp Price by ECM'!B195)</f>
        <v/>
      </c>
      <c r="B194" s="139" t="str">
        <f>IF('Sch2a-Imp Price by ECM'!D195="","",'Sch2a-Imp Price by ECM'!D195)</f>
        <v/>
      </c>
      <c r="C194" s="414" t="s">
        <v>430</v>
      </c>
      <c r="D194" s="410">
        <f>'Sch4-Cost Savings by ECM'!P194</f>
        <v>0</v>
      </c>
      <c r="E194" s="410">
        <f>VLOOKUP(C194,'eGRID subregion name'!$A$2:$N$30,8,0)</f>
        <v>189.83531623683197</v>
      </c>
      <c r="F194" s="410">
        <f t="shared" si="24"/>
        <v>0</v>
      </c>
      <c r="G194" s="411">
        <f>'Sch4-Cost Savings by ECM'!T194</f>
        <v>0</v>
      </c>
      <c r="H194" s="411">
        <f>VLOOKUP("Natural Gas", 'GHG Emissions'!$D$2:$M$66,4,FALSE)+VLOOKUP("Natural Gas", 'GHG Emissions'!$D$2:$M$66,6,FALSE)*'eGRID subregion name'!$P$3+VLOOKUP("Natural Gas", 'GHG Emissions'!$D$2:$M$66,8,FALSE)*'eGRID subregion name'!$P$4</f>
        <v>53.114800000000002</v>
      </c>
      <c r="I194" s="411">
        <f t="shared" si="18"/>
        <v>0</v>
      </c>
      <c r="J194" s="411">
        <f>'Sch4-Cost Savings by ECM'!V194</f>
        <v>0</v>
      </c>
      <c r="K19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4" s="411">
        <f t="shared" si="19"/>
        <v>0</v>
      </c>
      <c r="M194" s="411">
        <f>'Sch4-Cost Savings by ECM'!X194</f>
        <v>0</v>
      </c>
      <c r="N19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4" s="411">
        <f t="shared" si="20"/>
        <v>0</v>
      </c>
      <c r="P194" s="413">
        <f t="shared" si="17"/>
        <v>0</v>
      </c>
      <c r="Q194" s="411">
        <f>'Sch4-Cost Savings by ECM'!AB194</f>
        <v>0</v>
      </c>
      <c r="R194" s="411">
        <f t="shared" si="21"/>
        <v>0</v>
      </c>
      <c r="S194" s="411">
        <f t="shared" si="22"/>
        <v>0</v>
      </c>
      <c r="T194" s="411">
        <f t="shared" si="23"/>
        <v>0</v>
      </c>
    </row>
    <row r="195" spans="1:20" ht="16.5" thickBot="1">
      <c r="A195" s="72" t="str">
        <f>IF('Sch2a-Imp Price by ECM'!B196="","",'Sch2a-Imp Price by ECM'!B196)</f>
        <v/>
      </c>
      <c r="B195" s="139" t="str">
        <f>IF('Sch2a-Imp Price by ECM'!D196="","",'Sch2a-Imp Price by ECM'!D196)</f>
        <v/>
      </c>
      <c r="C195" s="414" t="s">
        <v>430</v>
      </c>
      <c r="D195" s="410">
        <f>'Sch4-Cost Savings by ECM'!P195</f>
        <v>0</v>
      </c>
      <c r="E195" s="410">
        <f>VLOOKUP(C195,'eGRID subregion name'!$A$2:$N$30,8,0)</f>
        <v>189.83531623683197</v>
      </c>
      <c r="F195" s="410">
        <f t="shared" si="24"/>
        <v>0</v>
      </c>
      <c r="G195" s="411">
        <f>'Sch4-Cost Savings by ECM'!T195</f>
        <v>0</v>
      </c>
      <c r="H195" s="411">
        <f>VLOOKUP("Natural Gas", 'GHG Emissions'!$D$2:$M$66,4,FALSE)+VLOOKUP("Natural Gas", 'GHG Emissions'!$D$2:$M$66,6,FALSE)*'eGRID subregion name'!$P$3+VLOOKUP("Natural Gas", 'GHG Emissions'!$D$2:$M$66,8,FALSE)*'eGRID subregion name'!$P$4</f>
        <v>53.114800000000002</v>
      </c>
      <c r="I195" s="411">
        <f t="shared" si="18"/>
        <v>0</v>
      </c>
      <c r="J195" s="411">
        <f>'Sch4-Cost Savings by ECM'!V195</f>
        <v>0</v>
      </c>
      <c r="K19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5" s="411">
        <f t="shared" si="19"/>
        <v>0</v>
      </c>
      <c r="M195" s="411">
        <f>'Sch4-Cost Savings by ECM'!X195</f>
        <v>0</v>
      </c>
      <c r="N19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5" s="411">
        <f t="shared" si="20"/>
        <v>0</v>
      </c>
      <c r="P195" s="413">
        <f t="shared" si="17"/>
        <v>0</v>
      </c>
      <c r="Q195" s="411">
        <f>'Sch4-Cost Savings by ECM'!AB195</f>
        <v>0</v>
      </c>
      <c r="R195" s="411">
        <f t="shared" si="21"/>
        <v>0</v>
      </c>
      <c r="S195" s="411">
        <f t="shared" si="22"/>
        <v>0</v>
      </c>
      <c r="T195" s="411">
        <f t="shared" si="23"/>
        <v>0</v>
      </c>
    </row>
    <row r="196" spans="1:20" ht="16.5" thickBot="1">
      <c r="A196" s="72" t="str">
        <f>IF('Sch2a-Imp Price by ECM'!B197="","",'Sch2a-Imp Price by ECM'!B197)</f>
        <v/>
      </c>
      <c r="B196" s="139" t="str">
        <f>IF('Sch2a-Imp Price by ECM'!D197="","",'Sch2a-Imp Price by ECM'!D197)</f>
        <v/>
      </c>
      <c r="C196" s="414" t="s">
        <v>430</v>
      </c>
      <c r="D196" s="410">
        <f>'Sch4-Cost Savings by ECM'!P196</f>
        <v>0</v>
      </c>
      <c r="E196" s="410">
        <f>VLOOKUP(C196,'eGRID subregion name'!$A$2:$N$30,8,0)</f>
        <v>189.83531623683197</v>
      </c>
      <c r="F196" s="410">
        <f t="shared" si="24"/>
        <v>0</v>
      </c>
      <c r="G196" s="411">
        <f>'Sch4-Cost Savings by ECM'!T196</f>
        <v>0</v>
      </c>
      <c r="H196" s="411">
        <f>VLOOKUP("Natural Gas", 'GHG Emissions'!$D$2:$M$66,4,FALSE)+VLOOKUP("Natural Gas", 'GHG Emissions'!$D$2:$M$66,6,FALSE)*'eGRID subregion name'!$P$3+VLOOKUP("Natural Gas", 'GHG Emissions'!$D$2:$M$66,8,FALSE)*'eGRID subregion name'!$P$4</f>
        <v>53.114800000000002</v>
      </c>
      <c r="I196" s="411">
        <f t="shared" si="18"/>
        <v>0</v>
      </c>
      <c r="J196" s="411">
        <f>'Sch4-Cost Savings by ECM'!V196</f>
        <v>0</v>
      </c>
      <c r="K19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6" s="411">
        <f t="shared" si="19"/>
        <v>0</v>
      </c>
      <c r="M196" s="411">
        <f>'Sch4-Cost Savings by ECM'!X196</f>
        <v>0</v>
      </c>
      <c r="N19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6" s="411">
        <f t="shared" si="20"/>
        <v>0</v>
      </c>
      <c r="P196" s="413">
        <f t="shared" si="17"/>
        <v>0</v>
      </c>
      <c r="Q196" s="411">
        <f>'Sch4-Cost Savings by ECM'!AB196</f>
        <v>0</v>
      </c>
      <c r="R196" s="411">
        <f t="shared" si="21"/>
        <v>0</v>
      </c>
      <c r="S196" s="411">
        <f t="shared" si="22"/>
        <v>0</v>
      </c>
      <c r="T196" s="411">
        <f t="shared" si="23"/>
        <v>0</v>
      </c>
    </row>
    <row r="197" spans="1:20" ht="16.5" thickBot="1">
      <c r="A197" s="72" t="str">
        <f>IF('Sch2a-Imp Price by ECM'!B198="","",'Sch2a-Imp Price by ECM'!B198)</f>
        <v/>
      </c>
      <c r="B197" s="139" t="str">
        <f>IF('Sch2a-Imp Price by ECM'!D198="","",'Sch2a-Imp Price by ECM'!D198)</f>
        <v/>
      </c>
      <c r="C197" s="414" t="s">
        <v>430</v>
      </c>
      <c r="D197" s="410">
        <f>'Sch4-Cost Savings by ECM'!P197</f>
        <v>0</v>
      </c>
      <c r="E197" s="410">
        <f>VLOOKUP(C197,'eGRID subregion name'!$A$2:$N$30,8,0)</f>
        <v>189.83531623683197</v>
      </c>
      <c r="F197" s="410">
        <f t="shared" si="24"/>
        <v>0</v>
      </c>
      <c r="G197" s="411">
        <f>'Sch4-Cost Savings by ECM'!T197</f>
        <v>0</v>
      </c>
      <c r="H197" s="411">
        <f>VLOOKUP("Natural Gas", 'GHG Emissions'!$D$2:$M$66,4,FALSE)+VLOOKUP("Natural Gas", 'GHG Emissions'!$D$2:$M$66,6,FALSE)*'eGRID subregion name'!$P$3+VLOOKUP("Natural Gas", 'GHG Emissions'!$D$2:$M$66,8,FALSE)*'eGRID subregion name'!$P$4</f>
        <v>53.114800000000002</v>
      </c>
      <c r="I197" s="411">
        <f t="shared" si="18"/>
        <v>0</v>
      </c>
      <c r="J197" s="411">
        <f>'Sch4-Cost Savings by ECM'!V197</f>
        <v>0</v>
      </c>
      <c r="K19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7" s="411">
        <f t="shared" si="19"/>
        <v>0</v>
      </c>
      <c r="M197" s="411">
        <f>'Sch4-Cost Savings by ECM'!X197</f>
        <v>0</v>
      </c>
      <c r="N19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7" s="411">
        <f t="shared" si="20"/>
        <v>0</v>
      </c>
      <c r="P197" s="413">
        <f t="shared" si="17"/>
        <v>0</v>
      </c>
      <c r="Q197" s="411">
        <f>'Sch4-Cost Savings by ECM'!AB197</f>
        <v>0</v>
      </c>
      <c r="R197" s="411">
        <f t="shared" si="21"/>
        <v>0</v>
      </c>
      <c r="S197" s="411">
        <f t="shared" si="22"/>
        <v>0</v>
      </c>
      <c r="T197" s="411">
        <f t="shared" si="23"/>
        <v>0</v>
      </c>
    </row>
    <row r="198" spans="1:20" ht="16.5" thickBot="1">
      <c r="A198" s="72" t="str">
        <f>IF('Sch2a-Imp Price by ECM'!B199="","",'Sch2a-Imp Price by ECM'!B199)</f>
        <v/>
      </c>
      <c r="B198" s="139" t="str">
        <f>IF('Sch2a-Imp Price by ECM'!D199="","",'Sch2a-Imp Price by ECM'!D199)</f>
        <v/>
      </c>
      <c r="C198" s="414" t="s">
        <v>430</v>
      </c>
      <c r="D198" s="410">
        <f>'Sch4-Cost Savings by ECM'!P198</f>
        <v>0</v>
      </c>
      <c r="E198" s="410">
        <f>VLOOKUP(C198,'eGRID subregion name'!$A$2:$N$30,8,0)</f>
        <v>189.83531623683197</v>
      </c>
      <c r="F198" s="410">
        <f t="shared" si="24"/>
        <v>0</v>
      </c>
      <c r="G198" s="411">
        <f>'Sch4-Cost Savings by ECM'!T198</f>
        <v>0</v>
      </c>
      <c r="H198" s="411">
        <f>VLOOKUP("Natural Gas", 'GHG Emissions'!$D$2:$M$66,4,FALSE)+VLOOKUP("Natural Gas", 'GHG Emissions'!$D$2:$M$66,6,FALSE)*'eGRID subregion name'!$P$3+VLOOKUP("Natural Gas", 'GHG Emissions'!$D$2:$M$66,8,FALSE)*'eGRID subregion name'!$P$4</f>
        <v>53.114800000000002</v>
      </c>
      <c r="I198" s="411">
        <f t="shared" si="18"/>
        <v>0</v>
      </c>
      <c r="J198" s="411">
        <f>'Sch4-Cost Savings by ECM'!V198</f>
        <v>0</v>
      </c>
      <c r="K19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8" s="411">
        <f t="shared" si="19"/>
        <v>0</v>
      </c>
      <c r="M198" s="411">
        <f>'Sch4-Cost Savings by ECM'!X198</f>
        <v>0</v>
      </c>
      <c r="N19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8" s="411">
        <f t="shared" si="20"/>
        <v>0</v>
      </c>
      <c r="P198" s="413">
        <f t="shared" si="17"/>
        <v>0</v>
      </c>
      <c r="Q198" s="411">
        <f>'Sch4-Cost Savings by ECM'!AB198</f>
        <v>0</v>
      </c>
      <c r="R198" s="411">
        <f t="shared" si="21"/>
        <v>0</v>
      </c>
      <c r="S198" s="411">
        <f t="shared" si="22"/>
        <v>0</v>
      </c>
      <c r="T198" s="411">
        <f t="shared" si="23"/>
        <v>0</v>
      </c>
    </row>
    <row r="199" spans="1:20" ht="16.5" thickBot="1">
      <c r="A199" s="72" t="str">
        <f>IF('Sch2a-Imp Price by ECM'!B200="","",'Sch2a-Imp Price by ECM'!B200)</f>
        <v/>
      </c>
      <c r="B199" s="139" t="str">
        <f>IF('Sch2a-Imp Price by ECM'!D200="","",'Sch2a-Imp Price by ECM'!D200)</f>
        <v/>
      </c>
      <c r="C199" s="414" t="s">
        <v>430</v>
      </c>
      <c r="D199" s="410">
        <f>'Sch4-Cost Savings by ECM'!P199</f>
        <v>0</v>
      </c>
      <c r="E199" s="410">
        <f>VLOOKUP(C199,'eGRID subregion name'!$A$2:$N$30,8,0)</f>
        <v>189.83531623683197</v>
      </c>
      <c r="F199" s="410">
        <f t="shared" si="24"/>
        <v>0</v>
      </c>
      <c r="G199" s="411">
        <f>'Sch4-Cost Savings by ECM'!T199</f>
        <v>0</v>
      </c>
      <c r="H199" s="411">
        <f>VLOOKUP("Natural Gas", 'GHG Emissions'!$D$2:$M$66,4,FALSE)+VLOOKUP("Natural Gas", 'GHG Emissions'!$D$2:$M$66,6,FALSE)*'eGRID subregion name'!$P$3+VLOOKUP("Natural Gas", 'GHG Emissions'!$D$2:$M$66,8,FALSE)*'eGRID subregion name'!$P$4</f>
        <v>53.114800000000002</v>
      </c>
      <c r="I199" s="411">
        <f t="shared" si="18"/>
        <v>0</v>
      </c>
      <c r="J199" s="411">
        <f>'Sch4-Cost Savings by ECM'!V199</f>
        <v>0</v>
      </c>
      <c r="K19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9" s="411">
        <f t="shared" si="19"/>
        <v>0</v>
      </c>
      <c r="M199" s="411">
        <f>'Sch4-Cost Savings by ECM'!X199</f>
        <v>0</v>
      </c>
      <c r="N19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9" s="411">
        <f t="shared" si="20"/>
        <v>0</v>
      </c>
      <c r="P199" s="413">
        <f t="shared" si="17"/>
        <v>0</v>
      </c>
      <c r="Q199" s="411">
        <f>'Sch4-Cost Savings by ECM'!AB199</f>
        <v>0</v>
      </c>
      <c r="R199" s="411">
        <f t="shared" si="21"/>
        <v>0</v>
      </c>
      <c r="S199" s="411">
        <f t="shared" si="22"/>
        <v>0</v>
      </c>
      <c r="T199" s="411">
        <f t="shared" si="23"/>
        <v>0</v>
      </c>
    </row>
    <row r="200" spans="1:20" ht="16.5" thickBot="1">
      <c r="A200" s="72" t="str">
        <f>IF('Sch2a-Imp Price by ECM'!B201="","",'Sch2a-Imp Price by ECM'!B201)</f>
        <v/>
      </c>
      <c r="B200" s="139" t="str">
        <f>IF('Sch2a-Imp Price by ECM'!D201="","",'Sch2a-Imp Price by ECM'!D201)</f>
        <v/>
      </c>
      <c r="C200" s="414" t="s">
        <v>430</v>
      </c>
      <c r="D200" s="410">
        <f>'Sch4-Cost Savings by ECM'!P200</f>
        <v>0</v>
      </c>
      <c r="E200" s="410">
        <f>VLOOKUP(C200,'eGRID subregion name'!$A$2:$N$30,8,0)</f>
        <v>189.83531623683197</v>
      </c>
      <c r="F200" s="410">
        <f t="shared" si="24"/>
        <v>0</v>
      </c>
      <c r="G200" s="411">
        <f>'Sch4-Cost Savings by ECM'!T200</f>
        <v>0</v>
      </c>
      <c r="H200" s="411">
        <f>VLOOKUP("Natural Gas", 'GHG Emissions'!$D$2:$M$66,4,FALSE)+VLOOKUP("Natural Gas", 'GHG Emissions'!$D$2:$M$66,6,FALSE)*'eGRID subregion name'!$P$3+VLOOKUP("Natural Gas", 'GHG Emissions'!$D$2:$M$66,8,FALSE)*'eGRID subregion name'!$P$4</f>
        <v>53.114800000000002</v>
      </c>
      <c r="I200" s="411">
        <f t="shared" si="18"/>
        <v>0</v>
      </c>
      <c r="J200" s="411">
        <f>'Sch4-Cost Savings by ECM'!V200</f>
        <v>0</v>
      </c>
      <c r="K20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0" s="411">
        <f t="shared" si="19"/>
        <v>0</v>
      </c>
      <c r="M200" s="411">
        <f>'Sch4-Cost Savings by ECM'!X200</f>
        <v>0</v>
      </c>
      <c r="N20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0" s="411">
        <f t="shared" si="20"/>
        <v>0</v>
      </c>
      <c r="P200" s="413">
        <f t="shared" ref="P200:P257" si="25">(D200*3412/10^6)+G200+J200+M200</f>
        <v>0</v>
      </c>
      <c r="Q200" s="411">
        <f>'Sch4-Cost Savings by ECM'!AB200</f>
        <v>0</v>
      </c>
      <c r="R200" s="411">
        <f t="shared" si="21"/>
        <v>0</v>
      </c>
      <c r="S200" s="411">
        <f t="shared" si="22"/>
        <v>0</v>
      </c>
      <c r="T200" s="411">
        <f t="shared" si="23"/>
        <v>0</v>
      </c>
    </row>
    <row r="201" spans="1:20" ht="16.5" thickBot="1">
      <c r="A201" s="72" t="str">
        <f>IF('Sch2a-Imp Price by ECM'!B202="","",'Sch2a-Imp Price by ECM'!B202)</f>
        <v/>
      </c>
      <c r="B201" s="139" t="str">
        <f>IF('Sch2a-Imp Price by ECM'!D202="","",'Sch2a-Imp Price by ECM'!D202)</f>
        <v/>
      </c>
      <c r="C201" s="414" t="s">
        <v>430</v>
      </c>
      <c r="D201" s="410">
        <f>'Sch4-Cost Savings by ECM'!P201</f>
        <v>0</v>
      </c>
      <c r="E201" s="410">
        <f>VLOOKUP(C201,'eGRID subregion name'!$A$2:$N$30,8,0)</f>
        <v>189.83531623683197</v>
      </c>
      <c r="F201" s="410">
        <f t="shared" si="24"/>
        <v>0</v>
      </c>
      <c r="G201" s="411">
        <f>'Sch4-Cost Savings by ECM'!T201</f>
        <v>0</v>
      </c>
      <c r="H201" s="411">
        <f>VLOOKUP("Natural Gas", 'GHG Emissions'!$D$2:$M$66,4,FALSE)+VLOOKUP("Natural Gas", 'GHG Emissions'!$D$2:$M$66,6,FALSE)*'eGRID subregion name'!$P$3+VLOOKUP("Natural Gas", 'GHG Emissions'!$D$2:$M$66,8,FALSE)*'eGRID subregion name'!$P$4</f>
        <v>53.114800000000002</v>
      </c>
      <c r="I201" s="411">
        <f t="shared" ref="I201:I257" si="26">G201*H201</f>
        <v>0</v>
      </c>
      <c r="J201" s="411">
        <f>'Sch4-Cost Savings by ECM'!V201</f>
        <v>0</v>
      </c>
      <c r="K20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1" s="411">
        <f t="shared" ref="L201:L257" si="27">K201*J201</f>
        <v>0</v>
      </c>
      <c r="M201" s="411">
        <f>'Sch4-Cost Savings by ECM'!X201</f>
        <v>0</v>
      </c>
      <c r="N20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1" s="411">
        <f t="shared" ref="O201:O257" si="28">M201*N201</f>
        <v>0</v>
      </c>
      <c r="P201" s="413">
        <f t="shared" si="25"/>
        <v>0</v>
      </c>
      <c r="Q201" s="411">
        <f>'Sch4-Cost Savings by ECM'!AB201</f>
        <v>0</v>
      </c>
      <c r="R201" s="411">
        <f t="shared" ref="R201:R257" si="29">I201+IF(AND($L$5&lt;&gt;"Other Savings Type 1: Chilled Water",$L$5&lt;&gt;"Other Savings Type 1: Purchased Steam"),L201,0)+IF(AND($O$5&lt;&gt;"Other Savings Type 2: Chilled Water",$O$5&lt;&gt;"Other Savings Type 2: Purchased Steam"),O201,0)</f>
        <v>0</v>
      </c>
      <c r="S201" s="411">
        <f t="shared" ref="S201:S257" si="30">F201+IF(OR($L$5="Other Savings Type 1: Chilled Water",$L$5="Other Savings Type 1: Purchased Steam"),L201,0)+IF(OR($O$5="Other Savings Type 2: Chilled Water",$O$5="Other Savings Type 2: Purchased Steam"),O201,0)</f>
        <v>0</v>
      </c>
      <c r="T201" s="411">
        <f t="shared" ref="T201:T257" si="31">R201+S201</f>
        <v>0</v>
      </c>
    </row>
    <row r="202" spans="1:20" ht="18" customHeight="1" thickBot="1">
      <c r="A202" s="72" t="str">
        <f>IF('Sch2a-Imp Price by ECM'!B203="","",'Sch2a-Imp Price by ECM'!B203)</f>
        <v/>
      </c>
      <c r="B202" s="139" t="str">
        <f>IF('Sch2a-Imp Price by ECM'!D203="","",'Sch2a-Imp Price by ECM'!D203)</f>
        <v/>
      </c>
      <c r="C202" s="414" t="s">
        <v>430</v>
      </c>
      <c r="D202" s="410">
        <f>'Sch4-Cost Savings by ECM'!P202</f>
        <v>0</v>
      </c>
      <c r="E202" s="410">
        <f>VLOOKUP(C202,'eGRID subregion name'!$A$2:$N$30,8,0)</f>
        <v>189.83531623683197</v>
      </c>
      <c r="F202" s="410">
        <f t="shared" ref="F202:F257" si="32">D202*3412*E202/1000000</f>
        <v>0</v>
      </c>
      <c r="G202" s="411">
        <f>'Sch4-Cost Savings by ECM'!T202</f>
        <v>0</v>
      </c>
      <c r="H202" s="411">
        <f>VLOOKUP("Natural Gas", 'GHG Emissions'!$D$2:$M$66,4,FALSE)+VLOOKUP("Natural Gas", 'GHG Emissions'!$D$2:$M$66,6,FALSE)*'eGRID subregion name'!$P$3+VLOOKUP("Natural Gas", 'GHG Emissions'!$D$2:$M$66,8,FALSE)*'eGRID subregion name'!$P$4</f>
        <v>53.114800000000002</v>
      </c>
      <c r="I202" s="411">
        <f t="shared" si="26"/>
        <v>0</v>
      </c>
      <c r="J202" s="411">
        <f>'Sch4-Cost Savings by ECM'!V202</f>
        <v>0</v>
      </c>
      <c r="K20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2" s="411">
        <f t="shared" si="27"/>
        <v>0</v>
      </c>
      <c r="M202" s="411">
        <f>'Sch4-Cost Savings by ECM'!X202</f>
        <v>0</v>
      </c>
      <c r="N20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2" s="411">
        <f t="shared" si="28"/>
        <v>0</v>
      </c>
      <c r="P202" s="413">
        <f t="shared" si="25"/>
        <v>0</v>
      </c>
      <c r="Q202" s="411">
        <f>'Sch4-Cost Savings by ECM'!AB202</f>
        <v>0</v>
      </c>
      <c r="R202" s="411">
        <f t="shared" si="29"/>
        <v>0</v>
      </c>
      <c r="S202" s="411">
        <f t="shared" si="30"/>
        <v>0</v>
      </c>
      <c r="T202" s="411">
        <f t="shared" si="31"/>
        <v>0</v>
      </c>
    </row>
    <row r="203" spans="1:20" ht="16.5" thickBot="1">
      <c r="A203" s="72" t="str">
        <f>IF('Sch2a-Imp Price by ECM'!B204="","",'Sch2a-Imp Price by ECM'!B204)</f>
        <v/>
      </c>
      <c r="B203" s="139" t="str">
        <f>IF('Sch2a-Imp Price by ECM'!D204="","",'Sch2a-Imp Price by ECM'!D204)</f>
        <v/>
      </c>
      <c r="C203" s="414" t="s">
        <v>430</v>
      </c>
      <c r="D203" s="410">
        <f>'Sch4-Cost Savings by ECM'!P203</f>
        <v>0</v>
      </c>
      <c r="E203" s="410">
        <f>VLOOKUP(C203,'eGRID subregion name'!$A$2:$N$30,8,0)</f>
        <v>189.83531623683197</v>
      </c>
      <c r="F203" s="410">
        <f t="shared" si="32"/>
        <v>0</v>
      </c>
      <c r="G203" s="411">
        <f>'Sch4-Cost Savings by ECM'!T203</f>
        <v>0</v>
      </c>
      <c r="H203" s="411">
        <f>VLOOKUP("Natural Gas", 'GHG Emissions'!$D$2:$M$66,4,FALSE)+VLOOKUP("Natural Gas", 'GHG Emissions'!$D$2:$M$66,6,FALSE)*'eGRID subregion name'!$P$3+VLOOKUP("Natural Gas", 'GHG Emissions'!$D$2:$M$66,8,FALSE)*'eGRID subregion name'!$P$4</f>
        <v>53.114800000000002</v>
      </c>
      <c r="I203" s="411">
        <f t="shared" si="26"/>
        <v>0</v>
      </c>
      <c r="J203" s="411">
        <f>'Sch4-Cost Savings by ECM'!V203</f>
        <v>0</v>
      </c>
      <c r="K20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3" s="411">
        <f t="shared" si="27"/>
        <v>0</v>
      </c>
      <c r="M203" s="411">
        <f>'Sch4-Cost Savings by ECM'!X203</f>
        <v>0</v>
      </c>
      <c r="N20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3" s="411">
        <f t="shared" si="28"/>
        <v>0</v>
      </c>
      <c r="P203" s="413">
        <f t="shared" si="25"/>
        <v>0</v>
      </c>
      <c r="Q203" s="411">
        <f>'Sch4-Cost Savings by ECM'!AB203</f>
        <v>0</v>
      </c>
      <c r="R203" s="411">
        <f t="shared" si="29"/>
        <v>0</v>
      </c>
      <c r="S203" s="411">
        <f t="shared" si="30"/>
        <v>0</v>
      </c>
      <c r="T203" s="411">
        <f t="shared" si="31"/>
        <v>0</v>
      </c>
    </row>
    <row r="204" spans="1:20" ht="16.5" thickBot="1">
      <c r="A204" s="72" t="str">
        <f>IF('Sch2a-Imp Price by ECM'!B205="","",'Sch2a-Imp Price by ECM'!B205)</f>
        <v/>
      </c>
      <c r="B204" s="139" t="str">
        <f>IF('Sch2a-Imp Price by ECM'!D205="","",'Sch2a-Imp Price by ECM'!D205)</f>
        <v/>
      </c>
      <c r="C204" s="414" t="s">
        <v>430</v>
      </c>
      <c r="D204" s="410">
        <f>'Sch4-Cost Savings by ECM'!P204</f>
        <v>0</v>
      </c>
      <c r="E204" s="410">
        <f>VLOOKUP(C204,'eGRID subregion name'!$A$2:$N$30,8,0)</f>
        <v>189.83531623683197</v>
      </c>
      <c r="F204" s="410">
        <f t="shared" si="32"/>
        <v>0</v>
      </c>
      <c r="G204" s="411">
        <f>'Sch4-Cost Savings by ECM'!T204</f>
        <v>0</v>
      </c>
      <c r="H204" s="411">
        <f>VLOOKUP("Natural Gas", 'GHG Emissions'!$D$2:$M$66,4,FALSE)+VLOOKUP("Natural Gas", 'GHG Emissions'!$D$2:$M$66,6,FALSE)*'eGRID subregion name'!$P$3+VLOOKUP("Natural Gas", 'GHG Emissions'!$D$2:$M$66,8,FALSE)*'eGRID subregion name'!$P$4</f>
        <v>53.114800000000002</v>
      </c>
      <c r="I204" s="411">
        <f t="shared" si="26"/>
        <v>0</v>
      </c>
      <c r="J204" s="411">
        <f>'Sch4-Cost Savings by ECM'!V204</f>
        <v>0</v>
      </c>
      <c r="K20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4" s="411">
        <f t="shared" si="27"/>
        <v>0</v>
      </c>
      <c r="M204" s="411">
        <f>'Sch4-Cost Savings by ECM'!X204</f>
        <v>0</v>
      </c>
      <c r="N20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4" s="411">
        <f t="shared" si="28"/>
        <v>0</v>
      </c>
      <c r="P204" s="413">
        <f t="shared" si="25"/>
        <v>0</v>
      </c>
      <c r="Q204" s="411">
        <f>'Sch4-Cost Savings by ECM'!AB204</f>
        <v>0</v>
      </c>
      <c r="R204" s="411">
        <f t="shared" si="29"/>
        <v>0</v>
      </c>
      <c r="S204" s="411">
        <f t="shared" si="30"/>
        <v>0</v>
      </c>
      <c r="T204" s="411">
        <f t="shared" si="31"/>
        <v>0</v>
      </c>
    </row>
    <row r="205" spans="1:20" ht="16.5" thickBot="1">
      <c r="A205" s="72" t="str">
        <f>IF('Sch2a-Imp Price by ECM'!B206="","",'Sch2a-Imp Price by ECM'!B206)</f>
        <v/>
      </c>
      <c r="B205" s="139" t="str">
        <f>IF('Sch2a-Imp Price by ECM'!D206="","",'Sch2a-Imp Price by ECM'!D206)</f>
        <v/>
      </c>
      <c r="C205" s="414" t="s">
        <v>430</v>
      </c>
      <c r="D205" s="410">
        <f>'Sch4-Cost Savings by ECM'!P205</f>
        <v>0</v>
      </c>
      <c r="E205" s="410">
        <f>VLOOKUP(C205,'eGRID subregion name'!$A$2:$N$30,8,0)</f>
        <v>189.83531623683197</v>
      </c>
      <c r="F205" s="410">
        <f t="shared" si="32"/>
        <v>0</v>
      </c>
      <c r="G205" s="411">
        <f>'Sch4-Cost Savings by ECM'!T205</f>
        <v>0</v>
      </c>
      <c r="H205" s="411">
        <f>VLOOKUP("Natural Gas", 'GHG Emissions'!$D$2:$M$66,4,FALSE)+VLOOKUP("Natural Gas", 'GHG Emissions'!$D$2:$M$66,6,FALSE)*'eGRID subregion name'!$P$3+VLOOKUP("Natural Gas", 'GHG Emissions'!$D$2:$M$66,8,FALSE)*'eGRID subregion name'!$P$4</f>
        <v>53.114800000000002</v>
      </c>
      <c r="I205" s="411">
        <f t="shared" si="26"/>
        <v>0</v>
      </c>
      <c r="J205" s="411">
        <f>'Sch4-Cost Savings by ECM'!V205</f>
        <v>0</v>
      </c>
      <c r="K20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5" s="411">
        <f t="shared" si="27"/>
        <v>0</v>
      </c>
      <c r="M205" s="411">
        <f>'Sch4-Cost Savings by ECM'!X205</f>
        <v>0</v>
      </c>
      <c r="N20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5" s="411">
        <f t="shared" si="28"/>
        <v>0</v>
      </c>
      <c r="P205" s="413">
        <f t="shared" si="25"/>
        <v>0</v>
      </c>
      <c r="Q205" s="411">
        <f>'Sch4-Cost Savings by ECM'!AB205</f>
        <v>0</v>
      </c>
      <c r="R205" s="411">
        <f t="shared" si="29"/>
        <v>0</v>
      </c>
      <c r="S205" s="411">
        <f t="shared" si="30"/>
        <v>0</v>
      </c>
      <c r="T205" s="411">
        <f t="shared" si="31"/>
        <v>0</v>
      </c>
    </row>
    <row r="206" spans="1:20" ht="16.5" thickBot="1">
      <c r="A206" s="72" t="str">
        <f>IF('Sch2a-Imp Price by ECM'!B207="","",'Sch2a-Imp Price by ECM'!B207)</f>
        <v/>
      </c>
      <c r="B206" s="139" t="str">
        <f>IF('Sch2a-Imp Price by ECM'!D207="","",'Sch2a-Imp Price by ECM'!D207)</f>
        <v/>
      </c>
      <c r="C206" s="414" t="s">
        <v>430</v>
      </c>
      <c r="D206" s="410">
        <f>'Sch4-Cost Savings by ECM'!P206</f>
        <v>0</v>
      </c>
      <c r="E206" s="410">
        <f>VLOOKUP(C206,'eGRID subregion name'!$A$2:$N$30,8,0)</f>
        <v>189.83531623683197</v>
      </c>
      <c r="F206" s="410">
        <f t="shared" si="32"/>
        <v>0</v>
      </c>
      <c r="G206" s="411">
        <f>'Sch4-Cost Savings by ECM'!T206</f>
        <v>0</v>
      </c>
      <c r="H206" s="411">
        <f>VLOOKUP("Natural Gas", 'GHG Emissions'!$D$2:$M$66,4,FALSE)+VLOOKUP("Natural Gas", 'GHG Emissions'!$D$2:$M$66,6,FALSE)*'eGRID subregion name'!$P$3+VLOOKUP("Natural Gas", 'GHG Emissions'!$D$2:$M$66,8,FALSE)*'eGRID subregion name'!$P$4</f>
        <v>53.114800000000002</v>
      </c>
      <c r="I206" s="411">
        <f t="shared" si="26"/>
        <v>0</v>
      </c>
      <c r="J206" s="411">
        <f>'Sch4-Cost Savings by ECM'!V206</f>
        <v>0</v>
      </c>
      <c r="K20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6" s="411">
        <f t="shared" si="27"/>
        <v>0</v>
      </c>
      <c r="M206" s="411">
        <f>'Sch4-Cost Savings by ECM'!X206</f>
        <v>0</v>
      </c>
      <c r="N20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6" s="411">
        <f t="shared" si="28"/>
        <v>0</v>
      </c>
      <c r="P206" s="413">
        <f t="shared" si="25"/>
        <v>0</v>
      </c>
      <c r="Q206" s="411">
        <f>'Sch4-Cost Savings by ECM'!AB206</f>
        <v>0</v>
      </c>
      <c r="R206" s="411">
        <f t="shared" si="29"/>
        <v>0</v>
      </c>
      <c r="S206" s="411">
        <f t="shared" si="30"/>
        <v>0</v>
      </c>
      <c r="T206" s="411">
        <f t="shared" si="31"/>
        <v>0</v>
      </c>
    </row>
    <row r="207" spans="1:20" ht="16.5" thickBot="1">
      <c r="A207" s="72" t="str">
        <f>IF('Sch2a-Imp Price by ECM'!B208="","",'Sch2a-Imp Price by ECM'!B208)</f>
        <v/>
      </c>
      <c r="B207" s="139" t="str">
        <f>IF('Sch2a-Imp Price by ECM'!D208="","",'Sch2a-Imp Price by ECM'!D208)</f>
        <v/>
      </c>
      <c r="C207" s="414" t="s">
        <v>430</v>
      </c>
      <c r="D207" s="410">
        <f>'Sch4-Cost Savings by ECM'!P207</f>
        <v>0</v>
      </c>
      <c r="E207" s="410">
        <f>VLOOKUP(C207,'eGRID subregion name'!$A$2:$N$30,8,0)</f>
        <v>189.83531623683197</v>
      </c>
      <c r="F207" s="410">
        <f t="shared" si="32"/>
        <v>0</v>
      </c>
      <c r="G207" s="411">
        <f>'Sch4-Cost Savings by ECM'!T207</f>
        <v>0</v>
      </c>
      <c r="H207" s="411">
        <f>VLOOKUP("Natural Gas", 'GHG Emissions'!$D$2:$M$66,4,FALSE)+VLOOKUP("Natural Gas", 'GHG Emissions'!$D$2:$M$66,6,FALSE)*'eGRID subregion name'!$P$3+VLOOKUP("Natural Gas", 'GHG Emissions'!$D$2:$M$66,8,FALSE)*'eGRID subregion name'!$P$4</f>
        <v>53.114800000000002</v>
      </c>
      <c r="I207" s="411">
        <f t="shared" si="26"/>
        <v>0</v>
      </c>
      <c r="J207" s="411">
        <f>'Sch4-Cost Savings by ECM'!V207</f>
        <v>0</v>
      </c>
      <c r="K20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7" s="411">
        <f t="shared" si="27"/>
        <v>0</v>
      </c>
      <c r="M207" s="411">
        <f>'Sch4-Cost Savings by ECM'!X207</f>
        <v>0</v>
      </c>
      <c r="N20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7" s="411">
        <f t="shared" si="28"/>
        <v>0</v>
      </c>
      <c r="P207" s="413">
        <f t="shared" si="25"/>
        <v>0</v>
      </c>
      <c r="Q207" s="411">
        <f>'Sch4-Cost Savings by ECM'!AB207</f>
        <v>0</v>
      </c>
      <c r="R207" s="411">
        <f t="shared" si="29"/>
        <v>0</v>
      </c>
      <c r="S207" s="411">
        <f t="shared" si="30"/>
        <v>0</v>
      </c>
      <c r="T207" s="411">
        <f t="shared" si="31"/>
        <v>0</v>
      </c>
    </row>
    <row r="208" spans="1:20" ht="16.5" thickBot="1">
      <c r="A208" s="72" t="str">
        <f>IF('Sch2a-Imp Price by ECM'!B209="","",'Sch2a-Imp Price by ECM'!B209)</f>
        <v/>
      </c>
      <c r="B208" s="139" t="str">
        <f>IF('Sch2a-Imp Price by ECM'!D209="","",'Sch2a-Imp Price by ECM'!D209)</f>
        <v/>
      </c>
      <c r="C208" s="414" t="s">
        <v>430</v>
      </c>
      <c r="D208" s="410">
        <f>'Sch4-Cost Savings by ECM'!P208</f>
        <v>0</v>
      </c>
      <c r="E208" s="410">
        <f>VLOOKUP(C208,'eGRID subregion name'!$A$2:$N$30,8,0)</f>
        <v>189.83531623683197</v>
      </c>
      <c r="F208" s="410">
        <f t="shared" si="32"/>
        <v>0</v>
      </c>
      <c r="G208" s="411">
        <f>'Sch4-Cost Savings by ECM'!T208</f>
        <v>0</v>
      </c>
      <c r="H208" s="411">
        <f>VLOOKUP("Natural Gas", 'GHG Emissions'!$D$2:$M$66,4,FALSE)+VLOOKUP("Natural Gas", 'GHG Emissions'!$D$2:$M$66,6,FALSE)*'eGRID subregion name'!$P$3+VLOOKUP("Natural Gas", 'GHG Emissions'!$D$2:$M$66,8,FALSE)*'eGRID subregion name'!$P$4</f>
        <v>53.114800000000002</v>
      </c>
      <c r="I208" s="411">
        <f t="shared" si="26"/>
        <v>0</v>
      </c>
      <c r="J208" s="411">
        <f>'Sch4-Cost Savings by ECM'!V208</f>
        <v>0</v>
      </c>
      <c r="K20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8" s="411">
        <f t="shared" si="27"/>
        <v>0</v>
      </c>
      <c r="M208" s="411">
        <f>'Sch4-Cost Savings by ECM'!X208</f>
        <v>0</v>
      </c>
      <c r="N20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8" s="411">
        <f t="shared" si="28"/>
        <v>0</v>
      </c>
      <c r="P208" s="413">
        <f t="shared" si="25"/>
        <v>0</v>
      </c>
      <c r="Q208" s="411">
        <f>'Sch4-Cost Savings by ECM'!AB208</f>
        <v>0</v>
      </c>
      <c r="R208" s="411">
        <f t="shared" si="29"/>
        <v>0</v>
      </c>
      <c r="S208" s="411">
        <f t="shared" si="30"/>
        <v>0</v>
      </c>
      <c r="T208" s="411">
        <f t="shared" si="31"/>
        <v>0</v>
      </c>
    </row>
    <row r="209" spans="1:20" ht="16.5" thickBot="1">
      <c r="A209" s="72" t="str">
        <f>IF('Sch2a-Imp Price by ECM'!B210="","",'Sch2a-Imp Price by ECM'!B210)</f>
        <v/>
      </c>
      <c r="B209" s="139" t="str">
        <f>IF('Sch2a-Imp Price by ECM'!D210="","",'Sch2a-Imp Price by ECM'!D210)</f>
        <v/>
      </c>
      <c r="C209" s="414" t="s">
        <v>430</v>
      </c>
      <c r="D209" s="410">
        <f>'Sch4-Cost Savings by ECM'!P209</f>
        <v>0</v>
      </c>
      <c r="E209" s="410">
        <f>VLOOKUP(C209,'eGRID subregion name'!$A$2:$N$30,8,0)</f>
        <v>189.83531623683197</v>
      </c>
      <c r="F209" s="410">
        <f t="shared" si="32"/>
        <v>0</v>
      </c>
      <c r="G209" s="411">
        <f>'Sch4-Cost Savings by ECM'!T209</f>
        <v>0</v>
      </c>
      <c r="H209" s="411">
        <f>VLOOKUP("Natural Gas", 'GHG Emissions'!$D$2:$M$66,4,FALSE)+VLOOKUP("Natural Gas", 'GHG Emissions'!$D$2:$M$66,6,FALSE)*'eGRID subregion name'!$P$3+VLOOKUP("Natural Gas", 'GHG Emissions'!$D$2:$M$66,8,FALSE)*'eGRID subregion name'!$P$4</f>
        <v>53.114800000000002</v>
      </c>
      <c r="I209" s="411">
        <f t="shared" si="26"/>
        <v>0</v>
      </c>
      <c r="J209" s="411">
        <f>'Sch4-Cost Savings by ECM'!V209</f>
        <v>0</v>
      </c>
      <c r="K20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9" s="411">
        <f t="shared" si="27"/>
        <v>0</v>
      </c>
      <c r="M209" s="411">
        <f>'Sch4-Cost Savings by ECM'!X209</f>
        <v>0</v>
      </c>
      <c r="N20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9" s="411">
        <f t="shared" si="28"/>
        <v>0</v>
      </c>
      <c r="P209" s="413">
        <f t="shared" si="25"/>
        <v>0</v>
      </c>
      <c r="Q209" s="411">
        <f>'Sch4-Cost Savings by ECM'!AB209</f>
        <v>0</v>
      </c>
      <c r="R209" s="411">
        <f t="shared" si="29"/>
        <v>0</v>
      </c>
      <c r="S209" s="411">
        <f t="shared" si="30"/>
        <v>0</v>
      </c>
      <c r="T209" s="411">
        <f t="shared" si="31"/>
        <v>0</v>
      </c>
    </row>
    <row r="210" spans="1:20" ht="16.5" thickBot="1">
      <c r="A210" s="72" t="str">
        <f>IF('Sch2a-Imp Price by ECM'!B211="","",'Sch2a-Imp Price by ECM'!B211)</f>
        <v/>
      </c>
      <c r="B210" s="139" t="str">
        <f>IF('Sch2a-Imp Price by ECM'!D211="","",'Sch2a-Imp Price by ECM'!D211)</f>
        <v/>
      </c>
      <c r="C210" s="414" t="s">
        <v>430</v>
      </c>
      <c r="D210" s="410">
        <f>'Sch4-Cost Savings by ECM'!P210</f>
        <v>0</v>
      </c>
      <c r="E210" s="410">
        <f>VLOOKUP(C210,'eGRID subregion name'!$A$2:$N$30,8,0)</f>
        <v>189.83531623683197</v>
      </c>
      <c r="F210" s="410">
        <f t="shared" si="32"/>
        <v>0</v>
      </c>
      <c r="G210" s="411">
        <f>'Sch4-Cost Savings by ECM'!T210</f>
        <v>0</v>
      </c>
      <c r="H210" s="411">
        <f>VLOOKUP("Natural Gas", 'GHG Emissions'!$D$2:$M$66,4,FALSE)+VLOOKUP("Natural Gas", 'GHG Emissions'!$D$2:$M$66,6,FALSE)*'eGRID subregion name'!$P$3+VLOOKUP("Natural Gas", 'GHG Emissions'!$D$2:$M$66,8,FALSE)*'eGRID subregion name'!$P$4</f>
        <v>53.114800000000002</v>
      </c>
      <c r="I210" s="411">
        <f t="shared" si="26"/>
        <v>0</v>
      </c>
      <c r="J210" s="411">
        <f>'Sch4-Cost Savings by ECM'!V210</f>
        <v>0</v>
      </c>
      <c r="K21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0" s="411">
        <f t="shared" si="27"/>
        <v>0</v>
      </c>
      <c r="M210" s="411">
        <f>'Sch4-Cost Savings by ECM'!X210</f>
        <v>0</v>
      </c>
      <c r="N21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0" s="411">
        <f t="shared" si="28"/>
        <v>0</v>
      </c>
      <c r="P210" s="413">
        <f t="shared" si="25"/>
        <v>0</v>
      </c>
      <c r="Q210" s="411">
        <f>'Sch4-Cost Savings by ECM'!AB210</f>
        <v>0</v>
      </c>
      <c r="R210" s="411">
        <f t="shared" si="29"/>
        <v>0</v>
      </c>
      <c r="S210" s="411">
        <f t="shared" si="30"/>
        <v>0</v>
      </c>
      <c r="T210" s="411">
        <f t="shared" si="31"/>
        <v>0</v>
      </c>
    </row>
    <row r="211" spans="1:20" ht="16.5" thickBot="1">
      <c r="A211" s="72" t="str">
        <f>IF('Sch2a-Imp Price by ECM'!B212="","",'Sch2a-Imp Price by ECM'!B212)</f>
        <v/>
      </c>
      <c r="B211" s="139" t="str">
        <f>IF('Sch2a-Imp Price by ECM'!D212="","",'Sch2a-Imp Price by ECM'!D212)</f>
        <v/>
      </c>
      <c r="C211" s="414" t="s">
        <v>430</v>
      </c>
      <c r="D211" s="410">
        <f>'Sch4-Cost Savings by ECM'!P211</f>
        <v>0</v>
      </c>
      <c r="E211" s="410">
        <f>VLOOKUP(C211,'eGRID subregion name'!$A$2:$N$30,8,0)</f>
        <v>189.83531623683197</v>
      </c>
      <c r="F211" s="410">
        <f t="shared" si="32"/>
        <v>0</v>
      </c>
      <c r="G211" s="411">
        <f>'Sch4-Cost Savings by ECM'!T211</f>
        <v>0</v>
      </c>
      <c r="H211" s="411">
        <f>VLOOKUP("Natural Gas", 'GHG Emissions'!$D$2:$M$66,4,FALSE)+VLOOKUP("Natural Gas", 'GHG Emissions'!$D$2:$M$66,6,FALSE)*'eGRID subregion name'!$P$3+VLOOKUP("Natural Gas", 'GHG Emissions'!$D$2:$M$66,8,FALSE)*'eGRID subregion name'!$P$4</f>
        <v>53.114800000000002</v>
      </c>
      <c r="I211" s="411">
        <f t="shared" si="26"/>
        <v>0</v>
      </c>
      <c r="J211" s="411">
        <f>'Sch4-Cost Savings by ECM'!V211</f>
        <v>0</v>
      </c>
      <c r="K21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1" s="411">
        <f t="shared" si="27"/>
        <v>0</v>
      </c>
      <c r="M211" s="411">
        <f>'Sch4-Cost Savings by ECM'!X211</f>
        <v>0</v>
      </c>
      <c r="N21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1" s="411">
        <f t="shared" si="28"/>
        <v>0</v>
      </c>
      <c r="P211" s="413">
        <f t="shared" si="25"/>
        <v>0</v>
      </c>
      <c r="Q211" s="411">
        <f>'Sch4-Cost Savings by ECM'!AB211</f>
        <v>0</v>
      </c>
      <c r="R211" s="411">
        <f t="shared" si="29"/>
        <v>0</v>
      </c>
      <c r="S211" s="411">
        <f t="shared" si="30"/>
        <v>0</v>
      </c>
      <c r="T211" s="411">
        <f t="shared" si="31"/>
        <v>0</v>
      </c>
    </row>
    <row r="212" spans="1:20" ht="16.5" thickBot="1">
      <c r="A212" s="72" t="str">
        <f>IF('Sch2a-Imp Price by ECM'!B213="","",'Sch2a-Imp Price by ECM'!B213)</f>
        <v/>
      </c>
      <c r="B212" s="139" t="str">
        <f>IF('Sch2a-Imp Price by ECM'!D213="","",'Sch2a-Imp Price by ECM'!D213)</f>
        <v/>
      </c>
      <c r="C212" s="414" t="s">
        <v>430</v>
      </c>
      <c r="D212" s="410">
        <f>'Sch4-Cost Savings by ECM'!P212</f>
        <v>0</v>
      </c>
      <c r="E212" s="410">
        <f>VLOOKUP(C212,'eGRID subregion name'!$A$2:$N$30,8,0)</f>
        <v>189.83531623683197</v>
      </c>
      <c r="F212" s="410">
        <f t="shared" si="32"/>
        <v>0</v>
      </c>
      <c r="G212" s="411">
        <f>'Sch4-Cost Savings by ECM'!T212</f>
        <v>0</v>
      </c>
      <c r="H212" s="411">
        <f>VLOOKUP("Natural Gas", 'GHG Emissions'!$D$2:$M$66,4,FALSE)+VLOOKUP("Natural Gas", 'GHG Emissions'!$D$2:$M$66,6,FALSE)*'eGRID subregion name'!$P$3+VLOOKUP("Natural Gas", 'GHG Emissions'!$D$2:$M$66,8,FALSE)*'eGRID subregion name'!$P$4</f>
        <v>53.114800000000002</v>
      </c>
      <c r="I212" s="411">
        <f t="shared" si="26"/>
        <v>0</v>
      </c>
      <c r="J212" s="411">
        <f>'Sch4-Cost Savings by ECM'!V212</f>
        <v>0</v>
      </c>
      <c r="K21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2" s="411">
        <f t="shared" si="27"/>
        <v>0</v>
      </c>
      <c r="M212" s="411">
        <f>'Sch4-Cost Savings by ECM'!X212</f>
        <v>0</v>
      </c>
      <c r="N21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2" s="411">
        <f t="shared" si="28"/>
        <v>0</v>
      </c>
      <c r="P212" s="413">
        <f t="shared" si="25"/>
        <v>0</v>
      </c>
      <c r="Q212" s="411">
        <f>'Sch4-Cost Savings by ECM'!AB212</f>
        <v>0</v>
      </c>
      <c r="R212" s="411">
        <f t="shared" si="29"/>
        <v>0</v>
      </c>
      <c r="S212" s="411">
        <f t="shared" si="30"/>
        <v>0</v>
      </c>
      <c r="T212" s="411">
        <f t="shared" si="31"/>
        <v>0</v>
      </c>
    </row>
    <row r="213" spans="1:20" ht="16.5" thickBot="1">
      <c r="A213" s="72" t="str">
        <f>IF('Sch2a-Imp Price by ECM'!B214="","",'Sch2a-Imp Price by ECM'!B214)</f>
        <v/>
      </c>
      <c r="B213" s="139" t="str">
        <f>IF('Sch2a-Imp Price by ECM'!D214="","",'Sch2a-Imp Price by ECM'!D214)</f>
        <v/>
      </c>
      <c r="C213" s="414" t="s">
        <v>430</v>
      </c>
      <c r="D213" s="410">
        <f>'Sch4-Cost Savings by ECM'!P213</f>
        <v>0</v>
      </c>
      <c r="E213" s="410">
        <f>VLOOKUP(C213,'eGRID subregion name'!$A$2:$N$30,8,0)</f>
        <v>189.83531623683197</v>
      </c>
      <c r="F213" s="410">
        <f t="shared" si="32"/>
        <v>0</v>
      </c>
      <c r="G213" s="411">
        <f>'Sch4-Cost Savings by ECM'!T213</f>
        <v>0</v>
      </c>
      <c r="H213" s="411">
        <f>VLOOKUP("Natural Gas", 'GHG Emissions'!$D$2:$M$66,4,FALSE)+VLOOKUP("Natural Gas", 'GHG Emissions'!$D$2:$M$66,6,FALSE)*'eGRID subregion name'!$P$3+VLOOKUP("Natural Gas", 'GHG Emissions'!$D$2:$M$66,8,FALSE)*'eGRID subregion name'!$P$4</f>
        <v>53.114800000000002</v>
      </c>
      <c r="I213" s="411">
        <f t="shared" si="26"/>
        <v>0</v>
      </c>
      <c r="J213" s="411">
        <f>'Sch4-Cost Savings by ECM'!V213</f>
        <v>0</v>
      </c>
      <c r="K21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3" s="411">
        <f t="shared" si="27"/>
        <v>0</v>
      </c>
      <c r="M213" s="411">
        <f>'Sch4-Cost Savings by ECM'!X213</f>
        <v>0</v>
      </c>
      <c r="N21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3" s="411">
        <f t="shared" si="28"/>
        <v>0</v>
      </c>
      <c r="P213" s="413">
        <f t="shared" si="25"/>
        <v>0</v>
      </c>
      <c r="Q213" s="411">
        <f>'Sch4-Cost Savings by ECM'!AB213</f>
        <v>0</v>
      </c>
      <c r="R213" s="411">
        <f t="shared" si="29"/>
        <v>0</v>
      </c>
      <c r="S213" s="411">
        <f t="shared" si="30"/>
        <v>0</v>
      </c>
      <c r="T213" s="411">
        <f t="shared" si="31"/>
        <v>0</v>
      </c>
    </row>
    <row r="214" spans="1:20" ht="16.5" thickBot="1">
      <c r="A214" s="72" t="str">
        <f>IF('Sch2a-Imp Price by ECM'!B215="","",'Sch2a-Imp Price by ECM'!B215)</f>
        <v/>
      </c>
      <c r="B214" s="139" t="str">
        <f>IF('Sch2a-Imp Price by ECM'!D215="","",'Sch2a-Imp Price by ECM'!D215)</f>
        <v/>
      </c>
      <c r="C214" s="414" t="s">
        <v>430</v>
      </c>
      <c r="D214" s="410">
        <f>'Sch4-Cost Savings by ECM'!P214</f>
        <v>0</v>
      </c>
      <c r="E214" s="410">
        <f>VLOOKUP(C214,'eGRID subregion name'!$A$2:$N$30,8,0)</f>
        <v>189.83531623683197</v>
      </c>
      <c r="F214" s="410">
        <f t="shared" si="32"/>
        <v>0</v>
      </c>
      <c r="G214" s="411">
        <f>'Sch4-Cost Savings by ECM'!T214</f>
        <v>0</v>
      </c>
      <c r="H214" s="411">
        <f>VLOOKUP("Natural Gas", 'GHG Emissions'!$D$2:$M$66,4,FALSE)+VLOOKUP("Natural Gas", 'GHG Emissions'!$D$2:$M$66,6,FALSE)*'eGRID subregion name'!$P$3+VLOOKUP("Natural Gas", 'GHG Emissions'!$D$2:$M$66,8,FALSE)*'eGRID subregion name'!$P$4</f>
        <v>53.114800000000002</v>
      </c>
      <c r="I214" s="411">
        <f t="shared" si="26"/>
        <v>0</v>
      </c>
      <c r="J214" s="411">
        <f>'Sch4-Cost Savings by ECM'!V214</f>
        <v>0</v>
      </c>
      <c r="K21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4" s="411">
        <f t="shared" si="27"/>
        <v>0</v>
      </c>
      <c r="M214" s="411">
        <f>'Sch4-Cost Savings by ECM'!X214</f>
        <v>0</v>
      </c>
      <c r="N21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4" s="411">
        <f t="shared" si="28"/>
        <v>0</v>
      </c>
      <c r="P214" s="413">
        <f t="shared" si="25"/>
        <v>0</v>
      </c>
      <c r="Q214" s="411">
        <f>'Sch4-Cost Savings by ECM'!AB214</f>
        <v>0</v>
      </c>
      <c r="R214" s="411">
        <f t="shared" si="29"/>
        <v>0</v>
      </c>
      <c r="S214" s="411">
        <f t="shared" si="30"/>
        <v>0</v>
      </c>
      <c r="T214" s="411">
        <f t="shared" si="31"/>
        <v>0</v>
      </c>
    </row>
    <row r="215" spans="1:20" ht="16.5" thickBot="1">
      <c r="A215" s="72" t="str">
        <f>IF('Sch2a-Imp Price by ECM'!B216="","",'Sch2a-Imp Price by ECM'!B216)</f>
        <v/>
      </c>
      <c r="B215" s="139" t="str">
        <f>IF('Sch2a-Imp Price by ECM'!D216="","",'Sch2a-Imp Price by ECM'!D216)</f>
        <v/>
      </c>
      <c r="C215" s="414" t="s">
        <v>430</v>
      </c>
      <c r="D215" s="410">
        <f>'Sch4-Cost Savings by ECM'!P215</f>
        <v>0</v>
      </c>
      <c r="E215" s="410">
        <f>VLOOKUP(C215,'eGRID subregion name'!$A$2:$N$30,8,0)</f>
        <v>189.83531623683197</v>
      </c>
      <c r="F215" s="410">
        <f t="shared" si="32"/>
        <v>0</v>
      </c>
      <c r="G215" s="411">
        <f>'Sch4-Cost Savings by ECM'!T215</f>
        <v>0</v>
      </c>
      <c r="H215" s="411">
        <f>VLOOKUP("Natural Gas", 'GHG Emissions'!$D$2:$M$66,4,FALSE)+VLOOKUP("Natural Gas", 'GHG Emissions'!$D$2:$M$66,6,FALSE)*'eGRID subregion name'!$P$3+VLOOKUP("Natural Gas", 'GHG Emissions'!$D$2:$M$66,8,FALSE)*'eGRID subregion name'!$P$4</f>
        <v>53.114800000000002</v>
      </c>
      <c r="I215" s="411">
        <f t="shared" si="26"/>
        <v>0</v>
      </c>
      <c r="J215" s="411">
        <f>'Sch4-Cost Savings by ECM'!V215</f>
        <v>0</v>
      </c>
      <c r="K21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5" s="411">
        <f t="shared" si="27"/>
        <v>0</v>
      </c>
      <c r="M215" s="411">
        <f>'Sch4-Cost Savings by ECM'!X215</f>
        <v>0</v>
      </c>
      <c r="N21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5" s="411">
        <f t="shared" si="28"/>
        <v>0</v>
      </c>
      <c r="P215" s="413">
        <f t="shared" si="25"/>
        <v>0</v>
      </c>
      <c r="Q215" s="411">
        <f>'Sch4-Cost Savings by ECM'!AB215</f>
        <v>0</v>
      </c>
      <c r="R215" s="411">
        <f t="shared" si="29"/>
        <v>0</v>
      </c>
      <c r="S215" s="411">
        <f t="shared" si="30"/>
        <v>0</v>
      </c>
      <c r="T215" s="411">
        <f t="shared" si="31"/>
        <v>0</v>
      </c>
    </row>
    <row r="216" spans="1:20" ht="16.5" thickBot="1">
      <c r="A216" s="72" t="str">
        <f>IF('Sch2a-Imp Price by ECM'!B217="","",'Sch2a-Imp Price by ECM'!B217)</f>
        <v/>
      </c>
      <c r="B216" s="139" t="str">
        <f>IF('Sch2a-Imp Price by ECM'!D217="","",'Sch2a-Imp Price by ECM'!D217)</f>
        <v/>
      </c>
      <c r="C216" s="414" t="s">
        <v>430</v>
      </c>
      <c r="D216" s="410">
        <f>'Sch4-Cost Savings by ECM'!P216</f>
        <v>0</v>
      </c>
      <c r="E216" s="410">
        <f>VLOOKUP(C216,'eGRID subregion name'!$A$2:$N$30,8,0)</f>
        <v>189.83531623683197</v>
      </c>
      <c r="F216" s="410">
        <f t="shared" si="32"/>
        <v>0</v>
      </c>
      <c r="G216" s="411">
        <f>'Sch4-Cost Savings by ECM'!T216</f>
        <v>0</v>
      </c>
      <c r="H216" s="411">
        <f>VLOOKUP("Natural Gas", 'GHG Emissions'!$D$2:$M$66,4,FALSE)+VLOOKUP("Natural Gas", 'GHG Emissions'!$D$2:$M$66,6,FALSE)*'eGRID subregion name'!$P$3+VLOOKUP("Natural Gas", 'GHG Emissions'!$D$2:$M$66,8,FALSE)*'eGRID subregion name'!$P$4</f>
        <v>53.114800000000002</v>
      </c>
      <c r="I216" s="411">
        <f t="shared" si="26"/>
        <v>0</v>
      </c>
      <c r="J216" s="411">
        <f>'Sch4-Cost Savings by ECM'!V216</f>
        <v>0</v>
      </c>
      <c r="K21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6" s="411">
        <f t="shared" si="27"/>
        <v>0</v>
      </c>
      <c r="M216" s="411">
        <f>'Sch4-Cost Savings by ECM'!X216</f>
        <v>0</v>
      </c>
      <c r="N21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6" s="411">
        <f t="shared" si="28"/>
        <v>0</v>
      </c>
      <c r="P216" s="413">
        <f t="shared" si="25"/>
        <v>0</v>
      </c>
      <c r="Q216" s="411">
        <f>'Sch4-Cost Savings by ECM'!AB216</f>
        <v>0</v>
      </c>
      <c r="R216" s="411">
        <f t="shared" si="29"/>
        <v>0</v>
      </c>
      <c r="S216" s="411">
        <f t="shared" si="30"/>
        <v>0</v>
      </c>
      <c r="T216" s="411">
        <f t="shared" si="31"/>
        <v>0</v>
      </c>
    </row>
    <row r="217" spans="1:20" ht="16.5" thickBot="1">
      <c r="A217" s="72" t="str">
        <f>IF('Sch2a-Imp Price by ECM'!B218="","",'Sch2a-Imp Price by ECM'!B218)</f>
        <v/>
      </c>
      <c r="B217" s="139" t="str">
        <f>IF('Sch2a-Imp Price by ECM'!D218="","",'Sch2a-Imp Price by ECM'!D218)</f>
        <v/>
      </c>
      <c r="C217" s="414" t="s">
        <v>430</v>
      </c>
      <c r="D217" s="410">
        <f>'Sch4-Cost Savings by ECM'!P217</f>
        <v>0</v>
      </c>
      <c r="E217" s="410">
        <f>VLOOKUP(C217,'eGRID subregion name'!$A$2:$N$30,8,0)</f>
        <v>189.83531623683197</v>
      </c>
      <c r="F217" s="410">
        <f t="shared" si="32"/>
        <v>0</v>
      </c>
      <c r="G217" s="411">
        <f>'Sch4-Cost Savings by ECM'!T217</f>
        <v>0</v>
      </c>
      <c r="H217" s="411">
        <f>VLOOKUP("Natural Gas", 'GHG Emissions'!$D$2:$M$66,4,FALSE)+VLOOKUP("Natural Gas", 'GHG Emissions'!$D$2:$M$66,6,FALSE)*'eGRID subregion name'!$P$3+VLOOKUP("Natural Gas", 'GHG Emissions'!$D$2:$M$66,8,FALSE)*'eGRID subregion name'!$P$4</f>
        <v>53.114800000000002</v>
      </c>
      <c r="I217" s="411">
        <f t="shared" si="26"/>
        <v>0</v>
      </c>
      <c r="J217" s="411">
        <f>'Sch4-Cost Savings by ECM'!V217</f>
        <v>0</v>
      </c>
      <c r="K21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7" s="411">
        <f t="shared" si="27"/>
        <v>0</v>
      </c>
      <c r="M217" s="411">
        <f>'Sch4-Cost Savings by ECM'!X217</f>
        <v>0</v>
      </c>
      <c r="N21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7" s="411">
        <f t="shared" si="28"/>
        <v>0</v>
      </c>
      <c r="P217" s="413">
        <f t="shared" si="25"/>
        <v>0</v>
      </c>
      <c r="Q217" s="411">
        <f>'Sch4-Cost Savings by ECM'!AB217</f>
        <v>0</v>
      </c>
      <c r="R217" s="411">
        <f t="shared" si="29"/>
        <v>0</v>
      </c>
      <c r="S217" s="411">
        <f t="shared" si="30"/>
        <v>0</v>
      </c>
      <c r="T217" s="411">
        <f t="shared" si="31"/>
        <v>0</v>
      </c>
    </row>
    <row r="218" spans="1:20" ht="16.5" thickBot="1">
      <c r="A218" s="72" t="str">
        <f>IF('Sch2a-Imp Price by ECM'!B219="","",'Sch2a-Imp Price by ECM'!B219)</f>
        <v/>
      </c>
      <c r="B218" s="139" t="str">
        <f>IF('Sch2a-Imp Price by ECM'!D219="","",'Sch2a-Imp Price by ECM'!D219)</f>
        <v/>
      </c>
      <c r="C218" s="414" t="s">
        <v>430</v>
      </c>
      <c r="D218" s="410">
        <f>'Sch4-Cost Savings by ECM'!P218</f>
        <v>0</v>
      </c>
      <c r="E218" s="410">
        <f>VLOOKUP(C218,'eGRID subregion name'!$A$2:$N$30,8,0)</f>
        <v>189.83531623683197</v>
      </c>
      <c r="F218" s="410">
        <f t="shared" si="32"/>
        <v>0</v>
      </c>
      <c r="G218" s="411">
        <f>'Sch4-Cost Savings by ECM'!T218</f>
        <v>0</v>
      </c>
      <c r="H218" s="411">
        <f>VLOOKUP("Natural Gas", 'GHG Emissions'!$D$2:$M$66,4,FALSE)+VLOOKUP("Natural Gas", 'GHG Emissions'!$D$2:$M$66,6,FALSE)*'eGRID subregion name'!$P$3+VLOOKUP("Natural Gas", 'GHG Emissions'!$D$2:$M$66,8,FALSE)*'eGRID subregion name'!$P$4</f>
        <v>53.114800000000002</v>
      </c>
      <c r="I218" s="411">
        <f t="shared" si="26"/>
        <v>0</v>
      </c>
      <c r="J218" s="411">
        <f>'Sch4-Cost Savings by ECM'!V218</f>
        <v>0</v>
      </c>
      <c r="K21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8" s="411">
        <f t="shared" si="27"/>
        <v>0</v>
      </c>
      <c r="M218" s="411">
        <f>'Sch4-Cost Savings by ECM'!X218</f>
        <v>0</v>
      </c>
      <c r="N21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8" s="411">
        <f t="shared" si="28"/>
        <v>0</v>
      </c>
      <c r="P218" s="413">
        <f t="shared" si="25"/>
        <v>0</v>
      </c>
      <c r="Q218" s="411">
        <f>'Sch4-Cost Savings by ECM'!AB218</f>
        <v>0</v>
      </c>
      <c r="R218" s="411">
        <f t="shared" si="29"/>
        <v>0</v>
      </c>
      <c r="S218" s="411">
        <f t="shared" si="30"/>
        <v>0</v>
      </c>
      <c r="T218" s="411">
        <f t="shared" si="31"/>
        <v>0</v>
      </c>
    </row>
    <row r="219" spans="1:20" ht="16.5" thickBot="1">
      <c r="A219" s="72" t="str">
        <f>IF('Sch2a-Imp Price by ECM'!B220="","",'Sch2a-Imp Price by ECM'!B220)</f>
        <v/>
      </c>
      <c r="B219" s="139" t="str">
        <f>IF('Sch2a-Imp Price by ECM'!D220="","",'Sch2a-Imp Price by ECM'!D220)</f>
        <v/>
      </c>
      <c r="C219" s="414" t="s">
        <v>430</v>
      </c>
      <c r="D219" s="410">
        <f>'Sch4-Cost Savings by ECM'!P219</f>
        <v>0</v>
      </c>
      <c r="E219" s="410">
        <f>VLOOKUP(C219,'eGRID subregion name'!$A$2:$N$30,8,0)</f>
        <v>189.83531623683197</v>
      </c>
      <c r="F219" s="410">
        <f t="shared" si="32"/>
        <v>0</v>
      </c>
      <c r="G219" s="411">
        <f>'Sch4-Cost Savings by ECM'!T219</f>
        <v>0</v>
      </c>
      <c r="H219" s="411">
        <f>VLOOKUP("Natural Gas", 'GHG Emissions'!$D$2:$M$66,4,FALSE)+VLOOKUP("Natural Gas", 'GHG Emissions'!$D$2:$M$66,6,FALSE)*'eGRID subregion name'!$P$3+VLOOKUP("Natural Gas", 'GHG Emissions'!$D$2:$M$66,8,FALSE)*'eGRID subregion name'!$P$4</f>
        <v>53.114800000000002</v>
      </c>
      <c r="I219" s="411">
        <f t="shared" si="26"/>
        <v>0</v>
      </c>
      <c r="J219" s="411">
        <f>'Sch4-Cost Savings by ECM'!V219</f>
        <v>0</v>
      </c>
      <c r="K21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9" s="411">
        <f t="shared" si="27"/>
        <v>0</v>
      </c>
      <c r="M219" s="411">
        <f>'Sch4-Cost Savings by ECM'!X219</f>
        <v>0</v>
      </c>
      <c r="N21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9" s="411">
        <f t="shared" si="28"/>
        <v>0</v>
      </c>
      <c r="P219" s="413">
        <f t="shared" si="25"/>
        <v>0</v>
      </c>
      <c r="Q219" s="411">
        <f>'Sch4-Cost Savings by ECM'!AB219</f>
        <v>0</v>
      </c>
      <c r="R219" s="411">
        <f t="shared" si="29"/>
        <v>0</v>
      </c>
      <c r="S219" s="411">
        <f t="shared" si="30"/>
        <v>0</v>
      </c>
      <c r="T219" s="411">
        <f t="shared" si="31"/>
        <v>0</v>
      </c>
    </row>
    <row r="220" spans="1:20" ht="16.5" thickBot="1">
      <c r="A220" s="72" t="str">
        <f>IF('Sch2a-Imp Price by ECM'!B221="","",'Sch2a-Imp Price by ECM'!B221)</f>
        <v/>
      </c>
      <c r="B220" s="139" t="str">
        <f>IF('Sch2a-Imp Price by ECM'!D221="","",'Sch2a-Imp Price by ECM'!D221)</f>
        <v/>
      </c>
      <c r="C220" s="414" t="s">
        <v>430</v>
      </c>
      <c r="D220" s="410">
        <f>'Sch4-Cost Savings by ECM'!P220</f>
        <v>0</v>
      </c>
      <c r="E220" s="410">
        <f>VLOOKUP(C220,'eGRID subregion name'!$A$2:$N$30,8,0)</f>
        <v>189.83531623683197</v>
      </c>
      <c r="F220" s="410">
        <f t="shared" si="32"/>
        <v>0</v>
      </c>
      <c r="G220" s="411">
        <f>'Sch4-Cost Savings by ECM'!T220</f>
        <v>0</v>
      </c>
      <c r="H220" s="411">
        <f>VLOOKUP("Natural Gas", 'GHG Emissions'!$D$2:$M$66,4,FALSE)+VLOOKUP("Natural Gas", 'GHG Emissions'!$D$2:$M$66,6,FALSE)*'eGRID subregion name'!$P$3+VLOOKUP("Natural Gas", 'GHG Emissions'!$D$2:$M$66,8,FALSE)*'eGRID subregion name'!$P$4</f>
        <v>53.114800000000002</v>
      </c>
      <c r="I220" s="411">
        <f t="shared" si="26"/>
        <v>0</v>
      </c>
      <c r="J220" s="411">
        <f>'Sch4-Cost Savings by ECM'!V220</f>
        <v>0</v>
      </c>
      <c r="K22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0" s="411">
        <f t="shared" si="27"/>
        <v>0</v>
      </c>
      <c r="M220" s="411">
        <f>'Sch4-Cost Savings by ECM'!X220</f>
        <v>0</v>
      </c>
      <c r="N22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0" s="411">
        <f t="shared" si="28"/>
        <v>0</v>
      </c>
      <c r="P220" s="413">
        <f t="shared" si="25"/>
        <v>0</v>
      </c>
      <c r="Q220" s="411">
        <f>'Sch4-Cost Savings by ECM'!AB220</f>
        <v>0</v>
      </c>
      <c r="R220" s="411">
        <f t="shared" si="29"/>
        <v>0</v>
      </c>
      <c r="S220" s="411">
        <f t="shared" si="30"/>
        <v>0</v>
      </c>
      <c r="T220" s="411">
        <f t="shared" si="31"/>
        <v>0</v>
      </c>
    </row>
    <row r="221" spans="1:20" ht="16.5" thickBot="1">
      <c r="A221" s="72" t="str">
        <f>IF('Sch2a-Imp Price by ECM'!B222="","",'Sch2a-Imp Price by ECM'!B222)</f>
        <v/>
      </c>
      <c r="B221" s="139" t="str">
        <f>IF('Sch2a-Imp Price by ECM'!D222="","",'Sch2a-Imp Price by ECM'!D222)</f>
        <v/>
      </c>
      <c r="C221" s="414" t="s">
        <v>430</v>
      </c>
      <c r="D221" s="410">
        <f>'Sch4-Cost Savings by ECM'!P221</f>
        <v>0</v>
      </c>
      <c r="E221" s="410">
        <f>VLOOKUP(C221,'eGRID subregion name'!$A$2:$N$30,8,0)</f>
        <v>189.83531623683197</v>
      </c>
      <c r="F221" s="410">
        <f t="shared" si="32"/>
        <v>0</v>
      </c>
      <c r="G221" s="411">
        <f>'Sch4-Cost Savings by ECM'!T221</f>
        <v>0</v>
      </c>
      <c r="H221" s="411">
        <f>VLOOKUP("Natural Gas", 'GHG Emissions'!$D$2:$M$66,4,FALSE)+VLOOKUP("Natural Gas", 'GHG Emissions'!$D$2:$M$66,6,FALSE)*'eGRID subregion name'!$P$3+VLOOKUP("Natural Gas", 'GHG Emissions'!$D$2:$M$66,8,FALSE)*'eGRID subregion name'!$P$4</f>
        <v>53.114800000000002</v>
      </c>
      <c r="I221" s="411">
        <f t="shared" si="26"/>
        <v>0</v>
      </c>
      <c r="J221" s="411">
        <f>'Sch4-Cost Savings by ECM'!V221</f>
        <v>0</v>
      </c>
      <c r="K22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1" s="411">
        <f t="shared" si="27"/>
        <v>0</v>
      </c>
      <c r="M221" s="411">
        <f>'Sch4-Cost Savings by ECM'!X221</f>
        <v>0</v>
      </c>
      <c r="N22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1" s="411">
        <f t="shared" si="28"/>
        <v>0</v>
      </c>
      <c r="P221" s="413">
        <f t="shared" si="25"/>
        <v>0</v>
      </c>
      <c r="Q221" s="411">
        <f>'Sch4-Cost Savings by ECM'!AB221</f>
        <v>0</v>
      </c>
      <c r="R221" s="411">
        <f t="shared" si="29"/>
        <v>0</v>
      </c>
      <c r="S221" s="411">
        <f t="shared" si="30"/>
        <v>0</v>
      </c>
      <c r="T221" s="411">
        <f t="shared" si="31"/>
        <v>0</v>
      </c>
    </row>
    <row r="222" spans="1:20" ht="16.5" thickBot="1">
      <c r="A222" s="72" t="str">
        <f>IF('Sch2a-Imp Price by ECM'!B223="","",'Sch2a-Imp Price by ECM'!B223)</f>
        <v/>
      </c>
      <c r="B222" s="139" t="str">
        <f>IF('Sch2a-Imp Price by ECM'!D223="","",'Sch2a-Imp Price by ECM'!D223)</f>
        <v/>
      </c>
      <c r="C222" s="414" t="s">
        <v>430</v>
      </c>
      <c r="D222" s="410">
        <f>'Sch4-Cost Savings by ECM'!P222</f>
        <v>0</v>
      </c>
      <c r="E222" s="410">
        <f>VLOOKUP(C222,'eGRID subregion name'!$A$2:$N$30,8,0)</f>
        <v>189.83531623683197</v>
      </c>
      <c r="F222" s="410">
        <f t="shared" si="32"/>
        <v>0</v>
      </c>
      <c r="G222" s="411">
        <f>'Sch4-Cost Savings by ECM'!T222</f>
        <v>0</v>
      </c>
      <c r="H222" s="411">
        <f>VLOOKUP("Natural Gas", 'GHG Emissions'!$D$2:$M$66,4,FALSE)+VLOOKUP("Natural Gas", 'GHG Emissions'!$D$2:$M$66,6,FALSE)*'eGRID subregion name'!$P$3+VLOOKUP("Natural Gas", 'GHG Emissions'!$D$2:$M$66,8,FALSE)*'eGRID subregion name'!$P$4</f>
        <v>53.114800000000002</v>
      </c>
      <c r="I222" s="411">
        <f t="shared" si="26"/>
        <v>0</v>
      </c>
      <c r="J222" s="411">
        <f>'Sch4-Cost Savings by ECM'!V222</f>
        <v>0</v>
      </c>
      <c r="K22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2" s="411">
        <f t="shared" si="27"/>
        <v>0</v>
      </c>
      <c r="M222" s="411">
        <f>'Sch4-Cost Savings by ECM'!X222</f>
        <v>0</v>
      </c>
      <c r="N22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2" s="411">
        <f t="shared" si="28"/>
        <v>0</v>
      </c>
      <c r="P222" s="413">
        <f t="shared" si="25"/>
        <v>0</v>
      </c>
      <c r="Q222" s="411">
        <f>'Sch4-Cost Savings by ECM'!AB222</f>
        <v>0</v>
      </c>
      <c r="R222" s="411">
        <f t="shared" si="29"/>
        <v>0</v>
      </c>
      <c r="S222" s="411">
        <f t="shared" si="30"/>
        <v>0</v>
      </c>
      <c r="T222" s="411">
        <f t="shared" si="31"/>
        <v>0</v>
      </c>
    </row>
    <row r="223" spans="1:20" ht="18" customHeight="1" thickBot="1">
      <c r="A223" s="72" t="str">
        <f>IF('Sch2a-Imp Price by ECM'!B224="","",'Sch2a-Imp Price by ECM'!B224)</f>
        <v/>
      </c>
      <c r="B223" s="139" t="str">
        <f>IF('Sch2a-Imp Price by ECM'!D224="","",'Sch2a-Imp Price by ECM'!D224)</f>
        <v/>
      </c>
      <c r="C223" s="414" t="s">
        <v>430</v>
      </c>
      <c r="D223" s="410">
        <f>'Sch4-Cost Savings by ECM'!P223</f>
        <v>0</v>
      </c>
      <c r="E223" s="410">
        <f>VLOOKUP(C223,'eGRID subregion name'!$A$2:$N$30,8,0)</f>
        <v>189.83531623683197</v>
      </c>
      <c r="F223" s="410">
        <f t="shared" si="32"/>
        <v>0</v>
      </c>
      <c r="G223" s="411">
        <f>'Sch4-Cost Savings by ECM'!T223</f>
        <v>0</v>
      </c>
      <c r="H223" s="411">
        <f>VLOOKUP("Natural Gas", 'GHG Emissions'!$D$2:$M$66,4,FALSE)+VLOOKUP("Natural Gas", 'GHG Emissions'!$D$2:$M$66,6,FALSE)*'eGRID subregion name'!$P$3+VLOOKUP("Natural Gas", 'GHG Emissions'!$D$2:$M$66,8,FALSE)*'eGRID subregion name'!$P$4</f>
        <v>53.114800000000002</v>
      </c>
      <c r="I223" s="411">
        <f t="shared" si="26"/>
        <v>0</v>
      </c>
      <c r="J223" s="411">
        <f>'Sch4-Cost Savings by ECM'!V223</f>
        <v>0</v>
      </c>
      <c r="K22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3" s="411">
        <f t="shared" si="27"/>
        <v>0</v>
      </c>
      <c r="M223" s="411">
        <f>'Sch4-Cost Savings by ECM'!X223</f>
        <v>0</v>
      </c>
      <c r="N22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3" s="411">
        <f t="shared" si="28"/>
        <v>0</v>
      </c>
      <c r="P223" s="413">
        <f t="shared" si="25"/>
        <v>0</v>
      </c>
      <c r="Q223" s="411">
        <f>'Sch4-Cost Savings by ECM'!AB223</f>
        <v>0</v>
      </c>
      <c r="R223" s="411">
        <f t="shared" si="29"/>
        <v>0</v>
      </c>
      <c r="S223" s="411">
        <f t="shared" si="30"/>
        <v>0</v>
      </c>
      <c r="T223" s="411">
        <f t="shared" si="31"/>
        <v>0</v>
      </c>
    </row>
    <row r="224" spans="1:20" ht="16.5" thickBot="1">
      <c r="A224" s="72" t="str">
        <f>IF('Sch2a-Imp Price by ECM'!B225="","",'Sch2a-Imp Price by ECM'!B225)</f>
        <v/>
      </c>
      <c r="B224" s="139" t="str">
        <f>IF('Sch2a-Imp Price by ECM'!D225="","",'Sch2a-Imp Price by ECM'!D225)</f>
        <v/>
      </c>
      <c r="C224" s="414" t="s">
        <v>430</v>
      </c>
      <c r="D224" s="410">
        <f>'Sch4-Cost Savings by ECM'!P224</f>
        <v>0</v>
      </c>
      <c r="E224" s="410">
        <f>VLOOKUP(C224,'eGRID subregion name'!$A$2:$N$30,8,0)</f>
        <v>189.83531623683197</v>
      </c>
      <c r="F224" s="410">
        <f t="shared" si="32"/>
        <v>0</v>
      </c>
      <c r="G224" s="411">
        <f>'Sch4-Cost Savings by ECM'!T224</f>
        <v>0</v>
      </c>
      <c r="H224" s="411">
        <f>VLOOKUP("Natural Gas", 'GHG Emissions'!$D$2:$M$66,4,FALSE)+VLOOKUP("Natural Gas", 'GHG Emissions'!$D$2:$M$66,6,FALSE)*'eGRID subregion name'!$P$3+VLOOKUP("Natural Gas", 'GHG Emissions'!$D$2:$M$66,8,FALSE)*'eGRID subregion name'!$P$4</f>
        <v>53.114800000000002</v>
      </c>
      <c r="I224" s="411">
        <f t="shared" si="26"/>
        <v>0</v>
      </c>
      <c r="J224" s="411">
        <f>'Sch4-Cost Savings by ECM'!V224</f>
        <v>0</v>
      </c>
      <c r="K22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4" s="411">
        <f t="shared" si="27"/>
        <v>0</v>
      </c>
      <c r="M224" s="411">
        <f>'Sch4-Cost Savings by ECM'!X224</f>
        <v>0</v>
      </c>
      <c r="N22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4" s="411">
        <f t="shared" si="28"/>
        <v>0</v>
      </c>
      <c r="P224" s="413">
        <f t="shared" si="25"/>
        <v>0</v>
      </c>
      <c r="Q224" s="411">
        <f>'Sch4-Cost Savings by ECM'!AB224</f>
        <v>0</v>
      </c>
      <c r="R224" s="411">
        <f t="shared" si="29"/>
        <v>0</v>
      </c>
      <c r="S224" s="411">
        <f t="shared" si="30"/>
        <v>0</v>
      </c>
      <c r="T224" s="411">
        <f t="shared" si="31"/>
        <v>0</v>
      </c>
    </row>
    <row r="225" spans="1:20" ht="16.5" thickBot="1">
      <c r="A225" s="72" t="str">
        <f>IF('Sch2a-Imp Price by ECM'!B226="","",'Sch2a-Imp Price by ECM'!B226)</f>
        <v/>
      </c>
      <c r="B225" s="139" t="str">
        <f>IF('Sch2a-Imp Price by ECM'!D226="","",'Sch2a-Imp Price by ECM'!D226)</f>
        <v/>
      </c>
      <c r="C225" s="414" t="s">
        <v>430</v>
      </c>
      <c r="D225" s="410">
        <f>'Sch4-Cost Savings by ECM'!P225</f>
        <v>0</v>
      </c>
      <c r="E225" s="410">
        <f>VLOOKUP(C225,'eGRID subregion name'!$A$2:$N$30,8,0)</f>
        <v>189.83531623683197</v>
      </c>
      <c r="F225" s="410">
        <f t="shared" si="32"/>
        <v>0</v>
      </c>
      <c r="G225" s="411">
        <f>'Sch4-Cost Savings by ECM'!T225</f>
        <v>0</v>
      </c>
      <c r="H225" s="411">
        <f>VLOOKUP("Natural Gas", 'GHG Emissions'!$D$2:$M$66,4,FALSE)+VLOOKUP("Natural Gas", 'GHG Emissions'!$D$2:$M$66,6,FALSE)*'eGRID subregion name'!$P$3+VLOOKUP("Natural Gas", 'GHG Emissions'!$D$2:$M$66,8,FALSE)*'eGRID subregion name'!$P$4</f>
        <v>53.114800000000002</v>
      </c>
      <c r="I225" s="411">
        <f t="shared" si="26"/>
        <v>0</v>
      </c>
      <c r="J225" s="411">
        <f>'Sch4-Cost Savings by ECM'!V225</f>
        <v>0</v>
      </c>
      <c r="K22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5" s="411">
        <f t="shared" si="27"/>
        <v>0</v>
      </c>
      <c r="M225" s="411">
        <f>'Sch4-Cost Savings by ECM'!X225</f>
        <v>0</v>
      </c>
      <c r="N22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5" s="411">
        <f t="shared" si="28"/>
        <v>0</v>
      </c>
      <c r="P225" s="413">
        <f t="shared" si="25"/>
        <v>0</v>
      </c>
      <c r="Q225" s="411">
        <f>'Sch4-Cost Savings by ECM'!AB225</f>
        <v>0</v>
      </c>
      <c r="R225" s="411">
        <f t="shared" si="29"/>
        <v>0</v>
      </c>
      <c r="S225" s="411">
        <f t="shared" si="30"/>
        <v>0</v>
      </c>
      <c r="T225" s="411">
        <f t="shared" si="31"/>
        <v>0</v>
      </c>
    </row>
    <row r="226" spans="1:20" ht="16.5" thickBot="1">
      <c r="A226" s="72" t="str">
        <f>IF('Sch2a-Imp Price by ECM'!B227="","",'Sch2a-Imp Price by ECM'!B227)</f>
        <v/>
      </c>
      <c r="B226" s="139" t="str">
        <f>IF('Sch2a-Imp Price by ECM'!D227="","",'Sch2a-Imp Price by ECM'!D227)</f>
        <v/>
      </c>
      <c r="C226" s="414" t="s">
        <v>430</v>
      </c>
      <c r="D226" s="410">
        <f>'Sch4-Cost Savings by ECM'!P226</f>
        <v>0</v>
      </c>
      <c r="E226" s="410">
        <f>VLOOKUP(C226,'eGRID subregion name'!$A$2:$N$30,8,0)</f>
        <v>189.83531623683197</v>
      </c>
      <c r="F226" s="410">
        <f t="shared" si="32"/>
        <v>0</v>
      </c>
      <c r="G226" s="411">
        <f>'Sch4-Cost Savings by ECM'!T226</f>
        <v>0</v>
      </c>
      <c r="H226" s="411">
        <f>VLOOKUP("Natural Gas", 'GHG Emissions'!$D$2:$M$66,4,FALSE)+VLOOKUP("Natural Gas", 'GHG Emissions'!$D$2:$M$66,6,FALSE)*'eGRID subregion name'!$P$3+VLOOKUP("Natural Gas", 'GHG Emissions'!$D$2:$M$66,8,FALSE)*'eGRID subregion name'!$P$4</f>
        <v>53.114800000000002</v>
      </c>
      <c r="I226" s="411">
        <f t="shared" si="26"/>
        <v>0</v>
      </c>
      <c r="J226" s="411">
        <f>'Sch4-Cost Savings by ECM'!V226</f>
        <v>0</v>
      </c>
      <c r="K22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6" s="411">
        <f t="shared" si="27"/>
        <v>0</v>
      </c>
      <c r="M226" s="411">
        <f>'Sch4-Cost Savings by ECM'!X226</f>
        <v>0</v>
      </c>
      <c r="N22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6" s="411">
        <f t="shared" si="28"/>
        <v>0</v>
      </c>
      <c r="P226" s="413">
        <f t="shared" si="25"/>
        <v>0</v>
      </c>
      <c r="Q226" s="411">
        <f>'Sch4-Cost Savings by ECM'!AB226</f>
        <v>0</v>
      </c>
      <c r="R226" s="411">
        <f t="shared" si="29"/>
        <v>0</v>
      </c>
      <c r="S226" s="411">
        <f t="shared" si="30"/>
        <v>0</v>
      </c>
      <c r="T226" s="411">
        <f t="shared" si="31"/>
        <v>0</v>
      </c>
    </row>
    <row r="227" spans="1:20" ht="16.5" thickBot="1">
      <c r="A227" s="72" t="str">
        <f>IF('Sch2a-Imp Price by ECM'!B228="","",'Sch2a-Imp Price by ECM'!B228)</f>
        <v/>
      </c>
      <c r="B227" s="139" t="str">
        <f>IF('Sch2a-Imp Price by ECM'!D228="","",'Sch2a-Imp Price by ECM'!D228)</f>
        <v/>
      </c>
      <c r="C227" s="414" t="s">
        <v>430</v>
      </c>
      <c r="D227" s="410">
        <f>'Sch4-Cost Savings by ECM'!P227</f>
        <v>0</v>
      </c>
      <c r="E227" s="410">
        <f>VLOOKUP(C227,'eGRID subregion name'!$A$2:$N$30,8,0)</f>
        <v>189.83531623683197</v>
      </c>
      <c r="F227" s="410">
        <f t="shared" si="32"/>
        <v>0</v>
      </c>
      <c r="G227" s="411">
        <f>'Sch4-Cost Savings by ECM'!T227</f>
        <v>0</v>
      </c>
      <c r="H227" s="411">
        <f>VLOOKUP("Natural Gas", 'GHG Emissions'!$D$2:$M$66,4,FALSE)+VLOOKUP("Natural Gas", 'GHG Emissions'!$D$2:$M$66,6,FALSE)*'eGRID subregion name'!$P$3+VLOOKUP("Natural Gas", 'GHG Emissions'!$D$2:$M$66,8,FALSE)*'eGRID subregion name'!$P$4</f>
        <v>53.114800000000002</v>
      </c>
      <c r="I227" s="411">
        <f t="shared" si="26"/>
        <v>0</v>
      </c>
      <c r="J227" s="411">
        <f>'Sch4-Cost Savings by ECM'!V227</f>
        <v>0</v>
      </c>
      <c r="K22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7" s="411">
        <f t="shared" si="27"/>
        <v>0</v>
      </c>
      <c r="M227" s="411">
        <f>'Sch4-Cost Savings by ECM'!X227</f>
        <v>0</v>
      </c>
      <c r="N22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7" s="411">
        <f t="shared" si="28"/>
        <v>0</v>
      </c>
      <c r="P227" s="413">
        <f t="shared" si="25"/>
        <v>0</v>
      </c>
      <c r="Q227" s="411">
        <f>'Sch4-Cost Savings by ECM'!AB227</f>
        <v>0</v>
      </c>
      <c r="R227" s="411">
        <f t="shared" si="29"/>
        <v>0</v>
      </c>
      <c r="S227" s="411">
        <f t="shared" si="30"/>
        <v>0</v>
      </c>
      <c r="T227" s="411">
        <f t="shared" si="31"/>
        <v>0</v>
      </c>
    </row>
    <row r="228" spans="1:20" ht="16.5" thickBot="1">
      <c r="A228" s="72" t="str">
        <f>IF('Sch2a-Imp Price by ECM'!B229="","",'Sch2a-Imp Price by ECM'!B229)</f>
        <v/>
      </c>
      <c r="B228" s="139" t="str">
        <f>IF('Sch2a-Imp Price by ECM'!D229="","",'Sch2a-Imp Price by ECM'!D229)</f>
        <v/>
      </c>
      <c r="C228" s="414" t="s">
        <v>430</v>
      </c>
      <c r="D228" s="410">
        <f>'Sch4-Cost Savings by ECM'!P228</f>
        <v>0</v>
      </c>
      <c r="E228" s="410">
        <f>VLOOKUP(C228,'eGRID subregion name'!$A$2:$N$30,8,0)</f>
        <v>189.83531623683197</v>
      </c>
      <c r="F228" s="410">
        <f t="shared" si="32"/>
        <v>0</v>
      </c>
      <c r="G228" s="411">
        <f>'Sch4-Cost Savings by ECM'!T228</f>
        <v>0</v>
      </c>
      <c r="H228" s="411">
        <f>VLOOKUP("Natural Gas", 'GHG Emissions'!$D$2:$M$66,4,FALSE)+VLOOKUP("Natural Gas", 'GHG Emissions'!$D$2:$M$66,6,FALSE)*'eGRID subregion name'!$P$3+VLOOKUP("Natural Gas", 'GHG Emissions'!$D$2:$M$66,8,FALSE)*'eGRID subregion name'!$P$4</f>
        <v>53.114800000000002</v>
      </c>
      <c r="I228" s="411">
        <f t="shared" si="26"/>
        <v>0</v>
      </c>
      <c r="J228" s="411">
        <f>'Sch4-Cost Savings by ECM'!V228</f>
        <v>0</v>
      </c>
      <c r="K22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8" s="411">
        <f t="shared" si="27"/>
        <v>0</v>
      </c>
      <c r="M228" s="411">
        <f>'Sch4-Cost Savings by ECM'!X228</f>
        <v>0</v>
      </c>
      <c r="N22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8" s="411">
        <f t="shared" si="28"/>
        <v>0</v>
      </c>
      <c r="P228" s="413">
        <f t="shared" si="25"/>
        <v>0</v>
      </c>
      <c r="Q228" s="411">
        <f>'Sch4-Cost Savings by ECM'!AB228</f>
        <v>0</v>
      </c>
      <c r="R228" s="411">
        <f t="shared" si="29"/>
        <v>0</v>
      </c>
      <c r="S228" s="411">
        <f t="shared" si="30"/>
        <v>0</v>
      </c>
      <c r="T228" s="411">
        <f t="shared" si="31"/>
        <v>0</v>
      </c>
    </row>
    <row r="229" spans="1:20" ht="16.5" thickBot="1">
      <c r="A229" s="72" t="str">
        <f>IF('Sch2a-Imp Price by ECM'!B230="","",'Sch2a-Imp Price by ECM'!B230)</f>
        <v/>
      </c>
      <c r="B229" s="139" t="str">
        <f>IF('Sch2a-Imp Price by ECM'!D230="","",'Sch2a-Imp Price by ECM'!D230)</f>
        <v/>
      </c>
      <c r="C229" s="414" t="s">
        <v>430</v>
      </c>
      <c r="D229" s="410">
        <f>'Sch4-Cost Savings by ECM'!P229</f>
        <v>0</v>
      </c>
      <c r="E229" s="410">
        <f>VLOOKUP(C229,'eGRID subregion name'!$A$2:$N$30,8,0)</f>
        <v>189.83531623683197</v>
      </c>
      <c r="F229" s="410">
        <f t="shared" si="32"/>
        <v>0</v>
      </c>
      <c r="G229" s="411">
        <f>'Sch4-Cost Savings by ECM'!T229</f>
        <v>0</v>
      </c>
      <c r="H229" s="411">
        <f>VLOOKUP("Natural Gas", 'GHG Emissions'!$D$2:$M$66,4,FALSE)+VLOOKUP("Natural Gas", 'GHG Emissions'!$D$2:$M$66,6,FALSE)*'eGRID subregion name'!$P$3+VLOOKUP("Natural Gas", 'GHG Emissions'!$D$2:$M$66,8,FALSE)*'eGRID subregion name'!$P$4</f>
        <v>53.114800000000002</v>
      </c>
      <c r="I229" s="411">
        <f t="shared" si="26"/>
        <v>0</v>
      </c>
      <c r="J229" s="411">
        <f>'Sch4-Cost Savings by ECM'!V229</f>
        <v>0</v>
      </c>
      <c r="K22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9" s="411">
        <f t="shared" si="27"/>
        <v>0</v>
      </c>
      <c r="M229" s="411">
        <f>'Sch4-Cost Savings by ECM'!X229</f>
        <v>0</v>
      </c>
      <c r="N22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9" s="411">
        <f t="shared" si="28"/>
        <v>0</v>
      </c>
      <c r="P229" s="413">
        <f t="shared" si="25"/>
        <v>0</v>
      </c>
      <c r="Q229" s="411">
        <f>'Sch4-Cost Savings by ECM'!AB229</f>
        <v>0</v>
      </c>
      <c r="R229" s="411">
        <f t="shared" si="29"/>
        <v>0</v>
      </c>
      <c r="S229" s="411">
        <f t="shared" si="30"/>
        <v>0</v>
      </c>
      <c r="T229" s="411">
        <f t="shared" si="31"/>
        <v>0</v>
      </c>
    </row>
    <row r="230" spans="1:20" ht="16.5" thickBot="1">
      <c r="A230" s="72" t="str">
        <f>IF('Sch2a-Imp Price by ECM'!B231="","",'Sch2a-Imp Price by ECM'!B231)</f>
        <v/>
      </c>
      <c r="B230" s="139" t="str">
        <f>IF('Sch2a-Imp Price by ECM'!D231="","",'Sch2a-Imp Price by ECM'!D231)</f>
        <v/>
      </c>
      <c r="C230" s="414" t="s">
        <v>430</v>
      </c>
      <c r="D230" s="410">
        <f>'Sch4-Cost Savings by ECM'!P230</f>
        <v>0</v>
      </c>
      <c r="E230" s="410">
        <f>VLOOKUP(C230,'eGRID subregion name'!$A$2:$N$30,8,0)</f>
        <v>189.83531623683197</v>
      </c>
      <c r="F230" s="410">
        <f t="shared" si="32"/>
        <v>0</v>
      </c>
      <c r="G230" s="411">
        <f>'Sch4-Cost Savings by ECM'!T230</f>
        <v>0</v>
      </c>
      <c r="H230" s="411">
        <f>VLOOKUP("Natural Gas", 'GHG Emissions'!$D$2:$M$66,4,FALSE)+VLOOKUP("Natural Gas", 'GHG Emissions'!$D$2:$M$66,6,FALSE)*'eGRID subregion name'!$P$3+VLOOKUP("Natural Gas", 'GHG Emissions'!$D$2:$M$66,8,FALSE)*'eGRID subregion name'!$P$4</f>
        <v>53.114800000000002</v>
      </c>
      <c r="I230" s="411">
        <f t="shared" si="26"/>
        <v>0</v>
      </c>
      <c r="J230" s="411">
        <f>'Sch4-Cost Savings by ECM'!V230</f>
        <v>0</v>
      </c>
      <c r="K23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0" s="411">
        <f t="shared" si="27"/>
        <v>0</v>
      </c>
      <c r="M230" s="411">
        <f>'Sch4-Cost Savings by ECM'!X230</f>
        <v>0</v>
      </c>
      <c r="N23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0" s="411">
        <f t="shared" si="28"/>
        <v>0</v>
      </c>
      <c r="P230" s="413">
        <f t="shared" si="25"/>
        <v>0</v>
      </c>
      <c r="Q230" s="411">
        <f>'Sch4-Cost Savings by ECM'!AB230</f>
        <v>0</v>
      </c>
      <c r="R230" s="411">
        <f t="shared" si="29"/>
        <v>0</v>
      </c>
      <c r="S230" s="411">
        <f t="shared" si="30"/>
        <v>0</v>
      </c>
      <c r="T230" s="411">
        <f t="shared" si="31"/>
        <v>0</v>
      </c>
    </row>
    <row r="231" spans="1:20" ht="16.5" thickBot="1">
      <c r="A231" s="72" t="str">
        <f>IF('Sch2a-Imp Price by ECM'!B232="","",'Sch2a-Imp Price by ECM'!B232)</f>
        <v/>
      </c>
      <c r="B231" s="139" t="str">
        <f>IF('Sch2a-Imp Price by ECM'!D232="","",'Sch2a-Imp Price by ECM'!D232)</f>
        <v/>
      </c>
      <c r="C231" s="414" t="s">
        <v>430</v>
      </c>
      <c r="D231" s="410">
        <f>'Sch4-Cost Savings by ECM'!P231</f>
        <v>0</v>
      </c>
      <c r="E231" s="410">
        <f>VLOOKUP(C231,'eGRID subregion name'!$A$2:$N$30,8,0)</f>
        <v>189.83531623683197</v>
      </c>
      <c r="F231" s="410">
        <f t="shared" si="32"/>
        <v>0</v>
      </c>
      <c r="G231" s="411">
        <f>'Sch4-Cost Savings by ECM'!T231</f>
        <v>0</v>
      </c>
      <c r="H231" s="411">
        <f>VLOOKUP("Natural Gas", 'GHG Emissions'!$D$2:$M$66,4,FALSE)+VLOOKUP("Natural Gas", 'GHG Emissions'!$D$2:$M$66,6,FALSE)*'eGRID subregion name'!$P$3+VLOOKUP("Natural Gas", 'GHG Emissions'!$D$2:$M$66,8,FALSE)*'eGRID subregion name'!$P$4</f>
        <v>53.114800000000002</v>
      </c>
      <c r="I231" s="411">
        <f t="shared" si="26"/>
        <v>0</v>
      </c>
      <c r="J231" s="411">
        <f>'Sch4-Cost Savings by ECM'!V231</f>
        <v>0</v>
      </c>
      <c r="K23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1" s="411">
        <f t="shared" si="27"/>
        <v>0</v>
      </c>
      <c r="M231" s="411">
        <f>'Sch4-Cost Savings by ECM'!X231</f>
        <v>0</v>
      </c>
      <c r="N23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1" s="411">
        <f t="shared" si="28"/>
        <v>0</v>
      </c>
      <c r="P231" s="413">
        <f t="shared" si="25"/>
        <v>0</v>
      </c>
      <c r="Q231" s="411">
        <f>'Sch4-Cost Savings by ECM'!AB231</f>
        <v>0</v>
      </c>
      <c r="R231" s="411">
        <f t="shared" si="29"/>
        <v>0</v>
      </c>
      <c r="S231" s="411">
        <f t="shared" si="30"/>
        <v>0</v>
      </c>
      <c r="T231" s="411">
        <f t="shared" si="31"/>
        <v>0</v>
      </c>
    </row>
    <row r="232" spans="1:20" ht="16.5" thickBot="1">
      <c r="A232" s="72" t="str">
        <f>IF('Sch2a-Imp Price by ECM'!B233="","",'Sch2a-Imp Price by ECM'!B233)</f>
        <v/>
      </c>
      <c r="B232" s="139" t="str">
        <f>IF('Sch2a-Imp Price by ECM'!D233="","",'Sch2a-Imp Price by ECM'!D233)</f>
        <v/>
      </c>
      <c r="C232" s="414" t="s">
        <v>430</v>
      </c>
      <c r="D232" s="410">
        <f>'Sch4-Cost Savings by ECM'!P232</f>
        <v>0</v>
      </c>
      <c r="E232" s="410">
        <f>VLOOKUP(C232,'eGRID subregion name'!$A$2:$N$30,8,0)</f>
        <v>189.83531623683197</v>
      </c>
      <c r="F232" s="410">
        <f t="shared" si="32"/>
        <v>0</v>
      </c>
      <c r="G232" s="411">
        <f>'Sch4-Cost Savings by ECM'!T232</f>
        <v>0</v>
      </c>
      <c r="H232" s="411">
        <f>VLOOKUP("Natural Gas", 'GHG Emissions'!$D$2:$M$66,4,FALSE)+VLOOKUP("Natural Gas", 'GHG Emissions'!$D$2:$M$66,6,FALSE)*'eGRID subregion name'!$P$3+VLOOKUP("Natural Gas", 'GHG Emissions'!$D$2:$M$66,8,FALSE)*'eGRID subregion name'!$P$4</f>
        <v>53.114800000000002</v>
      </c>
      <c r="I232" s="411">
        <f t="shared" si="26"/>
        <v>0</v>
      </c>
      <c r="J232" s="411">
        <f>'Sch4-Cost Savings by ECM'!V232</f>
        <v>0</v>
      </c>
      <c r="K23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2" s="411">
        <f t="shared" si="27"/>
        <v>0</v>
      </c>
      <c r="M232" s="411">
        <f>'Sch4-Cost Savings by ECM'!X232</f>
        <v>0</v>
      </c>
      <c r="N23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2" s="411">
        <f t="shared" si="28"/>
        <v>0</v>
      </c>
      <c r="P232" s="413">
        <f t="shared" si="25"/>
        <v>0</v>
      </c>
      <c r="Q232" s="411">
        <f>'Sch4-Cost Savings by ECM'!AB232</f>
        <v>0</v>
      </c>
      <c r="R232" s="411">
        <f t="shared" si="29"/>
        <v>0</v>
      </c>
      <c r="S232" s="411">
        <f t="shared" si="30"/>
        <v>0</v>
      </c>
      <c r="T232" s="411">
        <f t="shared" si="31"/>
        <v>0</v>
      </c>
    </row>
    <row r="233" spans="1:20" ht="16.5" thickBot="1">
      <c r="A233" s="72" t="str">
        <f>IF('Sch2a-Imp Price by ECM'!B234="","",'Sch2a-Imp Price by ECM'!B234)</f>
        <v/>
      </c>
      <c r="B233" s="139" t="str">
        <f>IF('Sch2a-Imp Price by ECM'!D234="","",'Sch2a-Imp Price by ECM'!D234)</f>
        <v/>
      </c>
      <c r="C233" s="414" t="s">
        <v>430</v>
      </c>
      <c r="D233" s="410">
        <f>'Sch4-Cost Savings by ECM'!P233</f>
        <v>0</v>
      </c>
      <c r="E233" s="410">
        <f>VLOOKUP(C233,'eGRID subregion name'!$A$2:$N$30,8,0)</f>
        <v>189.83531623683197</v>
      </c>
      <c r="F233" s="410">
        <f t="shared" si="32"/>
        <v>0</v>
      </c>
      <c r="G233" s="411">
        <f>'Sch4-Cost Savings by ECM'!T233</f>
        <v>0</v>
      </c>
      <c r="H233" s="411">
        <f>VLOOKUP("Natural Gas", 'GHG Emissions'!$D$2:$M$66,4,FALSE)+VLOOKUP("Natural Gas", 'GHG Emissions'!$D$2:$M$66,6,FALSE)*'eGRID subregion name'!$P$3+VLOOKUP("Natural Gas", 'GHG Emissions'!$D$2:$M$66,8,FALSE)*'eGRID subregion name'!$P$4</f>
        <v>53.114800000000002</v>
      </c>
      <c r="I233" s="411">
        <f t="shared" si="26"/>
        <v>0</v>
      </c>
      <c r="J233" s="411">
        <f>'Sch4-Cost Savings by ECM'!V233</f>
        <v>0</v>
      </c>
      <c r="K23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3" s="411">
        <f t="shared" si="27"/>
        <v>0</v>
      </c>
      <c r="M233" s="411">
        <f>'Sch4-Cost Savings by ECM'!X233</f>
        <v>0</v>
      </c>
      <c r="N23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3" s="411">
        <f t="shared" si="28"/>
        <v>0</v>
      </c>
      <c r="P233" s="413">
        <f t="shared" si="25"/>
        <v>0</v>
      </c>
      <c r="Q233" s="411">
        <f>'Sch4-Cost Savings by ECM'!AB233</f>
        <v>0</v>
      </c>
      <c r="R233" s="411">
        <f t="shared" si="29"/>
        <v>0</v>
      </c>
      <c r="S233" s="411">
        <f t="shared" si="30"/>
        <v>0</v>
      </c>
      <c r="T233" s="411">
        <f t="shared" si="31"/>
        <v>0</v>
      </c>
    </row>
    <row r="234" spans="1:20" ht="16.5" thickBot="1">
      <c r="A234" s="72" t="str">
        <f>IF('Sch2a-Imp Price by ECM'!B235="","",'Sch2a-Imp Price by ECM'!B235)</f>
        <v/>
      </c>
      <c r="B234" s="139" t="str">
        <f>IF('Sch2a-Imp Price by ECM'!D235="","",'Sch2a-Imp Price by ECM'!D235)</f>
        <v/>
      </c>
      <c r="C234" s="414" t="s">
        <v>430</v>
      </c>
      <c r="D234" s="410">
        <f>'Sch4-Cost Savings by ECM'!P234</f>
        <v>0</v>
      </c>
      <c r="E234" s="410">
        <f>VLOOKUP(C234,'eGRID subregion name'!$A$2:$N$30,8,0)</f>
        <v>189.83531623683197</v>
      </c>
      <c r="F234" s="410">
        <f t="shared" si="32"/>
        <v>0</v>
      </c>
      <c r="G234" s="411">
        <f>'Sch4-Cost Savings by ECM'!T234</f>
        <v>0</v>
      </c>
      <c r="H234" s="411">
        <f>VLOOKUP("Natural Gas", 'GHG Emissions'!$D$2:$M$66,4,FALSE)+VLOOKUP("Natural Gas", 'GHG Emissions'!$D$2:$M$66,6,FALSE)*'eGRID subregion name'!$P$3+VLOOKUP("Natural Gas", 'GHG Emissions'!$D$2:$M$66,8,FALSE)*'eGRID subregion name'!$P$4</f>
        <v>53.114800000000002</v>
      </c>
      <c r="I234" s="411">
        <f t="shared" si="26"/>
        <v>0</v>
      </c>
      <c r="J234" s="411">
        <f>'Sch4-Cost Savings by ECM'!V234</f>
        <v>0</v>
      </c>
      <c r="K23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4" s="411">
        <f t="shared" si="27"/>
        <v>0</v>
      </c>
      <c r="M234" s="411">
        <f>'Sch4-Cost Savings by ECM'!X234</f>
        <v>0</v>
      </c>
      <c r="N23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4" s="411">
        <f t="shared" si="28"/>
        <v>0</v>
      </c>
      <c r="P234" s="413">
        <f t="shared" si="25"/>
        <v>0</v>
      </c>
      <c r="Q234" s="411">
        <f>'Sch4-Cost Savings by ECM'!AB234</f>
        <v>0</v>
      </c>
      <c r="R234" s="411">
        <f t="shared" si="29"/>
        <v>0</v>
      </c>
      <c r="S234" s="411">
        <f t="shared" si="30"/>
        <v>0</v>
      </c>
      <c r="T234" s="411">
        <f t="shared" si="31"/>
        <v>0</v>
      </c>
    </row>
    <row r="235" spans="1:20" ht="16.5" thickBot="1">
      <c r="A235" s="72" t="str">
        <f>IF('Sch2a-Imp Price by ECM'!B236="","",'Sch2a-Imp Price by ECM'!B236)</f>
        <v/>
      </c>
      <c r="B235" s="139" t="str">
        <f>IF('Sch2a-Imp Price by ECM'!D236="","",'Sch2a-Imp Price by ECM'!D236)</f>
        <v/>
      </c>
      <c r="C235" s="414" t="s">
        <v>430</v>
      </c>
      <c r="D235" s="410">
        <f>'Sch4-Cost Savings by ECM'!P235</f>
        <v>0</v>
      </c>
      <c r="E235" s="410">
        <f>VLOOKUP(C235,'eGRID subregion name'!$A$2:$N$30,8,0)</f>
        <v>189.83531623683197</v>
      </c>
      <c r="F235" s="410">
        <f t="shared" si="32"/>
        <v>0</v>
      </c>
      <c r="G235" s="411">
        <f>'Sch4-Cost Savings by ECM'!T235</f>
        <v>0</v>
      </c>
      <c r="H235" s="411">
        <f>VLOOKUP("Natural Gas", 'GHG Emissions'!$D$2:$M$66,4,FALSE)+VLOOKUP("Natural Gas", 'GHG Emissions'!$D$2:$M$66,6,FALSE)*'eGRID subregion name'!$P$3+VLOOKUP("Natural Gas", 'GHG Emissions'!$D$2:$M$66,8,FALSE)*'eGRID subregion name'!$P$4</f>
        <v>53.114800000000002</v>
      </c>
      <c r="I235" s="411">
        <f t="shared" si="26"/>
        <v>0</v>
      </c>
      <c r="J235" s="411">
        <f>'Sch4-Cost Savings by ECM'!V235</f>
        <v>0</v>
      </c>
      <c r="K23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5" s="411">
        <f t="shared" si="27"/>
        <v>0</v>
      </c>
      <c r="M235" s="411">
        <f>'Sch4-Cost Savings by ECM'!X235</f>
        <v>0</v>
      </c>
      <c r="N23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5" s="411">
        <f t="shared" si="28"/>
        <v>0</v>
      </c>
      <c r="P235" s="413">
        <f t="shared" si="25"/>
        <v>0</v>
      </c>
      <c r="Q235" s="411">
        <f>'Sch4-Cost Savings by ECM'!AB235</f>
        <v>0</v>
      </c>
      <c r="R235" s="411">
        <f t="shared" si="29"/>
        <v>0</v>
      </c>
      <c r="S235" s="411">
        <f t="shared" si="30"/>
        <v>0</v>
      </c>
      <c r="T235" s="411">
        <f t="shared" si="31"/>
        <v>0</v>
      </c>
    </row>
    <row r="236" spans="1:20" ht="16.5" thickBot="1">
      <c r="A236" s="72" t="str">
        <f>IF('Sch2a-Imp Price by ECM'!B237="","",'Sch2a-Imp Price by ECM'!B237)</f>
        <v/>
      </c>
      <c r="B236" s="139" t="str">
        <f>IF('Sch2a-Imp Price by ECM'!D237="","",'Sch2a-Imp Price by ECM'!D237)</f>
        <v/>
      </c>
      <c r="C236" s="414" t="s">
        <v>430</v>
      </c>
      <c r="D236" s="410">
        <f>'Sch4-Cost Savings by ECM'!P236</f>
        <v>0</v>
      </c>
      <c r="E236" s="410">
        <f>VLOOKUP(C236,'eGRID subregion name'!$A$2:$N$30,8,0)</f>
        <v>189.83531623683197</v>
      </c>
      <c r="F236" s="410">
        <f t="shared" si="32"/>
        <v>0</v>
      </c>
      <c r="G236" s="411">
        <f>'Sch4-Cost Savings by ECM'!T236</f>
        <v>0</v>
      </c>
      <c r="H236" s="411">
        <f>VLOOKUP("Natural Gas", 'GHG Emissions'!$D$2:$M$66,4,FALSE)+VLOOKUP("Natural Gas", 'GHG Emissions'!$D$2:$M$66,6,FALSE)*'eGRID subregion name'!$P$3+VLOOKUP("Natural Gas", 'GHG Emissions'!$D$2:$M$66,8,FALSE)*'eGRID subregion name'!$P$4</f>
        <v>53.114800000000002</v>
      </c>
      <c r="I236" s="411">
        <f t="shared" si="26"/>
        <v>0</v>
      </c>
      <c r="J236" s="411">
        <f>'Sch4-Cost Savings by ECM'!V236</f>
        <v>0</v>
      </c>
      <c r="K23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6" s="411">
        <f t="shared" si="27"/>
        <v>0</v>
      </c>
      <c r="M236" s="411">
        <f>'Sch4-Cost Savings by ECM'!X236</f>
        <v>0</v>
      </c>
      <c r="N23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6" s="411">
        <f t="shared" si="28"/>
        <v>0</v>
      </c>
      <c r="P236" s="413">
        <f t="shared" si="25"/>
        <v>0</v>
      </c>
      <c r="Q236" s="411">
        <f>'Sch4-Cost Savings by ECM'!AB236</f>
        <v>0</v>
      </c>
      <c r="R236" s="411">
        <f t="shared" si="29"/>
        <v>0</v>
      </c>
      <c r="S236" s="411">
        <f t="shared" si="30"/>
        <v>0</v>
      </c>
      <c r="T236" s="411">
        <f t="shared" si="31"/>
        <v>0</v>
      </c>
    </row>
    <row r="237" spans="1:20" ht="16.5" thickBot="1">
      <c r="A237" s="72" t="str">
        <f>IF('Sch2a-Imp Price by ECM'!B238="","",'Sch2a-Imp Price by ECM'!B238)</f>
        <v/>
      </c>
      <c r="B237" s="139" t="str">
        <f>IF('Sch2a-Imp Price by ECM'!D238="","",'Sch2a-Imp Price by ECM'!D238)</f>
        <v/>
      </c>
      <c r="C237" s="414" t="s">
        <v>430</v>
      </c>
      <c r="D237" s="410">
        <f>'Sch4-Cost Savings by ECM'!P237</f>
        <v>0</v>
      </c>
      <c r="E237" s="410">
        <f>VLOOKUP(C237,'eGRID subregion name'!$A$2:$N$30,8,0)</f>
        <v>189.83531623683197</v>
      </c>
      <c r="F237" s="410">
        <f t="shared" si="32"/>
        <v>0</v>
      </c>
      <c r="G237" s="411">
        <f>'Sch4-Cost Savings by ECM'!T237</f>
        <v>0</v>
      </c>
      <c r="H237" s="411">
        <f>VLOOKUP("Natural Gas", 'GHG Emissions'!$D$2:$M$66,4,FALSE)+VLOOKUP("Natural Gas", 'GHG Emissions'!$D$2:$M$66,6,FALSE)*'eGRID subregion name'!$P$3+VLOOKUP("Natural Gas", 'GHG Emissions'!$D$2:$M$66,8,FALSE)*'eGRID subregion name'!$P$4</f>
        <v>53.114800000000002</v>
      </c>
      <c r="I237" s="411">
        <f t="shared" si="26"/>
        <v>0</v>
      </c>
      <c r="J237" s="411">
        <f>'Sch4-Cost Savings by ECM'!V237</f>
        <v>0</v>
      </c>
      <c r="K23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7" s="411">
        <f t="shared" si="27"/>
        <v>0</v>
      </c>
      <c r="M237" s="411">
        <f>'Sch4-Cost Savings by ECM'!X237</f>
        <v>0</v>
      </c>
      <c r="N23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7" s="411">
        <f t="shared" si="28"/>
        <v>0</v>
      </c>
      <c r="P237" s="413">
        <f t="shared" si="25"/>
        <v>0</v>
      </c>
      <c r="Q237" s="411">
        <f>'Sch4-Cost Savings by ECM'!AB237</f>
        <v>0</v>
      </c>
      <c r="R237" s="411">
        <f t="shared" si="29"/>
        <v>0</v>
      </c>
      <c r="S237" s="411">
        <f t="shared" si="30"/>
        <v>0</v>
      </c>
      <c r="T237" s="411">
        <f t="shared" si="31"/>
        <v>0</v>
      </c>
    </row>
    <row r="238" spans="1:20" ht="16.5" thickBot="1">
      <c r="A238" s="72" t="str">
        <f>IF('Sch2a-Imp Price by ECM'!B239="","",'Sch2a-Imp Price by ECM'!B239)</f>
        <v/>
      </c>
      <c r="B238" s="139" t="str">
        <f>IF('Sch2a-Imp Price by ECM'!D239="","",'Sch2a-Imp Price by ECM'!D239)</f>
        <v/>
      </c>
      <c r="C238" s="414" t="s">
        <v>430</v>
      </c>
      <c r="D238" s="410">
        <f>'Sch4-Cost Savings by ECM'!P238</f>
        <v>0</v>
      </c>
      <c r="E238" s="410">
        <f>VLOOKUP(C238,'eGRID subregion name'!$A$2:$N$30,8,0)</f>
        <v>189.83531623683197</v>
      </c>
      <c r="F238" s="410">
        <f t="shared" si="32"/>
        <v>0</v>
      </c>
      <c r="G238" s="411">
        <f>'Sch4-Cost Savings by ECM'!T238</f>
        <v>0</v>
      </c>
      <c r="H238" s="411">
        <f>VLOOKUP("Natural Gas", 'GHG Emissions'!$D$2:$M$66,4,FALSE)+VLOOKUP("Natural Gas", 'GHG Emissions'!$D$2:$M$66,6,FALSE)*'eGRID subregion name'!$P$3+VLOOKUP("Natural Gas", 'GHG Emissions'!$D$2:$M$66,8,FALSE)*'eGRID subregion name'!$P$4</f>
        <v>53.114800000000002</v>
      </c>
      <c r="I238" s="411">
        <f t="shared" si="26"/>
        <v>0</v>
      </c>
      <c r="J238" s="411">
        <f>'Sch4-Cost Savings by ECM'!V238</f>
        <v>0</v>
      </c>
      <c r="K23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8" s="411">
        <f t="shared" si="27"/>
        <v>0</v>
      </c>
      <c r="M238" s="411">
        <f>'Sch4-Cost Savings by ECM'!X238</f>
        <v>0</v>
      </c>
      <c r="N23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8" s="411">
        <f t="shared" si="28"/>
        <v>0</v>
      </c>
      <c r="P238" s="413">
        <f t="shared" si="25"/>
        <v>0</v>
      </c>
      <c r="Q238" s="411">
        <f>'Sch4-Cost Savings by ECM'!AB238</f>
        <v>0</v>
      </c>
      <c r="R238" s="411">
        <f t="shared" si="29"/>
        <v>0</v>
      </c>
      <c r="S238" s="411">
        <f t="shared" si="30"/>
        <v>0</v>
      </c>
      <c r="T238" s="411">
        <f t="shared" si="31"/>
        <v>0</v>
      </c>
    </row>
    <row r="239" spans="1:20" ht="16.5" thickBot="1">
      <c r="A239" s="72" t="str">
        <f>IF('Sch2a-Imp Price by ECM'!B240="","",'Sch2a-Imp Price by ECM'!B240)</f>
        <v/>
      </c>
      <c r="B239" s="139" t="str">
        <f>IF('Sch2a-Imp Price by ECM'!D240="","",'Sch2a-Imp Price by ECM'!D240)</f>
        <v/>
      </c>
      <c r="C239" s="414" t="s">
        <v>430</v>
      </c>
      <c r="D239" s="410">
        <f>'Sch4-Cost Savings by ECM'!P239</f>
        <v>0</v>
      </c>
      <c r="E239" s="410">
        <f>VLOOKUP(C239,'eGRID subregion name'!$A$2:$N$30,8,0)</f>
        <v>189.83531623683197</v>
      </c>
      <c r="F239" s="410">
        <f t="shared" si="32"/>
        <v>0</v>
      </c>
      <c r="G239" s="411">
        <f>'Sch4-Cost Savings by ECM'!T239</f>
        <v>0</v>
      </c>
      <c r="H239" s="411">
        <f>VLOOKUP("Natural Gas", 'GHG Emissions'!$D$2:$M$66,4,FALSE)+VLOOKUP("Natural Gas", 'GHG Emissions'!$D$2:$M$66,6,FALSE)*'eGRID subregion name'!$P$3+VLOOKUP("Natural Gas", 'GHG Emissions'!$D$2:$M$66,8,FALSE)*'eGRID subregion name'!$P$4</f>
        <v>53.114800000000002</v>
      </c>
      <c r="I239" s="411">
        <f t="shared" si="26"/>
        <v>0</v>
      </c>
      <c r="J239" s="411">
        <f>'Sch4-Cost Savings by ECM'!V239</f>
        <v>0</v>
      </c>
      <c r="K23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9" s="411">
        <f t="shared" si="27"/>
        <v>0</v>
      </c>
      <c r="M239" s="411">
        <f>'Sch4-Cost Savings by ECM'!X239</f>
        <v>0</v>
      </c>
      <c r="N23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9" s="411">
        <f t="shared" si="28"/>
        <v>0</v>
      </c>
      <c r="P239" s="413">
        <f t="shared" si="25"/>
        <v>0</v>
      </c>
      <c r="Q239" s="411">
        <f>'Sch4-Cost Savings by ECM'!AB239</f>
        <v>0</v>
      </c>
      <c r="R239" s="411">
        <f t="shared" si="29"/>
        <v>0</v>
      </c>
      <c r="S239" s="411">
        <f t="shared" si="30"/>
        <v>0</v>
      </c>
      <c r="T239" s="411">
        <f t="shared" si="31"/>
        <v>0</v>
      </c>
    </row>
    <row r="240" spans="1:20" ht="16.5" thickBot="1">
      <c r="A240" s="72" t="str">
        <f>IF('Sch2a-Imp Price by ECM'!B241="","",'Sch2a-Imp Price by ECM'!B241)</f>
        <v/>
      </c>
      <c r="B240" s="139" t="str">
        <f>IF('Sch2a-Imp Price by ECM'!D241="","",'Sch2a-Imp Price by ECM'!D241)</f>
        <v/>
      </c>
      <c r="C240" s="414" t="s">
        <v>430</v>
      </c>
      <c r="D240" s="410">
        <f>'Sch4-Cost Savings by ECM'!P240</f>
        <v>0</v>
      </c>
      <c r="E240" s="410">
        <f>VLOOKUP(C240,'eGRID subregion name'!$A$2:$N$30,8,0)</f>
        <v>189.83531623683197</v>
      </c>
      <c r="F240" s="410">
        <f t="shared" si="32"/>
        <v>0</v>
      </c>
      <c r="G240" s="411">
        <f>'Sch4-Cost Savings by ECM'!T240</f>
        <v>0</v>
      </c>
      <c r="H240" s="411">
        <f>VLOOKUP("Natural Gas", 'GHG Emissions'!$D$2:$M$66,4,FALSE)+VLOOKUP("Natural Gas", 'GHG Emissions'!$D$2:$M$66,6,FALSE)*'eGRID subregion name'!$P$3+VLOOKUP("Natural Gas", 'GHG Emissions'!$D$2:$M$66,8,FALSE)*'eGRID subregion name'!$P$4</f>
        <v>53.114800000000002</v>
      </c>
      <c r="I240" s="411">
        <f t="shared" si="26"/>
        <v>0</v>
      </c>
      <c r="J240" s="411">
        <f>'Sch4-Cost Savings by ECM'!V240</f>
        <v>0</v>
      </c>
      <c r="K24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0" s="411">
        <f t="shared" si="27"/>
        <v>0</v>
      </c>
      <c r="M240" s="411">
        <f>'Sch4-Cost Savings by ECM'!X240</f>
        <v>0</v>
      </c>
      <c r="N24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0" s="411">
        <f t="shared" si="28"/>
        <v>0</v>
      </c>
      <c r="P240" s="413">
        <f t="shared" si="25"/>
        <v>0</v>
      </c>
      <c r="Q240" s="411">
        <f>'Sch4-Cost Savings by ECM'!AB240</f>
        <v>0</v>
      </c>
      <c r="R240" s="411">
        <f t="shared" si="29"/>
        <v>0</v>
      </c>
      <c r="S240" s="411">
        <f t="shared" si="30"/>
        <v>0</v>
      </c>
      <c r="T240" s="411">
        <f t="shared" si="31"/>
        <v>0</v>
      </c>
    </row>
    <row r="241" spans="1:20" ht="16.5" thickBot="1">
      <c r="A241" s="72" t="str">
        <f>IF('Sch2a-Imp Price by ECM'!B242="","",'Sch2a-Imp Price by ECM'!B242)</f>
        <v/>
      </c>
      <c r="B241" s="139" t="str">
        <f>IF('Sch2a-Imp Price by ECM'!D242="","",'Sch2a-Imp Price by ECM'!D242)</f>
        <v/>
      </c>
      <c r="C241" s="414" t="s">
        <v>430</v>
      </c>
      <c r="D241" s="410">
        <f>'Sch4-Cost Savings by ECM'!P241</f>
        <v>0</v>
      </c>
      <c r="E241" s="410">
        <f>VLOOKUP(C241,'eGRID subregion name'!$A$2:$N$30,8,0)</f>
        <v>189.83531623683197</v>
      </c>
      <c r="F241" s="410">
        <f t="shared" si="32"/>
        <v>0</v>
      </c>
      <c r="G241" s="411">
        <f>'Sch4-Cost Savings by ECM'!T241</f>
        <v>0</v>
      </c>
      <c r="H241" s="411">
        <f>VLOOKUP("Natural Gas", 'GHG Emissions'!$D$2:$M$66,4,FALSE)+VLOOKUP("Natural Gas", 'GHG Emissions'!$D$2:$M$66,6,FALSE)*'eGRID subregion name'!$P$3+VLOOKUP("Natural Gas", 'GHG Emissions'!$D$2:$M$66,8,FALSE)*'eGRID subregion name'!$P$4</f>
        <v>53.114800000000002</v>
      </c>
      <c r="I241" s="411">
        <f t="shared" si="26"/>
        <v>0</v>
      </c>
      <c r="J241" s="411">
        <f>'Sch4-Cost Savings by ECM'!V241</f>
        <v>0</v>
      </c>
      <c r="K24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1" s="411">
        <f t="shared" si="27"/>
        <v>0</v>
      </c>
      <c r="M241" s="411">
        <f>'Sch4-Cost Savings by ECM'!X241</f>
        <v>0</v>
      </c>
      <c r="N24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1" s="411">
        <f t="shared" si="28"/>
        <v>0</v>
      </c>
      <c r="P241" s="413">
        <f t="shared" si="25"/>
        <v>0</v>
      </c>
      <c r="Q241" s="411">
        <f>'Sch4-Cost Savings by ECM'!AB241</f>
        <v>0</v>
      </c>
      <c r="R241" s="411">
        <f t="shared" si="29"/>
        <v>0</v>
      </c>
      <c r="S241" s="411">
        <f t="shared" si="30"/>
        <v>0</v>
      </c>
      <c r="T241" s="411">
        <f t="shared" si="31"/>
        <v>0</v>
      </c>
    </row>
    <row r="242" spans="1:20" ht="16.5" thickBot="1">
      <c r="A242" s="72" t="str">
        <f>IF('Sch2a-Imp Price by ECM'!B243="","",'Sch2a-Imp Price by ECM'!B243)</f>
        <v/>
      </c>
      <c r="B242" s="139" t="str">
        <f>IF('Sch2a-Imp Price by ECM'!D243="","",'Sch2a-Imp Price by ECM'!D243)</f>
        <v/>
      </c>
      <c r="C242" s="414" t="s">
        <v>430</v>
      </c>
      <c r="D242" s="410">
        <f>'Sch4-Cost Savings by ECM'!P242</f>
        <v>0</v>
      </c>
      <c r="E242" s="410">
        <f>VLOOKUP(C242,'eGRID subregion name'!$A$2:$N$30,8,0)</f>
        <v>189.83531623683197</v>
      </c>
      <c r="F242" s="410">
        <f t="shared" si="32"/>
        <v>0</v>
      </c>
      <c r="G242" s="411">
        <f>'Sch4-Cost Savings by ECM'!T242</f>
        <v>0</v>
      </c>
      <c r="H242" s="411">
        <f>VLOOKUP("Natural Gas", 'GHG Emissions'!$D$2:$M$66,4,FALSE)+VLOOKUP("Natural Gas", 'GHG Emissions'!$D$2:$M$66,6,FALSE)*'eGRID subregion name'!$P$3+VLOOKUP("Natural Gas", 'GHG Emissions'!$D$2:$M$66,8,FALSE)*'eGRID subregion name'!$P$4</f>
        <v>53.114800000000002</v>
      </c>
      <c r="I242" s="411">
        <f t="shared" si="26"/>
        <v>0</v>
      </c>
      <c r="J242" s="411">
        <f>'Sch4-Cost Savings by ECM'!V242</f>
        <v>0</v>
      </c>
      <c r="K24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2" s="411">
        <f t="shared" si="27"/>
        <v>0</v>
      </c>
      <c r="M242" s="411">
        <f>'Sch4-Cost Savings by ECM'!X242</f>
        <v>0</v>
      </c>
      <c r="N24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2" s="411">
        <f t="shared" si="28"/>
        <v>0</v>
      </c>
      <c r="P242" s="413">
        <f t="shared" si="25"/>
        <v>0</v>
      </c>
      <c r="Q242" s="411">
        <f>'Sch4-Cost Savings by ECM'!AB242</f>
        <v>0</v>
      </c>
      <c r="R242" s="411">
        <f t="shared" si="29"/>
        <v>0</v>
      </c>
      <c r="S242" s="411">
        <f t="shared" si="30"/>
        <v>0</v>
      </c>
      <c r="T242" s="411">
        <f t="shared" si="31"/>
        <v>0</v>
      </c>
    </row>
    <row r="243" spans="1:20" ht="16.5" thickBot="1">
      <c r="A243" s="72" t="str">
        <f>IF('Sch2a-Imp Price by ECM'!B244="","",'Sch2a-Imp Price by ECM'!B244)</f>
        <v/>
      </c>
      <c r="B243" s="139" t="str">
        <f>IF('Sch2a-Imp Price by ECM'!D244="","",'Sch2a-Imp Price by ECM'!D244)</f>
        <v/>
      </c>
      <c r="C243" s="414" t="s">
        <v>430</v>
      </c>
      <c r="D243" s="410">
        <f>'Sch4-Cost Savings by ECM'!P243</f>
        <v>0</v>
      </c>
      <c r="E243" s="410">
        <f>VLOOKUP(C243,'eGRID subregion name'!$A$2:$N$30,8,0)</f>
        <v>189.83531623683197</v>
      </c>
      <c r="F243" s="410">
        <f t="shared" si="32"/>
        <v>0</v>
      </c>
      <c r="G243" s="411">
        <f>'Sch4-Cost Savings by ECM'!T243</f>
        <v>0</v>
      </c>
      <c r="H243" s="411">
        <f>VLOOKUP("Natural Gas", 'GHG Emissions'!$D$2:$M$66,4,FALSE)+VLOOKUP("Natural Gas", 'GHG Emissions'!$D$2:$M$66,6,FALSE)*'eGRID subregion name'!$P$3+VLOOKUP("Natural Gas", 'GHG Emissions'!$D$2:$M$66,8,FALSE)*'eGRID subregion name'!$P$4</f>
        <v>53.114800000000002</v>
      </c>
      <c r="I243" s="411">
        <f t="shared" si="26"/>
        <v>0</v>
      </c>
      <c r="J243" s="411">
        <f>'Sch4-Cost Savings by ECM'!V243</f>
        <v>0</v>
      </c>
      <c r="K24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3" s="411">
        <f t="shared" si="27"/>
        <v>0</v>
      </c>
      <c r="M243" s="411">
        <f>'Sch4-Cost Savings by ECM'!X243</f>
        <v>0</v>
      </c>
      <c r="N24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3" s="411">
        <f t="shared" si="28"/>
        <v>0</v>
      </c>
      <c r="P243" s="413">
        <f t="shared" si="25"/>
        <v>0</v>
      </c>
      <c r="Q243" s="411">
        <f>'Sch4-Cost Savings by ECM'!AB243</f>
        <v>0</v>
      </c>
      <c r="R243" s="411">
        <f t="shared" si="29"/>
        <v>0</v>
      </c>
      <c r="S243" s="411">
        <f t="shared" si="30"/>
        <v>0</v>
      </c>
      <c r="T243" s="411">
        <f t="shared" si="31"/>
        <v>0</v>
      </c>
    </row>
    <row r="244" spans="1:20" ht="18" customHeight="1" thickBot="1">
      <c r="A244" s="72" t="str">
        <f>IF('Sch2a-Imp Price by ECM'!B245="","",'Sch2a-Imp Price by ECM'!B245)</f>
        <v/>
      </c>
      <c r="B244" s="139" t="str">
        <f>IF('Sch2a-Imp Price by ECM'!D245="","",'Sch2a-Imp Price by ECM'!D245)</f>
        <v/>
      </c>
      <c r="C244" s="414" t="s">
        <v>430</v>
      </c>
      <c r="D244" s="410">
        <f>'Sch4-Cost Savings by ECM'!P244</f>
        <v>0</v>
      </c>
      <c r="E244" s="410">
        <f>VLOOKUP(C244,'eGRID subregion name'!$A$2:$N$30,8,0)</f>
        <v>189.83531623683197</v>
      </c>
      <c r="F244" s="410">
        <f t="shared" si="32"/>
        <v>0</v>
      </c>
      <c r="G244" s="411">
        <f>'Sch4-Cost Savings by ECM'!T244</f>
        <v>0</v>
      </c>
      <c r="H244" s="411">
        <f>VLOOKUP("Natural Gas", 'GHG Emissions'!$D$2:$M$66,4,FALSE)+VLOOKUP("Natural Gas", 'GHG Emissions'!$D$2:$M$66,6,FALSE)*'eGRID subregion name'!$P$3+VLOOKUP("Natural Gas", 'GHG Emissions'!$D$2:$M$66,8,FALSE)*'eGRID subregion name'!$P$4</f>
        <v>53.114800000000002</v>
      </c>
      <c r="I244" s="411">
        <f t="shared" si="26"/>
        <v>0</v>
      </c>
      <c r="J244" s="411">
        <f>'Sch4-Cost Savings by ECM'!V244</f>
        <v>0</v>
      </c>
      <c r="K24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4" s="411">
        <f t="shared" si="27"/>
        <v>0</v>
      </c>
      <c r="M244" s="411">
        <f>'Sch4-Cost Savings by ECM'!X244</f>
        <v>0</v>
      </c>
      <c r="N24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4" s="411">
        <f t="shared" si="28"/>
        <v>0</v>
      </c>
      <c r="P244" s="413">
        <f t="shared" si="25"/>
        <v>0</v>
      </c>
      <c r="Q244" s="411">
        <f>'Sch4-Cost Savings by ECM'!AB244</f>
        <v>0</v>
      </c>
      <c r="R244" s="411">
        <f t="shared" si="29"/>
        <v>0</v>
      </c>
      <c r="S244" s="411">
        <f t="shared" si="30"/>
        <v>0</v>
      </c>
      <c r="T244" s="411">
        <f t="shared" si="31"/>
        <v>0</v>
      </c>
    </row>
    <row r="245" spans="1:20" ht="16.5" thickBot="1">
      <c r="A245" s="72" t="str">
        <f>IF('Sch2a-Imp Price by ECM'!B246="","",'Sch2a-Imp Price by ECM'!B246)</f>
        <v/>
      </c>
      <c r="B245" s="139" t="str">
        <f>IF('Sch2a-Imp Price by ECM'!D246="","",'Sch2a-Imp Price by ECM'!D246)</f>
        <v/>
      </c>
      <c r="C245" s="414" t="s">
        <v>430</v>
      </c>
      <c r="D245" s="410">
        <f>'Sch4-Cost Savings by ECM'!P245</f>
        <v>0</v>
      </c>
      <c r="E245" s="410">
        <f>VLOOKUP(C245,'eGRID subregion name'!$A$2:$N$30,8,0)</f>
        <v>189.83531623683197</v>
      </c>
      <c r="F245" s="410">
        <f t="shared" si="32"/>
        <v>0</v>
      </c>
      <c r="G245" s="411">
        <f>'Sch4-Cost Savings by ECM'!T245</f>
        <v>0</v>
      </c>
      <c r="H245" s="411">
        <f>VLOOKUP("Natural Gas", 'GHG Emissions'!$D$2:$M$66,4,FALSE)+VLOOKUP("Natural Gas", 'GHG Emissions'!$D$2:$M$66,6,FALSE)*'eGRID subregion name'!$P$3+VLOOKUP("Natural Gas", 'GHG Emissions'!$D$2:$M$66,8,FALSE)*'eGRID subregion name'!$P$4</f>
        <v>53.114800000000002</v>
      </c>
      <c r="I245" s="411">
        <f t="shared" si="26"/>
        <v>0</v>
      </c>
      <c r="J245" s="411">
        <f>'Sch4-Cost Savings by ECM'!V245</f>
        <v>0</v>
      </c>
      <c r="K24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5" s="411">
        <f t="shared" si="27"/>
        <v>0</v>
      </c>
      <c r="M245" s="411">
        <f>'Sch4-Cost Savings by ECM'!X245</f>
        <v>0</v>
      </c>
      <c r="N24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5" s="411">
        <f t="shared" si="28"/>
        <v>0</v>
      </c>
      <c r="P245" s="413">
        <f t="shared" si="25"/>
        <v>0</v>
      </c>
      <c r="Q245" s="411">
        <f>'Sch4-Cost Savings by ECM'!AB245</f>
        <v>0</v>
      </c>
      <c r="R245" s="411">
        <f t="shared" si="29"/>
        <v>0</v>
      </c>
      <c r="S245" s="411">
        <f t="shared" si="30"/>
        <v>0</v>
      </c>
      <c r="T245" s="411">
        <f t="shared" si="31"/>
        <v>0</v>
      </c>
    </row>
    <row r="246" spans="1:20" ht="16.5" thickBot="1">
      <c r="A246" s="72" t="str">
        <f>IF('Sch2a-Imp Price by ECM'!B247="","",'Sch2a-Imp Price by ECM'!B247)</f>
        <v/>
      </c>
      <c r="B246" s="139" t="str">
        <f>IF('Sch2a-Imp Price by ECM'!D247="","",'Sch2a-Imp Price by ECM'!D247)</f>
        <v/>
      </c>
      <c r="C246" s="414" t="s">
        <v>430</v>
      </c>
      <c r="D246" s="410">
        <f>'Sch4-Cost Savings by ECM'!P246</f>
        <v>0</v>
      </c>
      <c r="E246" s="410">
        <f>VLOOKUP(C246,'eGRID subregion name'!$A$2:$N$30,8,0)</f>
        <v>189.83531623683197</v>
      </c>
      <c r="F246" s="410">
        <f t="shared" si="32"/>
        <v>0</v>
      </c>
      <c r="G246" s="411">
        <f>'Sch4-Cost Savings by ECM'!T246</f>
        <v>0</v>
      </c>
      <c r="H246" s="411">
        <f>VLOOKUP("Natural Gas", 'GHG Emissions'!$D$2:$M$66,4,FALSE)+VLOOKUP("Natural Gas", 'GHG Emissions'!$D$2:$M$66,6,FALSE)*'eGRID subregion name'!$P$3+VLOOKUP("Natural Gas", 'GHG Emissions'!$D$2:$M$66,8,FALSE)*'eGRID subregion name'!$P$4</f>
        <v>53.114800000000002</v>
      </c>
      <c r="I246" s="411">
        <f t="shared" si="26"/>
        <v>0</v>
      </c>
      <c r="J246" s="411">
        <f>'Sch4-Cost Savings by ECM'!V246</f>
        <v>0</v>
      </c>
      <c r="K24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6" s="411">
        <f t="shared" si="27"/>
        <v>0</v>
      </c>
      <c r="M246" s="411">
        <f>'Sch4-Cost Savings by ECM'!X246</f>
        <v>0</v>
      </c>
      <c r="N24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6" s="411">
        <f t="shared" si="28"/>
        <v>0</v>
      </c>
      <c r="P246" s="413">
        <f t="shared" si="25"/>
        <v>0</v>
      </c>
      <c r="Q246" s="411">
        <f>'Sch4-Cost Savings by ECM'!AB246</f>
        <v>0</v>
      </c>
      <c r="R246" s="411">
        <f t="shared" si="29"/>
        <v>0</v>
      </c>
      <c r="S246" s="411">
        <f t="shared" si="30"/>
        <v>0</v>
      </c>
      <c r="T246" s="411">
        <f t="shared" si="31"/>
        <v>0</v>
      </c>
    </row>
    <row r="247" spans="1:20" ht="16.5" thickBot="1">
      <c r="A247" s="72" t="str">
        <f>IF('Sch2a-Imp Price by ECM'!B248="","",'Sch2a-Imp Price by ECM'!B248)</f>
        <v/>
      </c>
      <c r="B247" s="139" t="str">
        <f>IF('Sch2a-Imp Price by ECM'!D248="","",'Sch2a-Imp Price by ECM'!D248)</f>
        <v/>
      </c>
      <c r="C247" s="414" t="s">
        <v>430</v>
      </c>
      <c r="D247" s="410">
        <f>'Sch4-Cost Savings by ECM'!P247</f>
        <v>0</v>
      </c>
      <c r="E247" s="410">
        <f>VLOOKUP(C247,'eGRID subregion name'!$A$2:$N$30,8,0)</f>
        <v>189.83531623683197</v>
      </c>
      <c r="F247" s="410">
        <f t="shared" si="32"/>
        <v>0</v>
      </c>
      <c r="G247" s="411">
        <f>'Sch4-Cost Savings by ECM'!T247</f>
        <v>0</v>
      </c>
      <c r="H247" s="411">
        <f>VLOOKUP("Natural Gas", 'GHG Emissions'!$D$2:$M$66,4,FALSE)+VLOOKUP("Natural Gas", 'GHG Emissions'!$D$2:$M$66,6,FALSE)*'eGRID subregion name'!$P$3+VLOOKUP("Natural Gas", 'GHG Emissions'!$D$2:$M$66,8,FALSE)*'eGRID subregion name'!$P$4</f>
        <v>53.114800000000002</v>
      </c>
      <c r="I247" s="411">
        <f t="shared" si="26"/>
        <v>0</v>
      </c>
      <c r="J247" s="411">
        <f>'Sch4-Cost Savings by ECM'!V247</f>
        <v>0</v>
      </c>
      <c r="K24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7" s="411">
        <f t="shared" si="27"/>
        <v>0</v>
      </c>
      <c r="M247" s="411">
        <f>'Sch4-Cost Savings by ECM'!X247</f>
        <v>0</v>
      </c>
      <c r="N24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7" s="411">
        <f t="shared" si="28"/>
        <v>0</v>
      </c>
      <c r="P247" s="413">
        <f t="shared" si="25"/>
        <v>0</v>
      </c>
      <c r="Q247" s="411">
        <f>'Sch4-Cost Savings by ECM'!AB247</f>
        <v>0</v>
      </c>
      <c r="R247" s="411">
        <f t="shared" si="29"/>
        <v>0</v>
      </c>
      <c r="S247" s="411">
        <f t="shared" si="30"/>
        <v>0</v>
      </c>
      <c r="T247" s="411">
        <f t="shared" si="31"/>
        <v>0</v>
      </c>
    </row>
    <row r="248" spans="1:20" ht="16.5" thickBot="1">
      <c r="A248" s="72" t="str">
        <f>IF('Sch2a-Imp Price by ECM'!B249="","",'Sch2a-Imp Price by ECM'!B249)</f>
        <v/>
      </c>
      <c r="B248" s="139" t="str">
        <f>IF('Sch2a-Imp Price by ECM'!D249="","",'Sch2a-Imp Price by ECM'!D249)</f>
        <v/>
      </c>
      <c r="C248" s="414" t="s">
        <v>430</v>
      </c>
      <c r="D248" s="410">
        <f>'Sch4-Cost Savings by ECM'!P248</f>
        <v>0</v>
      </c>
      <c r="E248" s="410">
        <f>VLOOKUP(C248,'eGRID subregion name'!$A$2:$N$30,8,0)</f>
        <v>189.83531623683197</v>
      </c>
      <c r="F248" s="410">
        <f t="shared" si="32"/>
        <v>0</v>
      </c>
      <c r="G248" s="411">
        <f>'Sch4-Cost Savings by ECM'!T248</f>
        <v>0</v>
      </c>
      <c r="H248" s="411">
        <f>VLOOKUP("Natural Gas", 'GHG Emissions'!$D$2:$M$66,4,FALSE)+VLOOKUP("Natural Gas", 'GHG Emissions'!$D$2:$M$66,6,FALSE)*'eGRID subregion name'!$P$3+VLOOKUP("Natural Gas", 'GHG Emissions'!$D$2:$M$66,8,FALSE)*'eGRID subregion name'!$P$4</f>
        <v>53.114800000000002</v>
      </c>
      <c r="I248" s="411">
        <f t="shared" si="26"/>
        <v>0</v>
      </c>
      <c r="J248" s="411">
        <f>'Sch4-Cost Savings by ECM'!V248</f>
        <v>0</v>
      </c>
      <c r="K248"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8" s="411">
        <f t="shared" si="27"/>
        <v>0</v>
      </c>
      <c r="M248" s="411">
        <f>'Sch4-Cost Savings by ECM'!X248</f>
        <v>0</v>
      </c>
      <c r="N248"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8" s="411">
        <f t="shared" si="28"/>
        <v>0</v>
      </c>
      <c r="P248" s="413">
        <f t="shared" si="25"/>
        <v>0</v>
      </c>
      <c r="Q248" s="411">
        <f>'Sch4-Cost Savings by ECM'!AB248</f>
        <v>0</v>
      </c>
      <c r="R248" s="411">
        <f t="shared" si="29"/>
        <v>0</v>
      </c>
      <c r="S248" s="411">
        <f t="shared" si="30"/>
        <v>0</v>
      </c>
      <c r="T248" s="411">
        <f t="shared" si="31"/>
        <v>0</v>
      </c>
    </row>
    <row r="249" spans="1:20" ht="16.5" thickBot="1">
      <c r="A249" s="72" t="str">
        <f>IF('Sch2a-Imp Price by ECM'!B250="","",'Sch2a-Imp Price by ECM'!B250)</f>
        <v/>
      </c>
      <c r="B249" s="139" t="str">
        <f>IF('Sch2a-Imp Price by ECM'!D250="","",'Sch2a-Imp Price by ECM'!D250)</f>
        <v/>
      </c>
      <c r="C249" s="414" t="s">
        <v>430</v>
      </c>
      <c r="D249" s="410">
        <f>'Sch4-Cost Savings by ECM'!P249</f>
        <v>0</v>
      </c>
      <c r="E249" s="410">
        <f>VLOOKUP(C249,'eGRID subregion name'!$A$2:$N$30,8,0)</f>
        <v>189.83531623683197</v>
      </c>
      <c r="F249" s="410">
        <f t="shared" si="32"/>
        <v>0</v>
      </c>
      <c r="G249" s="411">
        <f>'Sch4-Cost Savings by ECM'!T249</f>
        <v>0</v>
      </c>
      <c r="H249" s="411">
        <f>VLOOKUP("Natural Gas", 'GHG Emissions'!$D$2:$M$66,4,FALSE)+VLOOKUP("Natural Gas", 'GHG Emissions'!$D$2:$M$66,6,FALSE)*'eGRID subregion name'!$P$3+VLOOKUP("Natural Gas", 'GHG Emissions'!$D$2:$M$66,8,FALSE)*'eGRID subregion name'!$P$4</f>
        <v>53.114800000000002</v>
      </c>
      <c r="I249" s="411">
        <f t="shared" si="26"/>
        <v>0</v>
      </c>
      <c r="J249" s="411">
        <f>'Sch4-Cost Savings by ECM'!V249</f>
        <v>0</v>
      </c>
      <c r="K249"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9" s="411">
        <f t="shared" si="27"/>
        <v>0</v>
      </c>
      <c r="M249" s="411">
        <f>'Sch4-Cost Savings by ECM'!X249</f>
        <v>0</v>
      </c>
      <c r="N249"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9" s="411">
        <f t="shared" si="28"/>
        <v>0</v>
      </c>
      <c r="P249" s="413">
        <f t="shared" si="25"/>
        <v>0</v>
      </c>
      <c r="Q249" s="411">
        <f>'Sch4-Cost Savings by ECM'!AB249</f>
        <v>0</v>
      </c>
      <c r="R249" s="411">
        <f t="shared" si="29"/>
        <v>0</v>
      </c>
      <c r="S249" s="411">
        <f t="shared" si="30"/>
        <v>0</v>
      </c>
      <c r="T249" s="411">
        <f t="shared" si="31"/>
        <v>0</v>
      </c>
    </row>
    <row r="250" spans="1:20" ht="16.5" thickBot="1">
      <c r="A250" s="72" t="str">
        <f>IF('Sch2a-Imp Price by ECM'!B251="","",'Sch2a-Imp Price by ECM'!B251)</f>
        <v/>
      </c>
      <c r="B250" s="139" t="str">
        <f>IF('Sch2a-Imp Price by ECM'!D251="","",'Sch2a-Imp Price by ECM'!D251)</f>
        <v/>
      </c>
      <c r="C250" s="414" t="s">
        <v>430</v>
      </c>
      <c r="D250" s="410">
        <f>'Sch4-Cost Savings by ECM'!P250</f>
        <v>0</v>
      </c>
      <c r="E250" s="410">
        <f>VLOOKUP(C250,'eGRID subregion name'!$A$2:$N$30,8,0)</f>
        <v>189.83531623683197</v>
      </c>
      <c r="F250" s="410">
        <f t="shared" si="32"/>
        <v>0</v>
      </c>
      <c r="G250" s="411">
        <f>'Sch4-Cost Savings by ECM'!T250</f>
        <v>0</v>
      </c>
      <c r="H250" s="411">
        <f>VLOOKUP("Natural Gas", 'GHG Emissions'!$D$2:$M$66,4,FALSE)+VLOOKUP("Natural Gas", 'GHG Emissions'!$D$2:$M$66,6,FALSE)*'eGRID subregion name'!$P$3+VLOOKUP("Natural Gas", 'GHG Emissions'!$D$2:$M$66,8,FALSE)*'eGRID subregion name'!$P$4</f>
        <v>53.114800000000002</v>
      </c>
      <c r="I250" s="411">
        <f t="shared" si="26"/>
        <v>0</v>
      </c>
      <c r="J250" s="411">
        <f>'Sch4-Cost Savings by ECM'!V250</f>
        <v>0</v>
      </c>
      <c r="K250"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0" s="411">
        <f t="shared" si="27"/>
        <v>0</v>
      </c>
      <c r="M250" s="411">
        <f>'Sch4-Cost Savings by ECM'!X250</f>
        <v>0</v>
      </c>
      <c r="N250"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0" s="411">
        <f t="shared" si="28"/>
        <v>0</v>
      </c>
      <c r="P250" s="413">
        <f t="shared" si="25"/>
        <v>0</v>
      </c>
      <c r="Q250" s="411">
        <f>'Sch4-Cost Savings by ECM'!AB250</f>
        <v>0</v>
      </c>
      <c r="R250" s="411">
        <f t="shared" si="29"/>
        <v>0</v>
      </c>
      <c r="S250" s="411">
        <f t="shared" si="30"/>
        <v>0</v>
      </c>
      <c r="T250" s="411">
        <f t="shared" si="31"/>
        <v>0</v>
      </c>
    </row>
    <row r="251" spans="1:20" ht="16.5" thickBot="1">
      <c r="A251" s="72" t="str">
        <f>IF('Sch2a-Imp Price by ECM'!B252="","",'Sch2a-Imp Price by ECM'!B252)</f>
        <v/>
      </c>
      <c r="B251" s="139" t="str">
        <f>IF('Sch2a-Imp Price by ECM'!D252="","",'Sch2a-Imp Price by ECM'!D252)</f>
        <v/>
      </c>
      <c r="C251" s="414" t="s">
        <v>430</v>
      </c>
      <c r="D251" s="410">
        <f>'Sch4-Cost Savings by ECM'!P251</f>
        <v>0</v>
      </c>
      <c r="E251" s="410">
        <f>VLOOKUP(C251,'eGRID subregion name'!$A$2:$N$30,8,0)</f>
        <v>189.83531623683197</v>
      </c>
      <c r="F251" s="410">
        <f t="shared" si="32"/>
        <v>0</v>
      </c>
      <c r="G251" s="411">
        <f>'Sch4-Cost Savings by ECM'!T251</f>
        <v>0</v>
      </c>
      <c r="H251" s="411">
        <f>VLOOKUP("Natural Gas", 'GHG Emissions'!$D$2:$M$66,4,FALSE)+VLOOKUP("Natural Gas", 'GHG Emissions'!$D$2:$M$66,6,FALSE)*'eGRID subregion name'!$P$3+VLOOKUP("Natural Gas", 'GHG Emissions'!$D$2:$M$66,8,FALSE)*'eGRID subregion name'!$P$4</f>
        <v>53.114800000000002</v>
      </c>
      <c r="I251" s="411">
        <f t="shared" si="26"/>
        <v>0</v>
      </c>
      <c r="J251" s="411">
        <f>'Sch4-Cost Savings by ECM'!V251</f>
        <v>0</v>
      </c>
      <c r="K251"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1" s="411">
        <f t="shared" si="27"/>
        <v>0</v>
      </c>
      <c r="M251" s="411">
        <f>'Sch4-Cost Savings by ECM'!X251</f>
        <v>0</v>
      </c>
      <c r="N251"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1" s="411">
        <f t="shared" si="28"/>
        <v>0</v>
      </c>
      <c r="P251" s="413">
        <f t="shared" si="25"/>
        <v>0</v>
      </c>
      <c r="Q251" s="411">
        <f>'Sch4-Cost Savings by ECM'!AB251</f>
        <v>0</v>
      </c>
      <c r="R251" s="411">
        <f t="shared" si="29"/>
        <v>0</v>
      </c>
      <c r="S251" s="411">
        <f t="shared" si="30"/>
        <v>0</v>
      </c>
      <c r="T251" s="411">
        <f t="shared" si="31"/>
        <v>0</v>
      </c>
    </row>
    <row r="252" spans="1:20" ht="16.5" thickBot="1">
      <c r="A252" s="72" t="str">
        <f>IF('Sch2a-Imp Price by ECM'!B253="","",'Sch2a-Imp Price by ECM'!B253)</f>
        <v/>
      </c>
      <c r="B252" s="139" t="str">
        <f>IF('Sch2a-Imp Price by ECM'!D253="","",'Sch2a-Imp Price by ECM'!D253)</f>
        <v/>
      </c>
      <c r="C252" s="414" t="s">
        <v>430</v>
      </c>
      <c r="D252" s="410">
        <f>'Sch4-Cost Savings by ECM'!P252</f>
        <v>0</v>
      </c>
      <c r="E252" s="410">
        <f>VLOOKUP(C252,'eGRID subregion name'!$A$2:$N$30,8,0)</f>
        <v>189.83531623683197</v>
      </c>
      <c r="F252" s="410">
        <f t="shared" si="32"/>
        <v>0</v>
      </c>
      <c r="G252" s="411">
        <f>'Sch4-Cost Savings by ECM'!T252</f>
        <v>0</v>
      </c>
      <c r="H252" s="411">
        <f>VLOOKUP("Natural Gas", 'GHG Emissions'!$D$2:$M$66,4,FALSE)+VLOOKUP("Natural Gas", 'GHG Emissions'!$D$2:$M$66,6,FALSE)*'eGRID subregion name'!$P$3+VLOOKUP("Natural Gas", 'GHG Emissions'!$D$2:$M$66,8,FALSE)*'eGRID subregion name'!$P$4</f>
        <v>53.114800000000002</v>
      </c>
      <c r="I252" s="411">
        <f t="shared" si="26"/>
        <v>0</v>
      </c>
      <c r="J252" s="411">
        <f>'Sch4-Cost Savings by ECM'!V252</f>
        <v>0</v>
      </c>
      <c r="K252"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2" s="411">
        <f t="shared" si="27"/>
        <v>0</v>
      </c>
      <c r="M252" s="411">
        <f>'Sch4-Cost Savings by ECM'!X252</f>
        <v>0</v>
      </c>
      <c r="N252"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2" s="411">
        <f t="shared" si="28"/>
        <v>0</v>
      </c>
      <c r="P252" s="413">
        <f t="shared" si="25"/>
        <v>0</v>
      </c>
      <c r="Q252" s="411">
        <f>'Sch4-Cost Savings by ECM'!AB252</f>
        <v>0</v>
      </c>
      <c r="R252" s="411">
        <f t="shared" si="29"/>
        <v>0</v>
      </c>
      <c r="S252" s="411">
        <f t="shared" si="30"/>
        <v>0</v>
      </c>
      <c r="T252" s="411">
        <f t="shared" si="31"/>
        <v>0</v>
      </c>
    </row>
    <row r="253" spans="1:20" ht="16.5" thickBot="1">
      <c r="A253" s="72" t="str">
        <f>IF('Sch2a-Imp Price by ECM'!B254="","",'Sch2a-Imp Price by ECM'!B254)</f>
        <v/>
      </c>
      <c r="B253" s="139" t="str">
        <f>IF('Sch2a-Imp Price by ECM'!D254="","",'Sch2a-Imp Price by ECM'!D254)</f>
        <v/>
      </c>
      <c r="C253" s="414" t="s">
        <v>430</v>
      </c>
      <c r="D253" s="410">
        <f>'Sch4-Cost Savings by ECM'!P253</f>
        <v>0</v>
      </c>
      <c r="E253" s="410">
        <f>VLOOKUP(C253,'eGRID subregion name'!$A$2:$N$30,8,0)</f>
        <v>189.83531623683197</v>
      </c>
      <c r="F253" s="410">
        <f t="shared" si="32"/>
        <v>0</v>
      </c>
      <c r="G253" s="411">
        <f>'Sch4-Cost Savings by ECM'!T253</f>
        <v>0</v>
      </c>
      <c r="H253" s="411">
        <f>VLOOKUP("Natural Gas", 'GHG Emissions'!$D$2:$M$66,4,FALSE)+VLOOKUP("Natural Gas", 'GHG Emissions'!$D$2:$M$66,6,FALSE)*'eGRID subregion name'!$P$3+VLOOKUP("Natural Gas", 'GHG Emissions'!$D$2:$M$66,8,FALSE)*'eGRID subregion name'!$P$4</f>
        <v>53.114800000000002</v>
      </c>
      <c r="I253" s="411">
        <f t="shared" si="26"/>
        <v>0</v>
      </c>
      <c r="J253" s="411">
        <f>'Sch4-Cost Savings by ECM'!V253</f>
        <v>0</v>
      </c>
      <c r="K253"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3" s="411">
        <f t="shared" si="27"/>
        <v>0</v>
      </c>
      <c r="M253" s="411">
        <f>'Sch4-Cost Savings by ECM'!X253</f>
        <v>0</v>
      </c>
      <c r="N253"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3" s="411">
        <f t="shared" si="28"/>
        <v>0</v>
      </c>
      <c r="P253" s="413">
        <f t="shared" si="25"/>
        <v>0</v>
      </c>
      <c r="Q253" s="411">
        <f>'Sch4-Cost Savings by ECM'!AB253</f>
        <v>0</v>
      </c>
      <c r="R253" s="411">
        <f t="shared" si="29"/>
        <v>0</v>
      </c>
      <c r="S253" s="411">
        <f t="shared" si="30"/>
        <v>0</v>
      </c>
      <c r="T253" s="411">
        <f t="shared" si="31"/>
        <v>0</v>
      </c>
    </row>
    <row r="254" spans="1:20" ht="16.5" thickBot="1">
      <c r="A254" s="72" t="str">
        <f>IF('Sch2a-Imp Price by ECM'!B255="","",'Sch2a-Imp Price by ECM'!B255)</f>
        <v/>
      </c>
      <c r="B254" s="139" t="str">
        <f>IF('Sch2a-Imp Price by ECM'!D255="","",'Sch2a-Imp Price by ECM'!D255)</f>
        <v/>
      </c>
      <c r="C254" s="414" t="s">
        <v>430</v>
      </c>
      <c r="D254" s="410">
        <f>'Sch4-Cost Savings by ECM'!P254</f>
        <v>0</v>
      </c>
      <c r="E254" s="410">
        <f>VLOOKUP(C254,'eGRID subregion name'!$A$2:$N$30,8,0)</f>
        <v>189.83531623683197</v>
      </c>
      <c r="F254" s="410">
        <f t="shared" si="32"/>
        <v>0</v>
      </c>
      <c r="G254" s="411">
        <f>'Sch4-Cost Savings by ECM'!T254</f>
        <v>0</v>
      </c>
      <c r="H254" s="411">
        <f>VLOOKUP("Natural Gas", 'GHG Emissions'!$D$2:$M$66,4,FALSE)+VLOOKUP("Natural Gas", 'GHG Emissions'!$D$2:$M$66,6,FALSE)*'eGRID subregion name'!$P$3+VLOOKUP("Natural Gas", 'GHG Emissions'!$D$2:$M$66,8,FALSE)*'eGRID subregion name'!$P$4</f>
        <v>53.114800000000002</v>
      </c>
      <c r="I254" s="411">
        <f t="shared" si="26"/>
        <v>0</v>
      </c>
      <c r="J254" s="411">
        <f>'Sch4-Cost Savings by ECM'!V254</f>
        <v>0</v>
      </c>
      <c r="K254"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4" s="411">
        <f t="shared" si="27"/>
        <v>0</v>
      </c>
      <c r="M254" s="411">
        <f>'Sch4-Cost Savings by ECM'!X254</f>
        <v>0</v>
      </c>
      <c r="N254"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4" s="411">
        <f t="shared" si="28"/>
        <v>0</v>
      </c>
      <c r="P254" s="413">
        <f t="shared" si="25"/>
        <v>0</v>
      </c>
      <c r="Q254" s="411">
        <f>'Sch4-Cost Savings by ECM'!AB254</f>
        <v>0</v>
      </c>
      <c r="R254" s="411">
        <f t="shared" si="29"/>
        <v>0</v>
      </c>
      <c r="S254" s="411">
        <f t="shared" si="30"/>
        <v>0</v>
      </c>
      <c r="T254" s="411">
        <f t="shared" si="31"/>
        <v>0</v>
      </c>
    </row>
    <row r="255" spans="1:20" ht="16.5" thickBot="1">
      <c r="A255" s="72" t="str">
        <f>IF('Sch2a-Imp Price by ECM'!B256="","",'Sch2a-Imp Price by ECM'!B256)</f>
        <v/>
      </c>
      <c r="B255" s="139" t="str">
        <f>IF('Sch2a-Imp Price by ECM'!D256="","",'Sch2a-Imp Price by ECM'!D256)</f>
        <v/>
      </c>
      <c r="C255" s="414" t="s">
        <v>430</v>
      </c>
      <c r="D255" s="410">
        <f>'Sch4-Cost Savings by ECM'!P255</f>
        <v>0</v>
      </c>
      <c r="E255" s="410">
        <f>VLOOKUP(C255,'eGRID subregion name'!$A$2:$N$30,8,0)</f>
        <v>189.83531623683197</v>
      </c>
      <c r="F255" s="410">
        <f t="shared" si="32"/>
        <v>0</v>
      </c>
      <c r="G255" s="411">
        <f>'Sch4-Cost Savings by ECM'!T255</f>
        <v>0</v>
      </c>
      <c r="H255" s="411">
        <f>VLOOKUP("Natural Gas", 'GHG Emissions'!$D$2:$M$66,4,FALSE)+VLOOKUP("Natural Gas", 'GHG Emissions'!$D$2:$M$66,6,FALSE)*'eGRID subregion name'!$P$3+VLOOKUP("Natural Gas", 'GHG Emissions'!$D$2:$M$66,8,FALSE)*'eGRID subregion name'!$P$4</f>
        <v>53.114800000000002</v>
      </c>
      <c r="I255" s="411">
        <f t="shared" si="26"/>
        <v>0</v>
      </c>
      <c r="J255" s="411">
        <f>'Sch4-Cost Savings by ECM'!V255</f>
        <v>0</v>
      </c>
      <c r="K255"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5" s="411">
        <f t="shared" si="27"/>
        <v>0</v>
      </c>
      <c r="M255" s="411">
        <f>'Sch4-Cost Savings by ECM'!X255</f>
        <v>0</v>
      </c>
      <c r="N255"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5" s="411">
        <f t="shared" si="28"/>
        <v>0</v>
      </c>
      <c r="P255" s="413">
        <f t="shared" si="25"/>
        <v>0</v>
      </c>
      <c r="Q255" s="411">
        <f>'Sch4-Cost Savings by ECM'!AB255</f>
        <v>0</v>
      </c>
      <c r="R255" s="411">
        <f t="shared" si="29"/>
        <v>0</v>
      </c>
      <c r="S255" s="411">
        <f t="shared" si="30"/>
        <v>0</v>
      </c>
      <c r="T255" s="411">
        <f t="shared" si="31"/>
        <v>0</v>
      </c>
    </row>
    <row r="256" spans="1:20" ht="16.5" thickBot="1">
      <c r="A256" s="72" t="str">
        <f>IF('Sch2a-Imp Price by ECM'!B257="","",'Sch2a-Imp Price by ECM'!B257)</f>
        <v/>
      </c>
      <c r="B256" s="139" t="str">
        <f>IF('Sch2a-Imp Price by ECM'!D257="","",'Sch2a-Imp Price by ECM'!D257)</f>
        <v/>
      </c>
      <c r="C256" s="414" t="s">
        <v>430</v>
      </c>
      <c r="D256" s="410">
        <f>'Sch4-Cost Savings by ECM'!P256</f>
        <v>0</v>
      </c>
      <c r="E256" s="410">
        <f>VLOOKUP(C256,'eGRID subregion name'!$A$2:$N$30,8,0)</f>
        <v>189.83531623683197</v>
      </c>
      <c r="F256" s="410">
        <f t="shared" si="32"/>
        <v>0</v>
      </c>
      <c r="G256" s="411">
        <f>'Sch4-Cost Savings by ECM'!T256</f>
        <v>0</v>
      </c>
      <c r="H256" s="411">
        <f>VLOOKUP("Natural Gas", 'GHG Emissions'!$D$2:$M$66,4,FALSE)+VLOOKUP("Natural Gas", 'GHG Emissions'!$D$2:$M$66,6,FALSE)*'eGRID subregion name'!$P$3+VLOOKUP("Natural Gas", 'GHG Emissions'!$D$2:$M$66,8,FALSE)*'eGRID subregion name'!$P$4</f>
        <v>53.114800000000002</v>
      </c>
      <c r="I256" s="411">
        <f t="shared" si="26"/>
        <v>0</v>
      </c>
      <c r="J256" s="411">
        <f>'Sch4-Cost Savings by ECM'!V256</f>
        <v>0</v>
      </c>
      <c r="K256"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6" s="411">
        <f t="shared" si="27"/>
        <v>0</v>
      </c>
      <c r="M256" s="411">
        <f>'Sch4-Cost Savings by ECM'!X256</f>
        <v>0</v>
      </c>
      <c r="N256"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6" s="411">
        <f t="shared" si="28"/>
        <v>0</v>
      </c>
      <c r="P256" s="413">
        <f t="shared" si="25"/>
        <v>0</v>
      </c>
      <c r="Q256" s="411">
        <f>'Sch4-Cost Savings by ECM'!AB256</f>
        <v>0</v>
      </c>
      <c r="R256" s="411">
        <f t="shared" si="29"/>
        <v>0</v>
      </c>
      <c r="S256" s="411">
        <f t="shared" si="30"/>
        <v>0</v>
      </c>
      <c r="T256" s="411">
        <f t="shared" si="31"/>
        <v>0</v>
      </c>
    </row>
    <row r="257" spans="1:20" ht="16.5" thickBot="1">
      <c r="A257" s="72" t="str">
        <f>IF('Sch2a-Imp Price by ECM'!B258="","",'Sch2a-Imp Price by ECM'!B258)</f>
        <v/>
      </c>
      <c r="B257" s="139" t="str">
        <f>IF('Sch2a-Imp Price by ECM'!D258="","",'Sch2a-Imp Price by ECM'!D258)</f>
        <v/>
      </c>
      <c r="C257" s="414" t="s">
        <v>430</v>
      </c>
      <c r="D257" s="410">
        <f>'Sch4-Cost Savings by ECM'!P257</f>
        <v>0</v>
      </c>
      <c r="E257" s="410">
        <f>VLOOKUP(C257,'eGRID subregion name'!$A$2:$N$30,8,0)</f>
        <v>189.83531623683197</v>
      </c>
      <c r="F257" s="410">
        <f t="shared" si="32"/>
        <v>0</v>
      </c>
      <c r="G257" s="411">
        <f>'Sch4-Cost Savings by ECM'!T257</f>
        <v>0</v>
      </c>
      <c r="H257" s="411">
        <f>VLOOKUP("Natural Gas", 'GHG Emissions'!$D$2:$M$66,4,FALSE)+VLOOKUP("Natural Gas", 'GHG Emissions'!$D$2:$M$66,6,FALSE)*'eGRID subregion name'!$P$3+VLOOKUP("Natural Gas", 'GHG Emissions'!$D$2:$M$66,8,FALSE)*'eGRID subregion name'!$P$4</f>
        <v>53.114800000000002</v>
      </c>
      <c r="I257" s="411">
        <f t="shared" si="26"/>
        <v>0</v>
      </c>
      <c r="J257" s="411">
        <f>'Sch4-Cost Savings by ECM'!V257</f>
        <v>0</v>
      </c>
      <c r="K257" s="383">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7" s="411">
        <f t="shared" si="27"/>
        <v>0</v>
      </c>
      <c r="M257" s="411">
        <f>'Sch4-Cost Savings by ECM'!X257</f>
        <v>0</v>
      </c>
      <c r="N257" s="383">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7" s="411">
        <f t="shared" si="28"/>
        <v>0</v>
      </c>
      <c r="P257" s="413">
        <f t="shared" si="25"/>
        <v>0</v>
      </c>
      <c r="Q257" s="411">
        <f>'Sch4-Cost Savings by ECM'!AB257</f>
        <v>0</v>
      </c>
      <c r="R257" s="411">
        <f t="shared" si="29"/>
        <v>0</v>
      </c>
      <c r="S257" s="411">
        <f t="shared" si="30"/>
        <v>0</v>
      </c>
      <c r="T257" s="411">
        <f t="shared" si="31"/>
        <v>0</v>
      </c>
    </row>
    <row r="258" spans="1:20" ht="16.5" thickBot="1">
      <c r="A258" s="695" t="s">
        <v>66</v>
      </c>
      <c r="B258" s="696"/>
      <c r="C258" s="696"/>
      <c r="D258" s="412">
        <f>SUMIF('Sch2a-Imp Price by ECM'!$C$9:$C$258,"&lt;&gt;Yes",D8:D257)</f>
        <v>0</v>
      </c>
      <c r="E258" s="412"/>
      <c r="F258" s="412">
        <f>SUM(F8:F257)</f>
        <v>0</v>
      </c>
      <c r="G258" s="412">
        <f>SUMIF('Sch2a-Imp Price by ECM'!$C$9:$C$258,"&lt;&gt;Yes",G8:G257)</f>
        <v>0</v>
      </c>
      <c r="H258" s="412"/>
      <c r="I258" s="412">
        <f>SUM(I8:I257)</f>
        <v>0</v>
      </c>
      <c r="J258" s="412">
        <f>SUMIF('Sch2a-Imp Price by ECM'!$C$9:$C$258,"&lt;&gt;Yes",J8:J257)</f>
        <v>0</v>
      </c>
      <c r="K258" s="384"/>
      <c r="L258" s="412">
        <f>SUM(L8:L257)</f>
        <v>0</v>
      </c>
      <c r="M258" s="412">
        <f>SUMIF('Sch2a-Imp Price by ECM'!$C$9:$C$258,"&lt;&gt;Yes",M8:M257)</f>
        <v>0</v>
      </c>
      <c r="N258" s="384"/>
      <c r="O258" s="412">
        <f>SUM(O8:O257)</f>
        <v>0</v>
      </c>
      <c r="P258" s="412">
        <f>SUMIF('Sch2a-Imp Price by ECM'!$C$9:$C$258,"&lt;&gt;Yes",P8:P257)</f>
        <v>0</v>
      </c>
      <c r="Q258" s="412">
        <f>SUMIF('Sch2a-Imp Price by ECM'!$C$9:$C$258,"&lt;&gt;Yes",Q8:Q257)</f>
        <v>0</v>
      </c>
      <c r="R258" s="412">
        <f t="shared" ref="R258:S258" si="33">SUM(R8:R257)</f>
        <v>0</v>
      </c>
      <c r="S258" s="412">
        <f t="shared" si="33"/>
        <v>0</v>
      </c>
      <c r="T258" s="412">
        <f>SUM(T8:T257)</f>
        <v>0</v>
      </c>
    </row>
    <row r="259" spans="1:20" ht="16.5" thickBot="1">
      <c r="A259" s="385"/>
      <c r="B259" s="386"/>
      <c r="C259" s="386"/>
      <c r="D259" s="387"/>
      <c r="E259" s="387"/>
      <c r="F259" s="387"/>
      <c r="G259" s="388"/>
      <c r="H259" s="388"/>
      <c r="I259" s="388"/>
      <c r="J259" s="388"/>
      <c r="K259" s="388"/>
      <c r="L259" s="388"/>
      <c r="M259" s="389"/>
      <c r="N259" s="389"/>
      <c r="O259" s="389"/>
      <c r="P259" s="389"/>
      <c r="Q259" s="389"/>
      <c r="R259" s="389"/>
      <c r="S259" s="389"/>
      <c r="T259" s="389"/>
    </row>
    <row r="260" spans="1:20">
      <c r="A260" s="709" t="s">
        <v>15</v>
      </c>
      <c r="B260" s="710"/>
      <c r="C260" s="710"/>
      <c r="D260" s="710"/>
      <c r="E260" s="710"/>
      <c r="F260" s="710"/>
      <c r="G260" s="710"/>
      <c r="H260" s="710"/>
      <c r="I260" s="710"/>
      <c r="J260" s="710"/>
      <c r="K260" s="710"/>
      <c r="L260" s="710"/>
      <c r="M260" s="710"/>
      <c r="N260" s="710"/>
      <c r="O260" s="710"/>
      <c r="P260" s="710"/>
      <c r="Q260" s="710"/>
      <c r="R260" s="710"/>
      <c r="S260" s="710"/>
      <c r="T260" s="526"/>
    </row>
    <row r="261" spans="1:20" ht="29" customHeight="1">
      <c r="A261" s="715" t="s">
        <v>431</v>
      </c>
      <c r="B261" s="690"/>
      <c r="C261" s="690"/>
      <c r="D261" s="690"/>
      <c r="E261" s="690"/>
      <c r="F261" s="690"/>
      <c r="G261" s="690"/>
      <c r="H261" s="690"/>
      <c r="I261" s="690"/>
      <c r="J261" s="690"/>
      <c r="K261" s="690"/>
      <c r="L261" s="690"/>
      <c r="M261" s="690"/>
      <c r="N261" s="690"/>
      <c r="O261" s="690"/>
      <c r="P261" s="690"/>
      <c r="Q261" s="690"/>
      <c r="R261" s="690"/>
      <c r="S261" s="690"/>
      <c r="T261" s="555"/>
    </row>
    <row r="262" spans="1:20" ht="17.25" customHeight="1">
      <c r="A262" s="715" t="s">
        <v>383</v>
      </c>
      <c r="B262" s="690"/>
      <c r="C262" s="690"/>
      <c r="D262" s="690"/>
      <c r="E262" s="690"/>
      <c r="F262" s="690"/>
      <c r="G262" s="690"/>
      <c r="H262" s="690"/>
      <c r="I262" s="690"/>
      <c r="J262" s="690"/>
      <c r="K262" s="690"/>
      <c r="L262" s="690"/>
      <c r="M262" s="690"/>
      <c r="N262" s="690"/>
      <c r="O262" s="690"/>
      <c r="P262" s="690"/>
      <c r="Q262" s="690"/>
      <c r="R262" s="690"/>
      <c r="S262" s="690"/>
      <c r="T262" s="555"/>
    </row>
    <row r="263" spans="1:20" ht="17.25" customHeight="1">
      <c r="A263" s="715" t="s">
        <v>320</v>
      </c>
      <c r="B263" s="690"/>
      <c r="C263" s="690"/>
      <c r="D263" s="690"/>
      <c r="E263" s="690"/>
      <c r="F263" s="690"/>
      <c r="G263" s="690"/>
      <c r="H263" s="690"/>
      <c r="I263" s="690"/>
      <c r="J263" s="690"/>
      <c r="K263" s="690"/>
      <c r="L263" s="690"/>
      <c r="M263" s="690"/>
      <c r="N263" s="690"/>
      <c r="O263" s="690"/>
      <c r="P263" s="690"/>
      <c r="Q263" s="690"/>
      <c r="R263" s="690"/>
      <c r="S263" s="690"/>
      <c r="T263" s="555"/>
    </row>
    <row r="264" spans="1:20">
      <c r="A264" s="708" t="s">
        <v>384</v>
      </c>
      <c r="B264" s="693"/>
      <c r="C264" s="693"/>
      <c r="D264" s="693"/>
      <c r="E264" s="693"/>
      <c r="F264" s="693"/>
      <c r="G264" s="693"/>
      <c r="H264" s="693"/>
      <c r="I264" s="693"/>
      <c r="J264" s="693"/>
      <c r="K264" s="693"/>
      <c r="L264" s="693"/>
      <c r="M264" s="693"/>
      <c r="N264" s="693"/>
      <c r="O264" s="693"/>
      <c r="P264" s="693"/>
      <c r="Q264" s="693"/>
      <c r="R264" s="693"/>
      <c r="S264" s="693"/>
      <c r="T264" s="555"/>
    </row>
    <row r="265" spans="1:20">
      <c r="A265" s="708" t="s">
        <v>605</v>
      </c>
      <c r="B265" s="693"/>
      <c r="C265" s="693"/>
      <c r="D265" s="693"/>
      <c r="E265" s="693"/>
      <c r="F265" s="693"/>
      <c r="G265" s="693"/>
      <c r="H265" s="693"/>
      <c r="I265" s="693"/>
      <c r="J265" s="693"/>
      <c r="K265" s="693"/>
      <c r="L265" s="693"/>
      <c r="M265" s="693"/>
      <c r="N265" s="693"/>
      <c r="O265" s="693"/>
      <c r="P265" s="693"/>
      <c r="Q265" s="693"/>
      <c r="R265" s="693"/>
      <c r="S265" s="693"/>
      <c r="T265" s="555"/>
    </row>
    <row r="266" spans="1:20" ht="16.5" thickBot="1">
      <c r="A266" s="715" t="s">
        <v>604</v>
      </c>
      <c r="B266" s="690"/>
      <c r="C266" s="690"/>
      <c r="D266" s="690"/>
      <c r="E266" s="690"/>
      <c r="F266" s="690"/>
      <c r="G266" s="690"/>
      <c r="H266" s="690"/>
      <c r="I266" s="690"/>
      <c r="J266" s="690"/>
      <c r="K266" s="690"/>
      <c r="L266" s="690"/>
      <c r="M266" s="690"/>
      <c r="N266" s="690"/>
      <c r="O266" s="690"/>
      <c r="P266" s="690"/>
      <c r="Q266" s="690"/>
      <c r="R266" s="690"/>
      <c r="S266" s="690"/>
      <c r="T266" s="691"/>
    </row>
    <row r="267" spans="1:20" ht="17" customHeight="1" thickBot="1">
      <c r="A267" s="709" t="s">
        <v>173</v>
      </c>
      <c r="B267" s="710"/>
      <c r="C267" s="710"/>
      <c r="D267" s="710"/>
      <c r="E267" s="710"/>
      <c r="F267" s="710"/>
      <c r="G267" s="710"/>
      <c r="H267" s="710"/>
      <c r="I267" s="710"/>
      <c r="J267" s="710"/>
      <c r="K267" s="710"/>
      <c r="L267" s="710"/>
      <c r="M267" s="710"/>
      <c r="N267" s="710"/>
      <c r="O267" s="710"/>
      <c r="P267" s="710"/>
      <c r="Q267" s="710"/>
      <c r="R267" s="710"/>
      <c r="S267" s="710"/>
      <c r="T267" s="526"/>
    </row>
    <row r="268" spans="1:20" ht="70" customHeight="1" thickBot="1">
      <c r="A268" s="711"/>
      <c r="B268" s="712"/>
      <c r="C268" s="712"/>
      <c r="D268" s="712"/>
      <c r="E268" s="712"/>
      <c r="F268" s="712"/>
      <c r="G268" s="712"/>
      <c r="H268" s="712"/>
      <c r="I268" s="712"/>
      <c r="J268" s="712"/>
      <c r="K268" s="712"/>
      <c r="L268" s="712"/>
      <c r="M268" s="713"/>
      <c r="N268" s="713"/>
      <c r="O268" s="713"/>
      <c r="P268" s="713"/>
      <c r="Q268" s="713"/>
      <c r="R268" s="713"/>
      <c r="S268" s="713"/>
      <c r="T268" s="714"/>
    </row>
    <row r="269" spans="1:20">
      <c r="A269" s="1" t="str">
        <f>'Sch3-Perf Period Cash Flow'!A32</f>
        <v>4.2.9.c</v>
      </c>
    </row>
    <row r="270" spans="1:20">
      <c r="A270" s="1" t="str">
        <f>'Sch3-Perf Period Cash Flow'!A33</f>
        <v>02112025</v>
      </c>
    </row>
  </sheetData>
  <sheetProtection algorithmName="SHA-512" hashValue="3J9Y04+AZnfOb3rcRjsvOoaKY8rTgAjQnLcGHtzF3/0y1VEQmgoMgHvJg0zqA89ZfMBKTDSkKK6M4Ef6KtdN6w==" saltValue="Lx+eJHmDUzjTeL/MTMySrw==" spinCount="100000" sheet="1" objects="1" scenarios="1"/>
  <mergeCells count="16">
    <mergeCell ref="A1:Q1"/>
    <mergeCell ref="A2:Q2"/>
    <mergeCell ref="A4:C4"/>
    <mergeCell ref="A5:A6"/>
    <mergeCell ref="B5:B6"/>
    <mergeCell ref="C5:C6"/>
    <mergeCell ref="A265:T265"/>
    <mergeCell ref="A267:T267"/>
    <mergeCell ref="A268:T268"/>
    <mergeCell ref="A258:C258"/>
    <mergeCell ref="A260:T260"/>
    <mergeCell ref="A261:T261"/>
    <mergeCell ref="A262:T262"/>
    <mergeCell ref="A263:T263"/>
    <mergeCell ref="A264:T264"/>
    <mergeCell ref="A266:T266"/>
  </mergeCells>
  <dataValidations count="3">
    <dataValidation allowBlank="1" showInputMessage="1" showErrorMessage="1" error="Please enter a valid value" sqref="N8:O257 E8:E257 K8:L257 H8:H258" xr:uid="{637FEDF7-49F8-D342-86F2-D83DB348B165}"/>
    <dataValidation type="whole" allowBlank="1" showInputMessage="1" showErrorMessage="1" error="Please enter a valid value" sqref="M8:M257 D8:D257 F8:G257 J8:J257" xr:uid="{74A8C127-A440-9241-A65A-7C5D8A1FC4D9}">
      <formula1>-1000000000</formula1>
      <formula2>1000000000</formula2>
    </dataValidation>
    <dataValidation type="whole" allowBlank="1" showInputMessage="1" showErrorMessage="1" error="Please enter a valid value" sqref="Q8:Q257" xr:uid="{CB3CE255-803B-8C46-9C3F-AC8454C04AEC}">
      <formula1>-100000000000</formula1>
      <formula2>1000000000</formula2>
    </dataValidation>
  </dataValidations>
  <pageMargins left="0.75" right="0.75" top="1" bottom="1" header="0.5" footer="0.5"/>
  <pageSetup scale="24" fitToHeight="0" orientation="landscape" horizontalDpi="4294967292" verticalDpi="4294967292" r:id="rId1"/>
  <headerFooter>
    <oddFooter>&amp;C_x000D_&amp;1#&amp;"Calibri"&amp;6&amp;K626469 General</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45D3661A-BC98-6441-9DE7-CC0740D7E1B3}">
          <x14:formula1>
            <xm:f>'eGRID subregion name'!$A$2:$A$30</xm:f>
          </x14:formula1>
          <xm:sqref>C8:C257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N41"/>
  <sheetViews>
    <sheetView zoomScale="90" zoomScaleNormal="90" zoomScalePageLayoutView="75" workbookViewId="0">
      <selection sqref="A1:N1"/>
    </sheetView>
  </sheetViews>
  <sheetFormatPr defaultColWidth="11" defaultRowHeight="16"/>
  <cols>
    <col min="1" max="1" width="18.5" style="1" customWidth="1"/>
    <col min="2" max="2" width="7.5" style="1" customWidth="1"/>
    <col min="3" max="3" width="15" style="1" customWidth="1"/>
    <col min="4" max="12" width="15" style="1" bestFit="1" customWidth="1"/>
    <col min="13" max="14" width="15.5" style="1" bestFit="1" customWidth="1"/>
    <col min="15" max="16384" width="11" style="1"/>
  </cols>
  <sheetData>
    <row r="1" spans="1:14" ht="20.25" customHeight="1">
      <c r="A1" s="726" t="s">
        <v>107</v>
      </c>
      <c r="B1" s="726"/>
      <c r="C1" s="726"/>
      <c r="D1" s="726"/>
      <c r="E1" s="726"/>
      <c r="F1" s="726"/>
      <c r="G1" s="726"/>
      <c r="H1" s="726"/>
      <c r="I1" s="726"/>
      <c r="J1" s="726"/>
      <c r="K1" s="726"/>
      <c r="L1" s="726"/>
      <c r="M1" s="726"/>
      <c r="N1" s="726"/>
    </row>
    <row r="2" spans="1:14" ht="21" customHeight="1" thickBot="1">
      <c r="A2" s="726" t="s">
        <v>119</v>
      </c>
      <c r="B2" s="726"/>
      <c r="C2" s="726"/>
      <c r="D2" s="726"/>
      <c r="E2" s="726"/>
      <c r="F2" s="726"/>
      <c r="G2" s="726"/>
      <c r="H2" s="726"/>
      <c r="I2" s="726"/>
      <c r="J2" s="726"/>
      <c r="K2" s="726"/>
      <c r="L2" s="726"/>
      <c r="M2" s="726"/>
      <c r="N2" s="726"/>
    </row>
    <row r="3" spans="1:14" ht="18" customHeight="1" thickBot="1">
      <c r="A3" s="727"/>
      <c r="B3" s="728"/>
      <c r="C3" s="728"/>
      <c r="D3" s="728"/>
      <c r="E3" s="728"/>
      <c r="F3" s="728"/>
      <c r="G3" s="728"/>
      <c r="H3" s="728"/>
      <c r="I3" s="728"/>
      <c r="J3" s="728"/>
      <c r="K3" s="728"/>
      <c r="L3" s="728"/>
      <c r="M3" s="728"/>
      <c r="N3" s="729"/>
    </row>
    <row r="4" spans="1:14" ht="48.75" customHeight="1" thickBot="1">
      <c r="A4" s="731" t="s">
        <v>130</v>
      </c>
      <c r="B4" s="732"/>
      <c r="C4" s="142">
        <v>1</v>
      </c>
      <c r="D4" s="142">
        <v>2</v>
      </c>
      <c r="E4" s="142">
        <v>3</v>
      </c>
      <c r="F4" s="142">
        <v>4</v>
      </c>
      <c r="G4" s="142">
        <v>5</v>
      </c>
      <c r="H4" s="142">
        <v>6</v>
      </c>
      <c r="I4" s="142">
        <v>7</v>
      </c>
      <c r="J4" s="142">
        <v>8</v>
      </c>
      <c r="K4" s="142">
        <v>9</v>
      </c>
      <c r="L4" s="142">
        <v>10</v>
      </c>
      <c r="M4" s="142">
        <v>11</v>
      </c>
      <c r="N4" s="142">
        <v>12</v>
      </c>
    </row>
    <row r="5" spans="1:14" ht="18" customHeight="1" thickBot="1">
      <c r="A5" s="733" t="s">
        <v>210</v>
      </c>
      <c r="B5" s="734"/>
      <c r="C5" s="143"/>
      <c r="D5" s="143"/>
      <c r="E5" s="143"/>
      <c r="F5" s="143"/>
      <c r="G5" s="143"/>
      <c r="H5" s="143"/>
      <c r="I5" s="143"/>
      <c r="J5" s="143"/>
      <c r="K5" s="143"/>
      <c r="L5" s="143"/>
      <c r="M5" s="143"/>
      <c r="N5" s="143"/>
    </row>
    <row r="6" spans="1:14" ht="18" customHeight="1" thickBot="1">
      <c r="A6" s="724">
        <v>1</v>
      </c>
      <c r="B6" s="725"/>
      <c r="C6" s="143"/>
      <c r="D6" s="143"/>
      <c r="E6" s="143"/>
      <c r="F6" s="143"/>
      <c r="G6" s="143"/>
      <c r="H6" s="143"/>
      <c r="I6" s="143"/>
      <c r="J6" s="143"/>
      <c r="K6" s="143"/>
      <c r="L6" s="143"/>
      <c r="M6" s="143"/>
      <c r="N6" s="143"/>
    </row>
    <row r="7" spans="1:14" ht="18" customHeight="1" thickBot="1">
      <c r="A7" s="724">
        <v>2</v>
      </c>
      <c r="B7" s="725"/>
      <c r="C7" s="143"/>
      <c r="D7" s="143"/>
      <c r="E7" s="143"/>
      <c r="F7" s="143"/>
      <c r="G7" s="143"/>
      <c r="H7" s="143"/>
      <c r="I7" s="143"/>
      <c r="J7" s="143"/>
      <c r="K7" s="143"/>
      <c r="L7" s="143"/>
      <c r="M7" s="143"/>
      <c r="N7" s="143"/>
    </row>
    <row r="8" spans="1:14" ht="18" customHeight="1" thickBot="1">
      <c r="A8" s="724">
        <v>3</v>
      </c>
      <c r="B8" s="725"/>
      <c r="C8" s="143"/>
      <c r="D8" s="143"/>
      <c r="E8" s="143"/>
      <c r="F8" s="143"/>
      <c r="G8" s="143"/>
      <c r="H8" s="143"/>
      <c r="I8" s="143"/>
      <c r="J8" s="143"/>
      <c r="K8" s="143"/>
      <c r="L8" s="143"/>
      <c r="M8" s="143"/>
      <c r="N8" s="143"/>
    </row>
    <row r="9" spans="1:14" ht="18" customHeight="1" thickBot="1">
      <c r="A9" s="724">
        <v>4</v>
      </c>
      <c r="B9" s="725"/>
      <c r="C9" s="143"/>
      <c r="D9" s="143"/>
      <c r="E9" s="143"/>
      <c r="F9" s="143"/>
      <c r="G9" s="143"/>
      <c r="H9" s="143"/>
      <c r="I9" s="143"/>
      <c r="J9" s="143"/>
      <c r="K9" s="143"/>
      <c r="L9" s="143"/>
      <c r="M9" s="143"/>
      <c r="N9" s="143"/>
    </row>
    <row r="10" spans="1:14" ht="18" customHeight="1" thickBot="1">
      <c r="A10" s="724">
        <v>5</v>
      </c>
      <c r="B10" s="725"/>
      <c r="C10" s="143"/>
      <c r="D10" s="143"/>
      <c r="E10" s="143"/>
      <c r="F10" s="143"/>
      <c r="G10" s="143"/>
      <c r="H10" s="143"/>
      <c r="I10" s="143"/>
      <c r="J10" s="143"/>
      <c r="K10" s="143"/>
      <c r="L10" s="143"/>
      <c r="M10" s="143"/>
      <c r="N10" s="143"/>
    </row>
    <row r="11" spans="1:14" ht="18" customHeight="1" thickBot="1">
      <c r="A11" s="724">
        <v>6</v>
      </c>
      <c r="B11" s="725"/>
      <c r="C11" s="143"/>
      <c r="D11" s="143"/>
      <c r="E11" s="143"/>
      <c r="F11" s="143"/>
      <c r="G11" s="143"/>
      <c r="H11" s="143"/>
      <c r="I11" s="143"/>
      <c r="J11" s="143"/>
      <c r="K11" s="143"/>
      <c r="L11" s="143"/>
      <c r="M11" s="143"/>
      <c r="N11" s="143"/>
    </row>
    <row r="12" spans="1:14" ht="18" customHeight="1" thickBot="1">
      <c r="A12" s="724">
        <v>7</v>
      </c>
      <c r="B12" s="725"/>
      <c r="C12" s="143"/>
      <c r="D12" s="143"/>
      <c r="E12" s="143"/>
      <c r="F12" s="143"/>
      <c r="G12" s="143"/>
      <c r="H12" s="143"/>
      <c r="I12" s="143"/>
      <c r="J12" s="143"/>
      <c r="K12" s="143"/>
      <c r="L12" s="143"/>
      <c r="M12" s="143"/>
      <c r="N12" s="143"/>
    </row>
    <row r="13" spans="1:14" ht="18" customHeight="1" thickBot="1">
      <c r="A13" s="724">
        <v>8</v>
      </c>
      <c r="B13" s="725"/>
      <c r="C13" s="143"/>
      <c r="D13" s="143"/>
      <c r="E13" s="143"/>
      <c r="F13" s="143"/>
      <c r="G13" s="143"/>
      <c r="H13" s="143"/>
      <c r="I13" s="143"/>
      <c r="J13" s="143"/>
      <c r="K13" s="143"/>
      <c r="L13" s="143"/>
      <c r="M13" s="143"/>
      <c r="N13" s="143"/>
    </row>
    <row r="14" spans="1:14" ht="18" customHeight="1" thickBot="1">
      <c r="A14" s="724">
        <v>9</v>
      </c>
      <c r="B14" s="725"/>
      <c r="C14" s="143"/>
      <c r="D14" s="143"/>
      <c r="E14" s="143"/>
      <c r="F14" s="143"/>
      <c r="G14" s="143"/>
      <c r="H14" s="143"/>
      <c r="I14" s="143"/>
      <c r="J14" s="143"/>
      <c r="K14" s="143"/>
      <c r="L14" s="143"/>
      <c r="M14" s="143"/>
      <c r="N14" s="143"/>
    </row>
    <row r="15" spans="1:14" ht="18" customHeight="1" thickBot="1">
      <c r="A15" s="724">
        <v>10</v>
      </c>
      <c r="B15" s="725"/>
      <c r="C15" s="143"/>
      <c r="D15" s="143"/>
      <c r="E15" s="143"/>
      <c r="F15" s="143"/>
      <c r="G15" s="143"/>
      <c r="H15" s="143"/>
      <c r="I15" s="143"/>
      <c r="J15" s="143"/>
      <c r="K15" s="143"/>
      <c r="L15" s="143"/>
      <c r="M15" s="143"/>
      <c r="N15" s="143"/>
    </row>
    <row r="16" spans="1:14" ht="18" customHeight="1" thickBot="1">
      <c r="A16" s="724">
        <v>11</v>
      </c>
      <c r="B16" s="725"/>
      <c r="C16" s="143"/>
      <c r="D16" s="143"/>
      <c r="E16" s="143"/>
      <c r="F16" s="143"/>
      <c r="G16" s="143"/>
      <c r="H16" s="143"/>
      <c r="I16" s="143"/>
      <c r="J16" s="143"/>
      <c r="K16" s="143"/>
      <c r="L16" s="143"/>
      <c r="M16" s="143"/>
      <c r="N16" s="143"/>
    </row>
    <row r="17" spans="1:14" ht="18" customHeight="1" thickBot="1">
      <c r="A17" s="724">
        <v>12</v>
      </c>
      <c r="B17" s="725"/>
      <c r="C17" s="143"/>
      <c r="D17" s="143"/>
      <c r="E17" s="143"/>
      <c r="F17" s="143"/>
      <c r="G17" s="143"/>
      <c r="H17" s="143"/>
      <c r="I17" s="143"/>
      <c r="J17" s="143"/>
      <c r="K17" s="143"/>
      <c r="L17" s="143"/>
      <c r="M17" s="143"/>
      <c r="N17" s="143"/>
    </row>
    <row r="18" spans="1:14" ht="18" customHeight="1" thickBot="1">
      <c r="A18" s="724">
        <v>13</v>
      </c>
      <c r="B18" s="725"/>
      <c r="C18" s="143"/>
      <c r="D18" s="143"/>
      <c r="E18" s="143"/>
      <c r="F18" s="143"/>
      <c r="G18" s="143"/>
      <c r="H18" s="143"/>
      <c r="I18" s="143"/>
      <c r="J18" s="143"/>
      <c r="K18" s="143"/>
      <c r="L18" s="143"/>
      <c r="M18" s="143"/>
      <c r="N18" s="143"/>
    </row>
    <row r="19" spans="1:14" ht="18" customHeight="1" thickBot="1">
      <c r="A19" s="724">
        <v>14</v>
      </c>
      <c r="B19" s="725"/>
      <c r="C19" s="143"/>
      <c r="D19" s="143"/>
      <c r="E19" s="143"/>
      <c r="F19" s="143"/>
      <c r="G19" s="143"/>
      <c r="H19" s="143"/>
      <c r="I19" s="143"/>
      <c r="J19" s="143"/>
      <c r="K19" s="143"/>
      <c r="L19" s="143"/>
      <c r="M19" s="143"/>
      <c r="N19" s="143"/>
    </row>
    <row r="20" spans="1:14" ht="18" customHeight="1" thickBot="1">
      <c r="A20" s="724">
        <v>15</v>
      </c>
      <c r="B20" s="725"/>
      <c r="C20" s="143"/>
      <c r="D20" s="143"/>
      <c r="E20" s="143"/>
      <c r="F20" s="143"/>
      <c r="G20" s="143"/>
      <c r="H20" s="143"/>
      <c r="I20" s="143"/>
      <c r="J20" s="143"/>
      <c r="K20" s="143"/>
      <c r="L20" s="143"/>
      <c r="M20" s="143"/>
      <c r="N20" s="143"/>
    </row>
    <row r="21" spans="1:14" ht="18" customHeight="1" thickBot="1">
      <c r="A21" s="724">
        <v>16</v>
      </c>
      <c r="B21" s="725"/>
      <c r="C21" s="143"/>
      <c r="D21" s="143"/>
      <c r="E21" s="143"/>
      <c r="F21" s="143"/>
      <c r="G21" s="143"/>
      <c r="H21" s="143"/>
      <c r="I21" s="143"/>
      <c r="J21" s="143"/>
      <c r="K21" s="143"/>
      <c r="L21" s="143"/>
      <c r="M21" s="143"/>
      <c r="N21" s="143"/>
    </row>
    <row r="22" spans="1:14" ht="18" customHeight="1" thickBot="1">
      <c r="A22" s="724">
        <v>17</v>
      </c>
      <c r="B22" s="725"/>
      <c r="C22" s="143"/>
      <c r="D22" s="143"/>
      <c r="E22" s="143"/>
      <c r="F22" s="143"/>
      <c r="G22" s="143"/>
      <c r="H22" s="143"/>
      <c r="I22" s="143"/>
      <c r="J22" s="143"/>
      <c r="K22" s="143"/>
      <c r="L22" s="143"/>
      <c r="M22" s="143"/>
      <c r="N22" s="143"/>
    </row>
    <row r="23" spans="1:14" ht="18" customHeight="1" thickBot="1">
      <c r="A23" s="724">
        <v>18</v>
      </c>
      <c r="B23" s="725"/>
      <c r="C23" s="143"/>
      <c r="D23" s="143"/>
      <c r="E23" s="143"/>
      <c r="F23" s="143"/>
      <c r="G23" s="143"/>
      <c r="H23" s="143"/>
      <c r="I23" s="143"/>
      <c r="J23" s="143"/>
      <c r="K23" s="143"/>
      <c r="L23" s="143"/>
      <c r="M23" s="143"/>
      <c r="N23" s="143"/>
    </row>
    <row r="24" spans="1:14" ht="18" customHeight="1" thickBot="1">
      <c r="A24" s="724">
        <v>19</v>
      </c>
      <c r="B24" s="725"/>
      <c r="C24" s="143"/>
      <c r="D24" s="143"/>
      <c r="E24" s="143"/>
      <c r="F24" s="143"/>
      <c r="G24" s="143"/>
      <c r="H24" s="143"/>
      <c r="I24" s="143"/>
      <c r="J24" s="143"/>
      <c r="K24" s="143"/>
      <c r="L24" s="143"/>
      <c r="M24" s="143"/>
      <c r="N24" s="143"/>
    </row>
    <row r="25" spans="1:14" ht="18" customHeight="1" thickBot="1">
      <c r="A25" s="724">
        <v>20</v>
      </c>
      <c r="B25" s="725"/>
      <c r="C25" s="143"/>
      <c r="D25" s="143"/>
      <c r="E25" s="143"/>
      <c r="F25" s="143"/>
      <c r="G25" s="143"/>
      <c r="H25" s="143"/>
      <c r="I25" s="143"/>
      <c r="J25" s="143"/>
      <c r="K25" s="143"/>
      <c r="L25" s="143"/>
      <c r="M25" s="143"/>
      <c r="N25" s="143"/>
    </row>
    <row r="26" spans="1:14" ht="18" customHeight="1" thickBot="1">
      <c r="A26" s="724">
        <v>21</v>
      </c>
      <c r="B26" s="725"/>
      <c r="C26" s="143"/>
      <c r="D26" s="143"/>
      <c r="E26" s="143"/>
      <c r="F26" s="143"/>
      <c r="G26" s="143"/>
      <c r="H26" s="143"/>
      <c r="I26" s="143"/>
      <c r="J26" s="143"/>
      <c r="K26" s="143"/>
      <c r="L26" s="143"/>
      <c r="M26" s="143"/>
      <c r="N26" s="143"/>
    </row>
    <row r="27" spans="1:14" ht="18" customHeight="1" thickBot="1">
      <c r="A27" s="724">
        <v>22</v>
      </c>
      <c r="B27" s="725"/>
      <c r="C27" s="143"/>
      <c r="D27" s="143"/>
      <c r="E27" s="143"/>
      <c r="F27" s="143"/>
      <c r="G27" s="143"/>
      <c r="H27" s="143"/>
      <c r="I27" s="143"/>
      <c r="J27" s="143"/>
      <c r="K27" s="143"/>
      <c r="L27" s="143"/>
      <c r="M27" s="143"/>
      <c r="N27" s="143"/>
    </row>
    <row r="28" spans="1:14" ht="18" customHeight="1" thickBot="1">
      <c r="A28" s="724">
        <v>23</v>
      </c>
      <c r="B28" s="725"/>
      <c r="C28" s="143"/>
      <c r="D28" s="143"/>
      <c r="E28" s="143"/>
      <c r="F28" s="143"/>
      <c r="G28" s="143"/>
      <c r="H28" s="143"/>
      <c r="I28" s="143"/>
      <c r="J28" s="143"/>
      <c r="K28" s="143"/>
      <c r="L28" s="143"/>
      <c r="M28" s="143"/>
      <c r="N28" s="143"/>
    </row>
    <row r="29" spans="1:14" ht="18" customHeight="1" thickBot="1">
      <c r="A29" s="724">
        <v>24</v>
      </c>
      <c r="B29" s="725"/>
      <c r="C29" s="143"/>
      <c r="D29" s="143"/>
      <c r="E29" s="143"/>
      <c r="F29" s="143"/>
      <c r="G29" s="143"/>
      <c r="H29" s="143"/>
      <c r="I29" s="143"/>
      <c r="J29" s="143"/>
      <c r="K29" s="143"/>
      <c r="L29" s="143"/>
      <c r="M29" s="143"/>
      <c r="N29" s="143"/>
    </row>
    <row r="30" spans="1:14" ht="18" customHeight="1" thickBot="1">
      <c r="A30" s="724">
        <v>25</v>
      </c>
      <c r="B30" s="725"/>
      <c r="C30" s="143"/>
      <c r="D30" s="143"/>
      <c r="E30" s="143"/>
      <c r="F30" s="143"/>
      <c r="G30" s="143"/>
      <c r="H30" s="143"/>
      <c r="I30" s="143"/>
      <c r="J30" s="143"/>
      <c r="K30" s="143"/>
      <c r="L30" s="143"/>
      <c r="M30" s="143"/>
      <c r="N30" s="143"/>
    </row>
    <row r="31" spans="1:14" ht="18" customHeight="1" thickBot="1">
      <c r="A31" s="719"/>
      <c r="B31" s="720"/>
      <c r="C31" s="720"/>
      <c r="D31" s="720"/>
      <c r="E31" s="720"/>
      <c r="F31" s="720"/>
      <c r="G31" s="720"/>
      <c r="H31" s="720"/>
      <c r="I31" s="720"/>
      <c r="J31" s="720"/>
      <c r="K31" s="720"/>
      <c r="L31" s="720"/>
      <c r="M31" s="720"/>
      <c r="N31" s="721"/>
    </row>
    <row r="32" spans="1:14" ht="19.5" customHeight="1">
      <c r="A32" s="716" t="s">
        <v>15</v>
      </c>
      <c r="B32" s="717"/>
      <c r="C32" s="717"/>
      <c r="D32" s="717"/>
      <c r="E32" s="717"/>
      <c r="F32" s="717"/>
      <c r="G32" s="717"/>
      <c r="H32" s="717"/>
      <c r="I32" s="717"/>
      <c r="J32" s="717"/>
      <c r="K32" s="717"/>
      <c r="L32" s="717"/>
      <c r="M32" s="717"/>
      <c r="N32" s="718"/>
    </row>
    <row r="33" spans="1:14" ht="19.5" customHeight="1">
      <c r="A33" s="674" t="s">
        <v>208</v>
      </c>
      <c r="B33" s="675"/>
      <c r="C33" s="675"/>
      <c r="D33" s="675"/>
      <c r="E33" s="675"/>
      <c r="F33" s="675"/>
      <c r="G33" s="675"/>
      <c r="H33" s="675"/>
      <c r="I33" s="675"/>
      <c r="J33" s="675"/>
      <c r="K33" s="675"/>
      <c r="L33" s="675"/>
      <c r="M33" s="675"/>
      <c r="N33" s="676"/>
    </row>
    <row r="34" spans="1:14" ht="31" customHeight="1">
      <c r="A34" s="658" t="s">
        <v>209</v>
      </c>
      <c r="B34" s="659"/>
      <c r="C34" s="659"/>
      <c r="D34" s="659"/>
      <c r="E34" s="659"/>
      <c r="F34" s="659"/>
      <c r="G34" s="659"/>
      <c r="H34" s="659"/>
      <c r="I34" s="659"/>
      <c r="J34" s="659"/>
      <c r="K34" s="659"/>
      <c r="L34" s="659"/>
      <c r="M34" s="659"/>
      <c r="N34" s="730"/>
    </row>
    <row r="35" spans="1:14">
      <c r="A35" s="674" t="s">
        <v>294</v>
      </c>
      <c r="B35" s="722"/>
      <c r="C35" s="722"/>
      <c r="D35" s="722"/>
      <c r="E35" s="722"/>
      <c r="F35" s="722"/>
      <c r="G35" s="722"/>
      <c r="H35" s="722"/>
      <c r="I35" s="722"/>
      <c r="J35" s="722"/>
      <c r="K35" s="722"/>
      <c r="L35" s="722"/>
      <c r="M35" s="722"/>
      <c r="N35" s="723"/>
    </row>
    <row r="36" spans="1:14" ht="16.5" thickBot="1">
      <c r="A36" s="674" t="s">
        <v>295</v>
      </c>
      <c r="B36" s="722"/>
      <c r="C36" s="722"/>
      <c r="D36" s="722"/>
      <c r="E36" s="722"/>
      <c r="F36" s="722"/>
      <c r="G36" s="722"/>
      <c r="H36" s="722"/>
      <c r="I36" s="722"/>
      <c r="J36" s="722"/>
      <c r="K36" s="722"/>
      <c r="L36" s="722"/>
      <c r="M36" s="722"/>
      <c r="N36" s="723"/>
    </row>
    <row r="37" spans="1:14" ht="16.5" thickBot="1">
      <c r="A37" s="674"/>
      <c r="B37" s="722"/>
      <c r="C37" s="722"/>
      <c r="D37" s="722"/>
      <c r="E37" s="722"/>
      <c r="F37" s="722"/>
      <c r="G37" s="722"/>
      <c r="H37" s="722"/>
      <c r="I37" s="722"/>
      <c r="J37" s="722"/>
      <c r="K37" s="722"/>
      <c r="L37" s="722"/>
      <c r="M37" s="722"/>
      <c r="N37" s="723"/>
    </row>
    <row r="38" spans="1:14">
      <c r="A38" s="716" t="s">
        <v>173</v>
      </c>
      <c r="B38" s="717"/>
      <c r="C38" s="717"/>
      <c r="D38" s="717"/>
      <c r="E38" s="717"/>
      <c r="F38" s="717"/>
      <c r="G38" s="717"/>
      <c r="H38" s="717"/>
      <c r="I38" s="717"/>
      <c r="J38" s="717"/>
      <c r="K38" s="717"/>
      <c r="L38" s="717"/>
      <c r="M38" s="717"/>
      <c r="N38" s="718"/>
    </row>
    <row r="39" spans="1:14" ht="68.25" customHeight="1" thickBot="1">
      <c r="A39" s="520"/>
      <c r="B39" s="521"/>
      <c r="C39" s="521"/>
      <c r="D39" s="521"/>
      <c r="E39" s="521"/>
      <c r="F39" s="521"/>
      <c r="G39" s="521"/>
      <c r="H39" s="521"/>
      <c r="I39" s="521"/>
      <c r="J39" s="521"/>
      <c r="K39" s="521"/>
      <c r="L39" s="521"/>
      <c r="M39" s="521"/>
      <c r="N39" s="558"/>
    </row>
    <row r="40" spans="1:14">
      <c r="A40" s="312" t="str">
        <f>'Summary Schedule'!A53</f>
        <v>4.2.9.c</v>
      </c>
    </row>
    <row r="41" spans="1:14">
      <c r="A41" s="312" t="str">
        <f>'Summary Schedule'!A54</f>
        <v>02112025</v>
      </c>
    </row>
  </sheetData>
  <sheetProtection algorithmName="SHA-512" hashValue="Q8fUqxMwRJ/qc8J6jcNxHjzZoNHPAjpPReo+uH3N1jxDBEOgAVVaTWHWqKhRWcUh3/sX9hiFnqwZTdKo11o0Bg==" saltValue="0xkJ+10+djkQsR18GCfKtw==" spinCount="100000" sheet="1" objects="1" scenarios="1"/>
  <mergeCells count="39">
    <mergeCell ref="A29:B29"/>
    <mergeCell ref="A34:N34"/>
    <mergeCell ref="A4:B4"/>
    <mergeCell ref="A5:B5"/>
    <mergeCell ref="A6:B6"/>
    <mergeCell ref="A30:B30"/>
    <mergeCell ref="A19:B19"/>
    <mergeCell ref="A20:B20"/>
    <mergeCell ref="A21:B21"/>
    <mergeCell ref="A22:B22"/>
    <mergeCell ref="A23:B23"/>
    <mergeCell ref="A24:B24"/>
    <mergeCell ref="A25:B25"/>
    <mergeCell ref="A26:B26"/>
    <mergeCell ref="A18:B18"/>
    <mergeCell ref="A9:B9"/>
    <mergeCell ref="A10:B10"/>
    <mergeCell ref="A13:B13"/>
    <mergeCell ref="A14:B14"/>
    <mergeCell ref="A15:B15"/>
    <mergeCell ref="A1:N1"/>
    <mergeCell ref="A2:N2"/>
    <mergeCell ref="A3:N3"/>
    <mergeCell ref="A7:B7"/>
    <mergeCell ref="A8:B8"/>
    <mergeCell ref="A27:B27"/>
    <mergeCell ref="A28:B28"/>
    <mergeCell ref="A17:B17"/>
    <mergeCell ref="A11:B11"/>
    <mergeCell ref="A12:B12"/>
    <mergeCell ref="A16:B16"/>
    <mergeCell ref="A38:N38"/>
    <mergeCell ref="A39:N39"/>
    <mergeCell ref="A31:N31"/>
    <mergeCell ref="A32:N32"/>
    <mergeCell ref="A33:N33"/>
    <mergeCell ref="A35:N35"/>
    <mergeCell ref="A36:N36"/>
    <mergeCell ref="A37:N37"/>
  </mergeCells>
  <dataValidations count="1">
    <dataValidation type="whole" allowBlank="1" showInputMessage="1" showErrorMessage="1" error="Please enter a valid number" sqref="C5:N30" xr:uid="{00000000-0002-0000-0B00-000000000000}">
      <formula1>0</formula1>
      <formula2>1000000000</formula2>
    </dataValidation>
  </dataValidations>
  <pageMargins left="0.75" right="0.75" top="1" bottom="1" header="0.5" footer="0.5"/>
  <pageSetup scale="48" orientation="portrait" horizontalDpi="4294967292" verticalDpi="4294967292"/>
  <headerFooter>
    <oddFooter>&amp;C_x000D_&amp;1#&amp;"Calibri"&amp;6&amp;K626469 General</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84830-0EB1-8D4C-8D69-149292243169}">
  <sheetPr codeName="Sheet25"/>
  <dimension ref="A1:Q66"/>
  <sheetViews>
    <sheetView topLeftCell="A42" zoomScale="80" zoomScaleNormal="80" workbookViewId="0">
      <selection activeCell="A64" sqref="A64"/>
    </sheetView>
  </sheetViews>
  <sheetFormatPr defaultColWidth="10.5" defaultRowHeight="15.5"/>
  <cols>
    <col min="1" max="1" width="34.33203125" customWidth="1"/>
    <col min="2" max="3" width="8.5" bestFit="1" customWidth="1"/>
    <col min="4" max="4" width="41.33203125" bestFit="1" customWidth="1"/>
    <col min="8" max="8" width="17.83203125" customWidth="1"/>
    <col min="10" max="10" width="18" customWidth="1"/>
  </cols>
  <sheetData>
    <row r="1" spans="1:17" s="391" customFormat="1" ht="26">
      <c r="A1" s="390" t="s">
        <v>432</v>
      </c>
      <c r="B1" s="390" t="s">
        <v>433</v>
      </c>
      <c r="C1" s="390" t="s">
        <v>434</v>
      </c>
      <c r="D1" s="390" t="s">
        <v>435</v>
      </c>
      <c r="E1" s="390" t="s">
        <v>436</v>
      </c>
      <c r="F1" s="390" t="s">
        <v>437</v>
      </c>
      <c r="G1" s="390" t="s">
        <v>438</v>
      </c>
      <c r="H1" s="390" t="s">
        <v>439</v>
      </c>
      <c r="I1" s="390" t="s">
        <v>440</v>
      </c>
      <c r="J1" s="390" t="s">
        <v>441</v>
      </c>
      <c r="K1" s="390" t="s">
        <v>442</v>
      </c>
      <c r="L1" s="390" t="s">
        <v>443</v>
      </c>
      <c r="M1" s="390" t="s">
        <v>444</v>
      </c>
      <c r="N1" s="390" t="s">
        <v>445</v>
      </c>
    </row>
    <row r="2" spans="1:17">
      <c r="A2" s="392" t="str">
        <f t="shared" ref="A2:A57" si="0">CONCATENATE(B2,"-",C2,"-",D2)</f>
        <v>Scope All-Fuels-Asphalt and road oil</v>
      </c>
      <c r="B2" s="392" t="s">
        <v>446</v>
      </c>
      <c r="C2" s="392" t="s">
        <v>447</v>
      </c>
      <c r="D2" s="392" t="s">
        <v>448</v>
      </c>
      <c r="E2" s="393">
        <v>0.158</v>
      </c>
      <c r="F2" s="393" t="s">
        <v>449</v>
      </c>
      <c r="G2" s="393">
        <v>75.36</v>
      </c>
      <c r="H2" s="393" t="s">
        <v>450</v>
      </c>
      <c r="I2" s="393">
        <v>3.0000000000000001E-3</v>
      </c>
      <c r="J2" s="393" t="s">
        <v>451</v>
      </c>
      <c r="K2" s="393">
        <v>5.9999999999999995E-4</v>
      </c>
      <c r="L2" s="392" t="s">
        <v>452</v>
      </c>
      <c r="M2" s="392" t="s">
        <v>453</v>
      </c>
      <c r="N2" s="394" t="s">
        <v>454</v>
      </c>
      <c r="O2" s="392"/>
      <c r="P2" s="392"/>
      <c r="Q2" s="392"/>
    </row>
    <row r="3" spans="1:17">
      <c r="A3" s="392" t="str">
        <f t="shared" si="0"/>
        <v>Scope All-Fuels-Aviation gasoline</v>
      </c>
      <c r="B3" s="392" t="s">
        <v>446</v>
      </c>
      <c r="C3" s="392" t="s">
        <v>447</v>
      </c>
      <c r="D3" s="392" t="s">
        <v>455</v>
      </c>
      <c r="E3" s="393">
        <v>0.12</v>
      </c>
      <c r="F3" s="393" t="s">
        <v>449</v>
      </c>
      <c r="G3" s="393">
        <v>69.25</v>
      </c>
      <c r="H3" s="393" t="s">
        <v>450</v>
      </c>
      <c r="I3" s="393">
        <v>3.0000000000000001E-3</v>
      </c>
      <c r="J3" s="393" t="s">
        <v>451</v>
      </c>
      <c r="K3" s="393">
        <v>5.9999999999999995E-4</v>
      </c>
      <c r="L3" s="392" t="s">
        <v>452</v>
      </c>
      <c r="M3" s="392" t="s">
        <v>453</v>
      </c>
      <c r="N3" s="394" t="s">
        <v>454</v>
      </c>
      <c r="O3" s="392"/>
      <c r="P3" s="392"/>
      <c r="Q3" s="392"/>
    </row>
    <row r="4" spans="1:17">
      <c r="A4" s="392" t="str">
        <f t="shared" si="0"/>
        <v>Scope All-Fuels-Biodiesel - B100</v>
      </c>
      <c r="B4" s="392" t="s">
        <v>446</v>
      </c>
      <c r="C4" s="392" t="s">
        <v>447</v>
      </c>
      <c r="D4" s="392" t="s">
        <v>456</v>
      </c>
      <c r="E4" s="392">
        <v>0.128</v>
      </c>
      <c r="F4" s="392" t="s">
        <v>449</v>
      </c>
      <c r="G4" s="392">
        <v>73.84</v>
      </c>
      <c r="H4" s="392" t="s">
        <v>450</v>
      </c>
      <c r="I4" s="392">
        <f>1.1*10^-3</f>
        <v>1.1000000000000001E-3</v>
      </c>
      <c r="J4" s="392" t="s">
        <v>451</v>
      </c>
      <c r="K4" s="392">
        <f>1.1*10^-4</f>
        <v>1.1000000000000002E-4</v>
      </c>
      <c r="L4" s="392" t="s">
        <v>452</v>
      </c>
      <c r="M4" s="392" t="s">
        <v>453</v>
      </c>
      <c r="N4" s="394" t="s">
        <v>457</v>
      </c>
      <c r="O4" s="392"/>
      <c r="P4" s="392"/>
      <c r="Q4" s="392"/>
    </row>
    <row r="5" spans="1:17">
      <c r="A5" s="392" t="str">
        <f t="shared" si="0"/>
        <v>Scope All-Fuels-Biogas - captured methane</v>
      </c>
      <c r="B5" s="392" t="s">
        <v>446</v>
      </c>
      <c r="C5" s="392" t="s">
        <v>447</v>
      </c>
      <c r="D5" s="392" t="s">
        <v>458</v>
      </c>
      <c r="E5" s="393">
        <v>4.8500000000000003E-4</v>
      </c>
      <c r="F5" s="393" t="s">
        <v>459</v>
      </c>
      <c r="G5" s="393">
        <v>52.07</v>
      </c>
      <c r="H5" s="393" t="s">
        <v>450</v>
      </c>
      <c r="I5" s="393">
        <v>3.2000000000000002E-3</v>
      </c>
      <c r="J5" s="393" t="s">
        <v>451</v>
      </c>
      <c r="K5" s="393">
        <v>6.3000000000000003E-4</v>
      </c>
      <c r="L5" s="392" t="s">
        <v>452</v>
      </c>
      <c r="M5" s="392" t="s">
        <v>453</v>
      </c>
      <c r="N5" s="394" t="s">
        <v>454</v>
      </c>
      <c r="O5" s="392"/>
      <c r="P5" s="392"/>
      <c r="Q5" s="392"/>
    </row>
    <row r="6" spans="1:17">
      <c r="A6" s="392" t="str">
        <f t="shared" si="0"/>
        <v>Scope All-Fuels-Biogas - LandGEM</v>
      </c>
      <c r="B6" s="392" t="s">
        <v>446</v>
      </c>
      <c r="C6" s="392" t="s">
        <v>447</v>
      </c>
      <c r="D6" s="392" t="s">
        <v>460</v>
      </c>
      <c r="E6" s="392">
        <f>(0.841*(10^-3))*(1/0.0423)*2.20462*1000</f>
        <v>43.83180661938534</v>
      </c>
      <c r="F6" s="392" t="s">
        <v>461</v>
      </c>
      <c r="G6" s="392">
        <f>(52.07)*(1/1000)</f>
        <v>5.2069999999999998E-2</v>
      </c>
      <c r="H6" s="392" t="s">
        <v>462</v>
      </c>
      <c r="I6" s="392">
        <f>(3.2*10^-3)*(1/1000)</f>
        <v>3.2000000000000003E-6</v>
      </c>
      <c r="J6" s="392" t="s">
        <v>463</v>
      </c>
      <c r="K6" s="392">
        <f>(6.3*10^-4)*(1/1000)</f>
        <v>6.3E-7</v>
      </c>
      <c r="L6" s="392" t="s">
        <v>464</v>
      </c>
      <c r="M6" s="392" t="s">
        <v>465</v>
      </c>
      <c r="N6" s="395" t="s">
        <v>466</v>
      </c>
      <c r="O6" s="392"/>
      <c r="P6" s="392"/>
      <c r="Q6" s="392"/>
    </row>
    <row r="7" spans="1:17">
      <c r="A7" s="392" t="str">
        <f t="shared" si="0"/>
        <v>Scope All-Fuels-Biogas - WWTP</v>
      </c>
      <c r="B7" s="392" t="s">
        <v>446</v>
      </c>
      <c r="C7" s="392" t="s">
        <v>447</v>
      </c>
      <c r="D7" s="392" t="s">
        <v>467</v>
      </c>
      <c r="E7" s="392">
        <f>(0.841*(10^-3))*(1/0.0423)*2.20462</f>
        <v>4.3831806619385343E-2</v>
      </c>
      <c r="F7" s="392" t="s">
        <v>468</v>
      </c>
      <c r="G7" s="392">
        <f>(52.07)*(1/1000)</f>
        <v>5.2069999999999998E-2</v>
      </c>
      <c r="H7" s="392" t="s">
        <v>462</v>
      </c>
      <c r="I7" s="392">
        <f>(3.2*10^-3)*(1/1000)</f>
        <v>3.2000000000000003E-6</v>
      </c>
      <c r="J7" s="392" t="s">
        <v>463</v>
      </c>
      <c r="K7" s="392">
        <f>(6.3*10^-4)*(1/1000)</f>
        <v>6.3E-7</v>
      </c>
      <c r="L7" s="392" t="s">
        <v>464</v>
      </c>
      <c r="M7" s="392" t="s">
        <v>465</v>
      </c>
      <c r="N7" s="395" t="s">
        <v>466</v>
      </c>
      <c r="O7" s="392"/>
      <c r="P7" s="392"/>
      <c r="Q7" s="392"/>
    </row>
    <row r="8" spans="1:17">
      <c r="A8" s="392" t="str">
        <f t="shared" si="0"/>
        <v>Scope All-Fuels-Biomass - Agricultural byproducts</v>
      </c>
      <c r="B8" s="392" t="s">
        <v>446</v>
      </c>
      <c r="C8" s="392" t="s">
        <v>447</v>
      </c>
      <c r="D8" s="392" t="s">
        <v>469</v>
      </c>
      <c r="E8" s="393">
        <v>8.25</v>
      </c>
      <c r="F8" s="393" t="s">
        <v>470</v>
      </c>
      <c r="G8" s="393">
        <v>118.17</v>
      </c>
      <c r="H8" s="393" t="s">
        <v>450</v>
      </c>
      <c r="I8" s="393">
        <v>3.2000000000000001E-2</v>
      </c>
      <c r="J8" s="393" t="s">
        <v>451</v>
      </c>
      <c r="K8" s="393">
        <v>4.2000000000000006E-3</v>
      </c>
      <c r="L8" s="392" t="s">
        <v>452</v>
      </c>
      <c r="M8" s="392" t="s">
        <v>453</v>
      </c>
      <c r="N8" s="394" t="s">
        <v>454</v>
      </c>
      <c r="O8" s="392"/>
      <c r="P8" s="392"/>
      <c r="Q8" s="392"/>
    </row>
    <row r="9" spans="1:17">
      <c r="A9" s="392" t="str">
        <f t="shared" si="0"/>
        <v>Scope All-Fuels-Biomass - Peat</v>
      </c>
      <c r="B9" s="392" t="s">
        <v>446</v>
      </c>
      <c r="C9" s="392" t="s">
        <v>447</v>
      </c>
      <c r="D9" s="392" t="s">
        <v>471</v>
      </c>
      <c r="E9" s="393">
        <v>8</v>
      </c>
      <c r="F9" s="393" t="s">
        <v>470</v>
      </c>
      <c r="G9" s="393">
        <v>111.84</v>
      </c>
      <c r="H9" s="393" t="s">
        <v>450</v>
      </c>
      <c r="I9" s="393">
        <v>3.2000000000000001E-2</v>
      </c>
      <c r="J9" s="393" t="s">
        <v>451</v>
      </c>
      <c r="K9" s="393">
        <v>4.2000000000000006E-3</v>
      </c>
      <c r="L9" s="392" t="s">
        <v>452</v>
      </c>
      <c r="M9" s="392" t="s">
        <v>453</v>
      </c>
      <c r="N9" s="394" t="s">
        <v>454</v>
      </c>
      <c r="O9" s="392"/>
      <c r="P9" s="392"/>
      <c r="Q9" s="392"/>
    </row>
    <row r="10" spans="1:17">
      <c r="A10" s="392" t="str">
        <f t="shared" si="0"/>
        <v>Scope All-Fuels-Biomass - Solid byproducts</v>
      </c>
      <c r="B10" s="392" t="s">
        <v>446</v>
      </c>
      <c r="C10" s="392" t="s">
        <v>447</v>
      </c>
      <c r="D10" s="392" t="s">
        <v>472</v>
      </c>
      <c r="E10" s="393">
        <v>10.39</v>
      </c>
      <c r="F10" s="393" t="s">
        <v>470</v>
      </c>
      <c r="G10" s="393">
        <v>105.51</v>
      </c>
      <c r="H10" s="393" t="s">
        <v>450</v>
      </c>
      <c r="I10" s="393">
        <v>3.2000000000000001E-2</v>
      </c>
      <c r="J10" s="393" t="s">
        <v>451</v>
      </c>
      <c r="K10" s="393">
        <v>4.2000000000000006E-3</v>
      </c>
      <c r="L10" s="392" t="s">
        <v>452</v>
      </c>
      <c r="M10" s="392" t="s">
        <v>453</v>
      </c>
      <c r="N10" s="394" t="s">
        <v>454</v>
      </c>
      <c r="O10" s="392"/>
      <c r="P10" s="392"/>
      <c r="Q10" s="392"/>
    </row>
    <row r="11" spans="1:17">
      <c r="A11" s="392" t="str">
        <f t="shared" si="0"/>
        <v>Scope All-Fuels-Biomass - Wood and wood residuals</v>
      </c>
      <c r="B11" s="392" t="s">
        <v>446</v>
      </c>
      <c r="C11" s="392" t="s">
        <v>447</v>
      </c>
      <c r="D11" s="392" t="s">
        <v>473</v>
      </c>
      <c r="E11" s="393">
        <v>17.48</v>
      </c>
      <c r="F11" s="393" t="s">
        <v>470</v>
      </c>
      <c r="G11" s="393">
        <v>93.8</v>
      </c>
      <c r="H11" s="393" t="s">
        <v>450</v>
      </c>
      <c r="I11" s="393">
        <v>7.1999999999999998E-3</v>
      </c>
      <c r="J11" s="393" t="s">
        <v>451</v>
      </c>
      <c r="K11" s="393">
        <v>3.5999999999999999E-3</v>
      </c>
      <c r="L11" s="392" t="s">
        <v>452</v>
      </c>
      <c r="M11" s="392" t="s">
        <v>453</v>
      </c>
      <c r="N11" s="394" t="s">
        <v>454</v>
      </c>
      <c r="O11" s="392"/>
      <c r="P11" s="392"/>
      <c r="Q11" s="392"/>
    </row>
    <row r="12" spans="1:17">
      <c r="A12" s="392" t="str">
        <f t="shared" si="0"/>
        <v>Scope All-Fuels-Blast furnace gas - Fossil-derived</v>
      </c>
      <c r="B12" s="392" t="s">
        <v>446</v>
      </c>
      <c r="C12" s="392" t="s">
        <v>447</v>
      </c>
      <c r="D12" s="392" t="s">
        <v>474</v>
      </c>
      <c r="E12" s="393">
        <f>0.092*10^-3</f>
        <v>9.2E-5</v>
      </c>
      <c r="F12" s="393" t="s">
        <v>459</v>
      </c>
      <c r="G12" s="393">
        <v>274.32</v>
      </c>
      <c r="H12" s="393" t="s">
        <v>450</v>
      </c>
      <c r="I12" s="393">
        <v>2.1999999999999999E-5</v>
      </c>
      <c r="J12" s="393" t="s">
        <v>451</v>
      </c>
      <c r="K12" s="393">
        <v>1E-4</v>
      </c>
      <c r="L12" s="392" t="s">
        <v>452</v>
      </c>
      <c r="M12" s="392" t="s">
        <v>453</v>
      </c>
      <c r="N12" s="394" t="s">
        <v>454</v>
      </c>
      <c r="O12" s="392"/>
      <c r="P12" s="392"/>
      <c r="Q12" s="392"/>
    </row>
    <row r="13" spans="1:17">
      <c r="A13" s="392" t="str">
        <f t="shared" si="0"/>
        <v>Scope All-Fuels-Butane</v>
      </c>
      <c r="B13" s="392" t="s">
        <v>446</v>
      </c>
      <c r="C13" s="392" t="s">
        <v>447</v>
      </c>
      <c r="D13" s="392" t="s">
        <v>475</v>
      </c>
      <c r="E13" s="393">
        <v>0.10299999999999999</v>
      </c>
      <c r="F13" s="393" t="s">
        <v>449</v>
      </c>
      <c r="G13" s="393">
        <v>64.77</v>
      </c>
      <c r="H13" s="393" t="s">
        <v>450</v>
      </c>
      <c r="I13" s="393">
        <v>3.0000000000000001E-3</v>
      </c>
      <c r="J13" s="393" t="s">
        <v>451</v>
      </c>
      <c r="K13" s="393">
        <v>5.9999999999999995E-4</v>
      </c>
      <c r="L13" s="392" t="s">
        <v>452</v>
      </c>
      <c r="M13" s="392" t="s">
        <v>453</v>
      </c>
      <c r="N13" s="394" t="s">
        <v>454</v>
      </c>
      <c r="O13" s="392"/>
      <c r="P13" s="392"/>
      <c r="Q13" s="392"/>
    </row>
    <row r="14" spans="1:17">
      <c r="A14" s="392" t="str">
        <f t="shared" si="0"/>
        <v>Scope All-Fuels-Butylene</v>
      </c>
      <c r="B14" s="392" t="s">
        <v>446</v>
      </c>
      <c r="C14" s="392" t="s">
        <v>447</v>
      </c>
      <c r="D14" s="392" t="s">
        <v>476</v>
      </c>
      <c r="E14" s="393">
        <v>0.105</v>
      </c>
      <c r="F14" s="393" t="s">
        <v>449</v>
      </c>
      <c r="G14" s="393">
        <v>68.72</v>
      </c>
      <c r="H14" s="393" t="s">
        <v>450</v>
      </c>
      <c r="I14" s="393">
        <v>3.0000000000000001E-3</v>
      </c>
      <c r="J14" s="393" t="s">
        <v>451</v>
      </c>
      <c r="K14" s="393">
        <v>5.9999999999999995E-4</v>
      </c>
      <c r="L14" s="392" t="s">
        <v>452</v>
      </c>
      <c r="M14" s="392" t="s">
        <v>453</v>
      </c>
      <c r="N14" s="394" t="s">
        <v>454</v>
      </c>
      <c r="O14" s="392"/>
      <c r="P14" s="392"/>
      <c r="Q14" s="392"/>
    </row>
    <row r="15" spans="1:17" s="409" customFormat="1">
      <c r="A15" s="409" t="str">
        <f t="shared" si="0"/>
        <v>Scope All-Fuels-Coal - Anthracite</v>
      </c>
      <c r="B15" s="409" t="s">
        <v>446</v>
      </c>
      <c r="C15" s="409" t="s">
        <v>447</v>
      </c>
      <c r="D15" s="409" t="s">
        <v>477</v>
      </c>
      <c r="E15" s="415">
        <v>25.09</v>
      </c>
      <c r="F15" s="415" t="s">
        <v>470</v>
      </c>
      <c r="G15" s="415">
        <v>103.69</v>
      </c>
      <c r="H15" s="415" t="s">
        <v>450</v>
      </c>
      <c r="I15" s="415">
        <v>1.0999999999999999E-2</v>
      </c>
      <c r="J15" s="415" t="s">
        <v>451</v>
      </c>
      <c r="K15" s="415">
        <v>1.6000000000000001E-3</v>
      </c>
      <c r="L15" s="409" t="s">
        <v>452</v>
      </c>
      <c r="M15" s="409" t="s">
        <v>453</v>
      </c>
      <c r="N15" s="417" t="s">
        <v>454</v>
      </c>
    </row>
    <row r="16" spans="1:17">
      <c r="A16" s="392" t="str">
        <f t="shared" si="0"/>
        <v>Scope All-Fuels-Coal - Bituminous</v>
      </c>
      <c r="B16" s="392" t="s">
        <v>446</v>
      </c>
      <c r="C16" s="392" t="s">
        <v>447</v>
      </c>
      <c r="D16" s="392" t="s">
        <v>478</v>
      </c>
      <c r="E16" s="393">
        <v>24.93</v>
      </c>
      <c r="F16" s="393" t="s">
        <v>470</v>
      </c>
      <c r="G16" s="393">
        <v>93.28</v>
      </c>
      <c r="H16" s="393" t="s">
        <v>450</v>
      </c>
      <c r="I16" s="393">
        <v>1.0999999999999999E-2</v>
      </c>
      <c r="J16" s="393" t="s">
        <v>451</v>
      </c>
      <c r="K16" s="393">
        <v>1.6000000000000001E-3</v>
      </c>
      <c r="L16" s="392" t="s">
        <v>452</v>
      </c>
      <c r="M16" s="392" t="s">
        <v>453</v>
      </c>
      <c r="N16" s="394" t="s">
        <v>454</v>
      </c>
      <c r="O16" s="392"/>
      <c r="P16" s="392"/>
      <c r="Q16" s="392"/>
    </row>
    <row r="17" spans="1:17">
      <c r="A17" s="392" t="str">
        <f t="shared" si="0"/>
        <v>Scope All-Fuels-Coal - Coke</v>
      </c>
      <c r="B17" s="392" t="s">
        <v>446</v>
      </c>
      <c r="C17" s="392" t="s">
        <v>447</v>
      </c>
      <c r="D17" s="392" t="s">
        <v>479</v>
      </c>
      <c r="E17" s="393">
        <v>24.8</v>
      </c>
      <c r="F17" s="393" t="s">
        <v>470</v>
      </c>
      <c r="G17" s="393">
        <v>113.67</v>
      </c>
      <c r="H17" s="393" t="s">
        <v>450</v>
      </c>
      <c r="I17" s="393">
        <v>1.0999999999999999E-2</v>
      </c>
      <c r="J17" s="393" t="s">
        <v>451</v>
      </c>
      <c r="K17" s="393">
        <v>1.6000000000000001E-3</v>
      </c>
      <c r="L17" s="392" t="s">
        <v>452</v>
      </c>
      <c r="M17" s="392" t="s">
        <v>453</v>
      </c>
      <c r="N17" s="394" t="s">
        <v>454</v>
      </c>
      <c r="O17" s="392"/>
      <c r="P17" s="392"/>
      <c r="Q17" s="392"/>
    </row>
    <row r="18" spans="1:17">
      <c r="A18" s="392" t="str">
        <f t="shared" si="0"/>
        <v>Scope All-Fuels-Coal - Lignite</v>
      </c>
      <c r="B18" s="392" t="s">
        <v>446</v>
      </c>
      <c r="C18" s="392" t="s">
        <v>447</v>
      </c>
      <c r="D18" s="392" t="s">
        <v>480</v>
      </c>
      <c r="E18" s="393">
        <v>14.21</v>
      </c>
      <c r="F18" s="393" t="s">
        <v>470</v>
      </c>
      <c r="G18" s="393">
        <v>97.27</v>
      </c>
      <c r="H18" s="393" t="s">
        <v>450</v>
      </c>
      <c r="I18" s="393">
        <v>1.0999999999999999E-2</v>
      </c>
      <c r="J18" s="393" t="s">
        <v>451</v>
      </c>
      <c r="K18" s="393">
        <v>1.6000000000000001E-3</v>
      </c>
      <c r="L18" s="392" t="s">
        <v>452</v>
      </c>
      <c r="M18" s="392" t="s">
        <v>453</v>
      </c>
      <c r="N18" s="394" t="s">
        <v>454</v>
      </c>
      <c r="O18" s="392"/>
      <c r="P18" s="392"/>
      <c r="Q18" s="392"/>
    </row>
    <row r="19" spans="1:17">
      <c r="A19" s="392" t="str">
        <f t="shared" si="0"/>
        <v>Scope All-Fuels-Coal - Mixed (Commercial sector)</v>
      </c>
      <c r="B19" s="392" t="s">
        <v>446</v>
      </c>
      <c r="C19" s="392" t="s">
        <v>447</v>
      </c>
      <c r="D19" s="392" t="s">
        <v>481</v>
      </c>
      <c r="E19" s="393">
        <v>21.39</v>
      </c>
      <c r="F19" s="393" t="s">
        <v>470</v>
      </c>
      <c r="G19" s="393">
        <v>94.27</v>
      </c>
      <c r="H19" s="393" t="s">
        <v>450</v>
      </c>
      <c r="I19" s="393">
        <v>1.0999999999999999E-2</v>
      </c>
      <c r="J19" s="393" t="s">
        <v>451</v>
      </c>
      <c r="K19" s="393">
        <v>1.6000000000000001E-3</v>
      </c>
      <c r="L19" s="392" t="s">
        <v>452</v>
      </c>
      <c r="M19" s="392" t="s">
        <v>453</v>
      </c>
      <c r="N19" s="394" t="s">
        <v>454</v>
      </c>
      <c r="O19" s="392"/>
      <c r="P19" s="392"/>
      <c r="Q19" s="392"/>
    </row>
    <row r="20" spans="1:17">
      <c r="A20" s="392" t="str">
        <f t="shared" si="0"/>
        <v>Scope All-Fuels-Coal - Mixed (Electric Power sector)</v>
      </c>
      <c r="B20" s="392" t="s">
        <v>446</v>
      </c>
      <c r="C20" s="392" t="s">
        <v>447</v>
      </c>
      <c r="D20" s="392" t="s">
        <v>482</v>
      </c>
      <c r="E20" s="393">
        <v>19.73</v>
      </c>
      <c r="F20" s="393" t="s">
        <v>470</v>
      </c>
      <c r="G20" s="393">
        <v>95.52</v>
      </c>
      <c r="H20" s="393" t="s">
        <v>450</v>
      </c>
      <c r="I20" s="393">
        <v>1.0999999999999999E-2</v>
      </c>
      <c r="J20" s="393" t="s">
        <v>451</v>
      </c>
      <c r="K20" s="393">
        <v>1.6000000000000001E-3</v>
      </c>
      <c r="L20" s="392" t="s">
        <v>452</v>
      </c>
      <c r="M20" s="392" t="s">
        <v>453</v>
      </c>
      <c r="N20" s="394" t="s">
        <v>454</v>
      </c>
      <c r="O20" s="392"/>
      <c r="P20" s="392"/>
      <c r="Q20" s="392"/>
    </row>
    <row r="21" spans="1:17">
      <c r="A21" s="392" t="str">
        <f t="shared" si="0"/>
        <v>Scope All-Fuels-Coal - Mixed (Industrial coking)</v>
      </c>
      <c r="B21" s="392" t="s">
        <v>446</v>
      </c>
      <c r="C21" s="392" t="s">
        <v>447</v>
      </c>
      <c r="D21" s="392" t="s">
        <v>483</v>
      </c>
      <c r="E21" s="393">
        <v>26.28</v>
      </c>
      <c r="F21" s="393" t="s">
        <v>470</v>
      </c>
      <c r="G21" s="393">
        <v>93.9</v>
      </c>
      <c r="H21" s="393" t="s">
        <v>450</v>
      </c>
      <c r="I21" s="393">
        <v>1.0999999999999999E-2</v>
      </c>
      <c r="J21" s="393" t="s">
        <v>451</v>
      </c>
      <c r="K21" s="393">
        <v>1.6000000000000001E-3</v>
      </c>
      <c r="L21" s="392" t="s">
        <v>452</v>
      </c>
      <c r="M21" s="392" t="s">
        <v>453</v>
      </c>
      <c r="N21" s="394" t="s">
        <v>454</v>
      </c>
      <c r="O21" s="392"/>
      <c r="P21" s="392"/>
      <c r="Q21" s="392"/>
    </row>
    <row r="22" spans="1:17">
      <c r="A22" s="392" t="str">
        <f t="shared" si="0"/>
        <v>Scope All-Fuels-Coal - Mixed (Industrial sector)</v>
      </c>
      <c r="B22" s="392" t="s">
        <v>446</v>
      </c>
      <c r="C22" s="392" t="s">
        <v>447</v>
      </c>
      <c r="D22" s="392" t="s">
        <v>484</v>
      </c>
      <c r="E22" s="393">
        <v>22.35</v>
      </c>
      <c r="F22" s="393" t="s">
        <v>470</v>
      </c>
      <c r="G22" s="393">
        <v>94.67</v>
      </c>
      <c r="H22" s="393" t="s">
        <v>450</v>
      </c>
      <c r="I22" s="393">
        <v>1.0999999999999999E-2</v>
      </c>
      <c r="J22" s="393" t="s">
        <v>451</v>
      </c>
      <c r="K22" s="393">
        <v>1.6000000000000001E-3</v>
      </c>
      <c r="L22" s="392" t="s">
        <v>452</v>
      </c>
      <c r="M22" s="392" t="s">
        <v>453</v>
      </c>
      <c r="N22" s="394" t="s">
        <v>454</v>
      </c>
      <c r="O22" s="392"/>
      <c r="P22" s="392"/>
      <c r="Q22" s="392"/>
    </row>
    <row r="23" spans="1:17">
      <c r="A23" s="392" t="str">
        <f t="shared" si="0"/>
        <v>Scope All-Fuels-Coal - Subbituminous</v>
      </c>
      <c r="B23" s="392" t="s">
        <v>446</v>
      </c>
      <c r="C23" s="392" t="s">
        <v>447</v>
      </c>
      <c r="D23" s="392" t="s">
        <v>485</v>
      </c>
      <c r="E23" s="393">
        <v>17.25</v>
      </c>
      <c r="F23" s="393" t="s">
        <v>470</v>
      </c>
      <c r="G23" s="393">
        <v>97.17</v>
      </c>
      <c r="H23" s="393" t="s">
        <v>450</v>
      </c>
      <c r="I23" s="393">
        <v>1.0999999999999999E-2</v>
      </c>
      <c r="J23" s="393" t="s">
        <v>451</v>
      </c>
      <c r="K23" s="393">
        <v>1.6000000000000001E-3</v>
      </c>
      <c r="L23" s="392" t="s">
        <v>452</v>
      </c>
      <c r="M23" s="392" t="s">
        <v>453</v>
      </c>
      <c r="N23" s="394" t="s">
        <v>454</v>
      </c>
      <c r="O23" s="392"/>
      <c r="P23" s="392"/>
      <c r="Q23" s="392"/>
    </row>
    <row r="24" spans="1:17">
      <c r="A24" s="392" t="str">
        <f t="shared" si="0"/>
        <v>Scope All-Fuels-Coke oven gas - Fossil-derived</v>
      </c>
      <c r="B24" s="392" t="s">
        <v>446</v>
      </c>
      <c r="C24" s="392" t="s">
        <v>447</v>
      </c>
      <c r="D24" s="392" t="s">
        <v>486</v>
      </c>
      <c r="E24" s="393">
        <f>0.599*10^-3</f>
        <v>5.9900000000000003E-4</v>
      </c>
      <c r="F24" s="393" t="s">
        <v>459</v>
      </c>
      <c r="G24" s="393">
        <v>46.85</v>
      </c>
      <c r="H24" s="393" t="s">
        <v>450</v>
      </c>
      <c r="I24" s="393">
        <v>4.7999999999999996E-4</v>
      </c>
      <c r="J24" s="393" t="s">
        <v>451</v>
      </c>
      <c r="K24" s="393">
        <v>1E-4</v>
      </c>
      <c r="L24" s="392" t="s">
        <v>452</v>
      </c>
      <c r="M24" s="392" t="s">
        <v>453</v>
      </c>
      <c r="N24" s="394" t="s">
        <v>454</v>
      </c>
      <c r="O24" s="392"/>
      <c r="P24" s="392"/>
      <c r="Q24" s="392"/>
    </row>
    <row r="25" spans="1:17">
      <c r="A25" s="392" t="str">
        <f t="shared" si="0"/>
        <v>Scope All-Fuels-Crude oil</v>
      </c>
      <c r="B25" s="392" t="s">
        <v>446</v>
      </c>
      <c r="C25" s="392" t="s">
        <v>447</v>
      </c>
      <c r="D25" s="392" t="s">
        <v>487</v>
      </c>
      <c r="E25" s="393">
        <v>0.13800000000000001</v>
      </c>
      <c r="F25" s="393" t="s">
        <v>449</v>
      </c>
      <c r="G25" s="393">
        <v>74.540000000000006</v>
      </c>
      <c r="H25" s="393" t="s">
        <v>450</v>
      </c>
      <c r="I25" s="393">
        <v>3.0000000000000001E-3</v>
      </c>
      <c r="J25" s="393" t="s">
        <v>451</v>
      </c>
      <c r="K25" s="393">
        <v>5.9999999999999995E-4</v>
      </c>
      <c r="L25" s="392" t="s">
        <v>452</v>
      </c>
      <c r="M25" s="392" t="s">
        <v>453</v>
      </c>
      <c r="N25" s="394" t="s">
        <v>454</v>
      </c>
      <c r="O25" s="392"/>
      <c r="P25" s="392"/>
      <c r="Q25" s="392"/>
    </row>
    <row r="26" spans="1:17">
      <c r="A26" s="392" t="str">
        <f t="shared" si="0"/>
        <v>Scope All-Fuels-Distillate Fuel Oil No. 1</v>
      </c>
      <c r="B26" s="392" t="s">
        <v>446</v>
      </c>
      <c r="C26" s="392" t="s">
        <v>447</v>
      </c>
      <c r="D26" s="392" t="s">
        <v>488</v>
      </c>
      <c r="E26" s="393">
        <v>0.13900000000000001</v>
      </c>
      <c r="F26" s="393" t="s">
        <v>449</v>
      </c>
      <c r="G26" s="393">
        <v>73.25</v>
      </c>
      <c r="H26" s="393" t="s">
        <v>450</v>
      </c>
      <c r="I26" s="393">
        <v>3.0000000000000001E-3</v>
      </c>
      <c r="J26" s="393" t="s">
        <v>451</v>
      </c>
      <c r="K26" s="393">
        <v>5.9999999999999995E-4</v>
      </c>
      <c r="L26" s="392" t="s">
        <v>452</v>
      </c>
      <c r="M26" s="392" t="s">
        <v>453</v>
      </c>
      <c r="N26" s="394" t="s">
        <v>454</v>
      </c>
      <c r="O26" s="392"/>
      <c r="P26" s="392"/>
      <c r="Q26" s="392"/>
    </row>
    <row r="27" spans="1:17" s="399" customFormat="1">
      <c r="A27" s="399" t="str">
        <f t="shared" si="0"/>
        <v>Scope All-Fuels-Distillate Fuel Oil No. 2</v>
      </c>
      <c r="B27" s="399" t="s">
        <v>446</v>
      </c>
      <c r="C27" s="399" t="s">
        <v>447</v>
      </c>
      <c r="D27" s="399" t="s">
        <v>489</v>
      </c>
      <c r="E27" s="415">
        <v>0.13800000000000001</v>
      </c>
      <c r="F27" s="415" t="s">
        <v>449</v>
      </c>
      <c r="G27" s="415">
        <v>73.959999999999994</v>
      </c>
      <c r="H27" s="415" t="s">
        <v>450</v>
      </c>
      <c r="I27" s="415">
        <v>3.0000000000000001E-3</v>
      </c>
      <c r="J27" s="415" t="s">
        <v>451</v>
      </c>
      <c r="K27" s="415">
        <v>5.9999999999999995E-4</v>
      </c>
      <c r="L27" s="399" t="s">
        <v>452</v>
      </c>
      <c r="M27" s="399" t="s">
        <v>453</v>
      </c>
      <c r="N27" s="416" t="s">
        <v>454</v>
      </c>
    </row>
    <row r="28" spans="1:17">
      <c r="A28" s="392" t="str">
        <f t="shared" si="0"/>
        <v>Scope All-Fuels-Distillate Fuel Oil No. 4</v>
      </c>
      <c r="B28" s="392" t="s">
        <v>446</v>
      </c>
      <c r="C28" s="392" t="s">
        <v>447</v>
      </c>
      <c r="D28" s="392" t="s">
        <v>490</v>
      </c>
      <c r="E28" s="393">
        <v>0.14599999999999999</v>
      </c>
      <c r="F28" s="393" t="s">
        <v>449</v>
      </c>
      <c r="G28" s="393">
        <v>75.040000000000006</v>
      </c>
      <c r="H28" s="393" t="s">
        <v>450</v>
      </c>
      <c r="I28" s="393">
        <v>3.0000000000000001E-3</v>
      </c>
      <c r="J28" s="393" t="s">
        <v>451</v>
      </c>
      <c r="K28" s="393">
        <v>5.9999999999999995E-4</v>
      </c>
      <c r="L28" s="392" t="s">
        <v>452</v>
      </c>
      <c r="M28" s="392" t="s">
        <v>453</v>
      </c>
      <c r="N28" s="394" t="s">
        <v>454</v>
      </c>
      <c r="O28" s="392"/>
      <c r="P28" s="392"/>
      <c r="Q28" s="392"/>
    </row>
    <row r="29" spans="1:17">
      <c r="A29" s="392" t="str">
        <f t="shared" si="0"/>
        <v>Scope All-Fuels-Ethane</v>
      </c>
      <c r="B29" s="392" t="s">
        <v>446</v>
      </c>
      <c r="C29" s="392" t="s">
        <v>447</v>
      </c>
      <c r="D29" s="392" t="s">
        <v>491</v>
      </c>
      <c r="E29" s="393">
        <v>6.8000000000000005E-2</v>
      </c>
      <c r="F29" s="393" t="s">
        <v>449</v>
      </c>
      <c r="G29" s="393">
        <v>59.6</v>
      </c>
      <c r="H29" s="393" t="s">
        <v>450</v>
      </c>
      <c r="I29" s="393">
        <v>3.0000000000000001E-3</v>
      </c>
      <c r="J29" s="393" t="s">
        <v>451</v>
      </c>
      <c r="K29" s="393">
        <v>5.9999999999999995E-4</v>
      </c>
      <c r="L29" s="392" t="s">
        <v>452</v>
      </c>
      <c r="M29" s="392" t="s">
        <v>453</v>
      </c>
      <c r="N29" s="394" t="s">
        <v>454</v>
      </c>
      <c r="O29" s="392"/>
      <c r="P29" s="392"/>
      <c r="Q29" s="392"/>
    </row>
    <row r="30" spans="1:17">
      <c r="A30" s="392" t="str">
        <f t="shared" si="0"/>
        <v>Scope All-Fuels-Ethanol - E100</v>
      </c>
      <c r="B30" s="392" t="s">
        <v>446</v>
      </c>
      <c r="C30" s="392" t="s">
        <v>447</v>
      </c>
      <c r="D30" s="392" t="s">
        <v>492</v>
      </c>
      <c r="E30" s="392">
        <v>8.4000000000000005E-2</v>
      </c>
      <c r="F30" s="392" t="s">
        <v>449</v>
      </c>
      <c r="G30" s="392">
        <v>68.44</v>
      </c>
      <c r="H30" s="392" t="s">
        <v>450</v>
      </c>
      <c r="I30" s="392">
        <f>1.1*10^-3</f>
        <v>1.1000000000000001E-3</v>
      </c>
      <c r="J30" s="392" t="s">
        <v>451</v>
      </c>
      <c r="K30" s="392">
        <f>1.1*10^-4</f>
        <v>1.1000000000000002E-4</v>
      </c>
      <c r="L30" s="392" t="s">
        <v>452</v>
      </c>
      <c r="M30" s="392" t="s">
        <v>453</v>
      </c>
      <c r="N30" s="394" t="s">
        <v>457</v>
      </c>
      <c r="O30" s="392"/>
      <c r="P30" s="392"/>
      <c r="Q30" s="392"/>
    </row>
    <row r="31" spans="1:17">
      <c r="A31" s="392" t="str">
        <f t="shared" si="0"/>
        <v>Scope All-Fuels-Ethylene</v>
      </c>
      <c r="B31" s="392" t="s">
        <v>446</v>
      </c>
      <c r="C31" s="392" t="s">
        <v>447</v>
      </c>
      <c r="D31" s="392" t="s">
        <v>493</v>
      </c>
      <c r="E31" s="397">
        <v>5.8000000000000003E-2</v>
      </c>
      <c r="F31" s="393" t="s">
        <v>449</v>
      </c>
      <c r="G31" s="393">
        <v>65.959999999999994</v>
      </c>
      <c r="H31" s="393" t="s">
        <v>450</v>
      </c>
      <c r="I31" s="393">
        <v>3.0000000000000001E-3</v>
      </c>
      <c r="J31" s="393" t="s">
        <v>451</v>
      </c>
      <c r="K31" s="393">
        <v>5.9999999999999995E-4</v>
      </c>
      <c r="L31" s="392" t="s">
        <v>452</v>
      </c>
      <c r="M31" s="392" t="s">
        <v>453</v>
      </c>
      <c r="N31" s="394" t="s">
        <v>454</v>
      </c>
      <c r="O31" s="392"/>
      <c r="P31" s="392"/>
      <c r="Q31" s="392"/>
    </row>
    <row r="32" spans="1:17">
      <c r="A32" s="392" t="str">
        <f t="shared" si="0"/>
        <v>Scope All-Fuels-Heavy gas oils</v>
      </c>
      <c r="B32" s="392" t="s">
        <v>446</v>
      </c>
      <c r="C32" s="392" t="s">
        <v>447</v>
      </c>
      <c r="D32" s="392" t="s">
        <v>494</v>
      </c>
      <c r="E32" s="393">
        <v>0.14799999999999999</v>
      </c>
      <c r="F32" s="393" t="s">
        <v>449</v>
      </c>
      <c r="G32" s="393">
        <v>74.92</v>
      </c>
      <c r="H32" s="393" t="s">
        <v>450</v>
      </c>
      <c r="I32" s="393">
        <v>3.0000000000000001E-3</v>
      </c>
      <c r="J32" s="393" t="s">
        <v>451</v>
      </c>
      <c r="K32" s="393">
        <v>5.9999999999999995E-4</v>
      </c>
      <c r="L32" s="392" t="s">
        <v>452</v>
      </c>
      <c r="M32" s="392" t="s">
        <v>453</v>
      </c>
      <c r="N32" s="394" t="s">
        <v>454</v>
      </c>
      <c r="O32" s="392"/>
      <c r="P32" s="392"/>
      <c r="Q32" s="392"/>
    </row>
    <row r="33" spans="1:17">
      <c r="A33" s="392" t="str">
        <f t="shared" si="0"/>
        <v>Scope All-Fuels-Isobutene</v>
      </c>
      <c r="B33" s="392" t="s">
        <v>446</v>
      </c>
      <c r="C33" s="392" t="s">
        <v>447</v>
      </c>
      <c r="D33" s="392" t="s">
        <v>495</v>
      </c>
      <c r="E33" s="393">
        <v>9.9000000000000005E-2</v>
      </c>
      <c r="F33" s="393" t="s">
        <v>449</v>
      </c>
      <c r="G33" s="393">
        <v>64.94</v>
      </c>
      <c r="H33" s="393" t="s">
        <v>450</v>
      </c>
      <c r="I33" s="393">
        <v>3.0000000000000001E-3</v>
      </c>
      <c r="J33" s="393" t="s">
        <v>451</v>
      </c>
      <c r="K33" s="393">
        <v>5.9999999999999995E-4</v>
      </c>
      <c r="L33" s="392" t="s">
        <v>452</v>
      </c>
      <c r="M33" s="392" t="s">
        <v>453</v>
      </c>
      <c r="N33" s="394" t="s">
        <v>454</v>
      </c>
      <c r="O33" s="392"/>
      <c r="P33" s="392"/>
      <c r="Q33" s="392"/>
    </row>
    <row r="34" spans="1:17">
      <c r="A34" s="392" t="str">
        <f t="shared" si="0"/>
        <v>Scope All-Fuels-Isobutylene</v>
      </c>
      <c r="B34" s="392" t="s">
        <v>446</v>
      </c>
      <c r="C34" s="392" t="s">
        <v>447</v>
      </c>
      <c r="D34" s="392" t="s">
        <v>496</v>
      </c>
      <c r="E34" s="393">
        <v>0.10299999999999999</v>
      </c>
      <c r="F34" s="393" t="s">
        <v>449</v>
      </c>
      <c r="G34" s="393">
        <v>68.86</v>
      </c>
      <c r="H34" s="393" t="s">
        <v>450</v>
      </c>
      <c r="I34" s="393">
        <v>3.0000000000000001E-3</v>
      </c>
      <c r="J34" s="393" t="s">
        <v>451</v>
      </c>
      <c r="K34" s="393">
        <v>5.9999999999999995E-4</v>
      </c>
      <c r="L34" s="392" t="s">
        <v>452</v>
      </c>
      <c r="M34" s="392" t="s">
        <v>453</v>
      </c>
      <c r="N34" s="394" t="s">
        <v>454</v>
      </c>
      <c r="O34" s="392"/>
      <c r="P34" s="392"/>
      <c r="Q34" s="392"/>
    </row>
    <row r="35" spans="1:17">
      <c r="A35" s="392" t="str">
        <f t="shared" si="0"/>
        <v>Scope All-Fuels-Kerosene</v>
      </c>
      <c r="B35" s="392" t="s">
        <v>446</v>
      </c>
      <c r="C35" s="392" t="s">
        <v>447</v>
      </c>
      <c r="D35" s="392" t="s">
        <v>497</v>
      </c>
      <c r="E35" s="393">
        <v>0.13500000000000001</v>
      </c>
      <c r="F35" s="393" t="s">
        <v>449</v>
      </c>
      <c r="G35" s="393">
        <v>75.2</v>
      </c>
      <c r="H35" s="393" t="s">
        <v>450</v>
      </c>
      <c r="I35" s="393">
        <v>3.0000000000000001E-3</v>
      </c>
      <c r="J35" s="393" t="s">
        <v>451</v>
      </c>
      <c r="K35" s="393">
        <v>5.9999999999999995E-4</v>
      </c>
      <c r="L35" s="392" t="s">
        <v>452</v>
      </c>
      <c r="M35" s="392" t="s">
        <v>453</v>
      </c>
      <c r="N35" s="394" t="s">
        <v>454</v>
      </c>
      <c r="O35" s="392"/>
      <c r="P35" s="392"/>
      <c r="Q35" s="392"/>
    </row>
    <row r="36" spans="1:17">
      <c r="A36" s="392" t="str">
        <f t="shared" si="0"/>
        <v>Scope All-Fuels-Kerosene-type jet fuel</v>
      </c>
      <c r="B36" s="392" t="s">
        <v>446</v>
      </c>
      <c r="C36" s="392" t="s">
        <v>447</v>
      </c>
      <c r="D36" s="392" t="s">
        <v>498</v>
      </c>
      <c r="E36" s="393">
        <v>0.13500000000000001</v>
      </c>
      <c r="F36" s="393" t="s">
        <v>449</v>
      </c>
      <c r="G36" s="398">
        <v>72.22</v>
      </c>
      <c r="H36" s="393" t="s">
        <v>450</v>
      </c>
      <c r="I36" s="393">
        <v>3.0000000000000001E-3</v>
      </c>
      <c r="J36" s="393" t="s">
        <v>451</v>
      </c>
      <c r="K36" s="393">
        <v>5.9999999999999995E-4</v>
      </c>
      <c r="L36" s="392" t="s">
        <v>452</v>
      </c>
      <c r="M36" s="392" t="s">
        <v>453</v>
      </c>
      <c r="N36" s="394" t="s">
        <v>454</v>
      </c>
      <c r="O36" s="392"/>
      <c r="P36" s="392"/>
      <c r="Q36" s="392"/>
    </row>
    <row r="37" spans="1:17">
      <c r="A37" s="392" t="str">
        <f t="shared" si="0"/>
        <v>Scope All-Fuels-Liquefied petroleum gases (LPG)</v>
      </c>
      <c r="B37" s="392" t="s">
        <v>446</v>
      </c>
      <c r="C37" s="393" t="s">
        <v>447</v>
      </c>
      <c r="D37" s="392" t="s">
        <v>499</v>
      </c>
      <c r="E37" s="393">
        <v>9.1999999999999998E-2</v>
      </c>
      <c r="F37" s="393" t="s">
        <v>449</v>
      </c>
      <c r="G37" s="393">
        <v>61.71</v>
      </c>
      <c r="H37" s="393" t="s">
        <v>450</v>
      </c>
      <c r="I37" s="393">
        <v>3.0000000000000001E-3</v>
      </c>
      <c r="J37" s="393" t="s">
        <v>451</v>
      </c>
      <c r="K37" s="393">
        <v>5.9999999999999995E-4</v>
      </c>
      <c r="L37" s="392" t="s">
        <v>452</v>
      </c>
      <c r="M37" s="392" t="s">
        <v>453</v>
      </c>
      <c r="N37" s="394" t="s">
        <v>454</v>
      </c>
      <c r="O37" s="392"/>
      <c r="P37" s="392"/>
      <c r="Q37" s="392"/>
    </row>
    <row r="38" spans="1:17">
      <c r="A38" s="392" t="str">
        <f t="shared" si="0"/>
        <v>Scope All-Fuels-Lubricants</v>
      </c>
      <c r="B38" s="392" t="s">
        <v>446</v>
      </c>
      <c r="C38" s="392" t="s">
        <v>447</v>
      </c>
      <c r="D38" s="392" t="s">
        <v>500</v>
      </c>
      <c r="E38" s="393">
        <v>0.14399999999999999</v>
      </c>
      <c r="F38" s="393" t="s">
        <v>449</v>
      </c>
      <c r="G38" s="393">
        <v>74.27</v>
      </c>
      <c r="H38" s="393" t="s">
        <v>450</v>
      </c>
      <c r="I38" s="393">
        <v>3.0000000000000001E-3</v>
      </c>
      <c r="J38" s="393" t="s">
        <v>451</v>
      </c>
      <c r="K38" s="393">
        <v>5.9999999999999995E-4</v>
      </c>
      <c r="L38" s="392" t="s">
        <v>452</v>
      </c>
      <c r="M38" s="392" t="s">
        <v>453</v>
      </c>
      <c r="N38" s="394" t="s">
        <v>454</v>
      </c>
      <c r="O38" s="392"/>
      <c r="P38" s="392"/>
      <c r="Q38" s="392"/>
    </row>
    <row r="39" spans="1:17" s="399" customFormat="1">
      <c r="A39" s="399" t="str">
        <f t="shared" si="0"/>
        <v>Scope All-Fuels-Motor gasoline</v>
      </c>
      <c r="B39" s="399" t="s">
        <v>446</v>
      </c>
      <c r="C39" s="399" t="s">
        <v>447</v>
      </c>
      <c r="D39" s="399" t="s">
        <v>501</v>
      </c>
      <c r="E39" s="415">
        <v>0.125</v>
      </c>
      <c r="F39" s="415" t="s">
        <v>449</v>
      </c>
      <c r="G39" s="415">
        <v>70.22</v>
      </c>
      <c r="H39" s="415" t="s">
        <v>450</v>
      </c>
      <c r="I39" s="415">
        <v>3.0000000000000001E-3</v>
      </c>
      <c r="J39" s="415" t="s">
        <v>451</v>
      </c>
      <c r="K39" s="415">
        <v>5.9999999999999995E-4</v>
      </c>
      <c r="L39" s="399" t="s">
        <v>452</v>
      </c>
      <c r="M39" s="399" t="s">
        <v>453</v>
      </c>
      <c r="N39" s="416" t="s">
        <v>454</v>
      </c>
    </row>
    <row r="40" spans="1:17">
      <c r="A40" s="392" t="str">
        <f t="shared" si="0"/>
        <v>Scope All-Fuels-Municipal solid waste - Fossil-derived</v>
      </c>
      <c r="B40" s="392" t="s">
        <v>446</v>
      </c>
      <c r="C40" s="392" t="s">
        <v>447</v>
      </c>
      <c r="D40" s="393" t="s">
        <v>502</v>
      </c>
      <c r="E40" s="393">
        <v>9.9499999999999993</v>
      </c>
      <c r="F40" s="393" t="s">
        <v>470</v>
      </c>
      <c r="G40" s="393">
        <v>90.7</v>
      </c>
      <c r="H40" s="393" t="s">
        <v>450</v>
      </c>
      <c r="I40" s="393">
        <v>3.2000000000000001E-2</v>
      </c>
      <c r="J40" s="393" t="s">
        <v>451</v>
      </c>
      <c r="K40" s="393">
        <v>4.2000000000000006E-3</v>
      </c>
      <c r="L40" s="392" t="s">
        <v>452</v>
      </c>
      <c r="M40" s="392" t="s">
        <v>453</v>
      </c>
      <c r="N40" s="394" t="s">
        <v>454</v>
      </c>
      <c r="O40" s="392"/>
      <c r="P40" s="392"/>
      <c r="Q40" s="392"/>
    </row>
    <row r="41" spans="1:17">
      <c r="A41" s="392" t="str">
        <f t="shared" si="0"/>
        <v>Scope All-Fuels-Naphtha - &lt;401 degrees F</v>
      </c>
      <c r="B41" s="392" t="s">
        <v>446</v>
      </c>
      <c r="C41" s="392" t="s">
        <v>447</v>
      </c>
      <c r="D41" s="393" t="s">
        <v>503</v>
      </c>
      <c r="E41" s="393">
        <v>0.125</v>
      </c>
      <c r="F41" s="393" t="s">
        <v>449</v>
      </c>
      <c r="G41" s="393">
        <v>68.02</v>
      </c>
      <c r="H41" s="393" t="s">
        <v>450</v>
      </c>
      <c r="I41" s="393">
        <v>3.0000000000000001E-3</v>
      </c>
      <c r="J41" s="393" t="s">
        <v>451</v>
      </c>
      <c r="K41" s="393">
        <v>5.9999999999999995E-4</v>
      </c>
      <c r="L41" s="392" t="s">
        <v>452</v>
      </c>
      <c r="M41" s="392" t="s">
        <v>453</v>
      </c>
      <c r="N41" s="394" t="s">
        <v>454</v>
      </c>
      <c r="O41" s="392"/>
      <c r="P41" s="392"/>
      <c r="Q41" s="392"/>
    </row>
    <row r="42" spans="1:17" s="399" customFormat="1">
      <c r="A42" s="399" t="str">
        <f t="shared" si="0"/>
        <v>Scope All-Fuels-Natural Gas</v>
      </c>
      <c r="B42" s="399" t="s">
        <v>446</v>
      </c>
      <c r="C42" s="399" t="s">
        <v>447</v>
      </c>
      <c r="D42" s="399" t="s">
        <v>45</v>
      </c>
      <c r="E42" s="415">
        <f>1.026*10^-3</f>
        <v>1.026E-3</v>
      </c>
      <c r="F42" s="415" t="s">
        <v>459</v>
      </c>
      <c r="G42" s="415">
        <v>53.06</v>
      </c>
      <c r="H42" s="415" t="s">
        <v>450</v>
      </c>
      <c r="I42" s="415">
        <v>1E-3</v>
      </c>
      <c r="J42" s="415" t="s">
        <v>451</v>
      </c>
      <c r="K42" s="415">
        <v>1E-4</v>
      </c>
      <c r="L42" s="399" t="s">
        <v>452</v>
      </c>
      <c r="M42" s="399" t="s">
        <v>453</v>
      </c>
      <c r="N42" s="416" t="s">
        <v>454</v>
      </c>
    </row>
    <row r="43" spans="1:17">
      <c r="A43" s="392" t="str">
        <f t="shared" si="0"/>
        <v>Scope All-Fuels-Natural gasoline</v>
      </c>
      <c r="B43" s="392" t="s">
        <v>446</v>
      </c>
      <c r="C43" s="392" t="s">
        <v>447</v>
      </c>
      <c r="D43" s="392" t="s">
        <v>504</v>
      </c>
      <c r="E43" s="393">
        <v>0.11</v>
      </c>
      <c r="F43" s="393" t="s">
        <v>449</v>
      </c>
      <c r="G43" s="393">
        <v>66.88</v>
      </c>
      <c r="H43" s="393" t="s">
        <v>450</v>
      </c>
      <c r="I43" s="393">
        <v>3.0000000000000001E-3</v>
      </c>
      <c r="J43" s="393" t="s">
        <v>451</v>
      </c>
      <c r="K43" s="393">
        <v>5.9999999999999995E-4</v>
      </c>
      <c r="L43" s="392" t="s">
        <v>452</v>
      </c>
      <c r="M43" s="392" t="s">
        <v>453</v>
      </c>
      <c r="N43" s="394" t="s">
        <v>454</v>
      </c>
      <c r="O43" s="392"/>
      <c r="P43" s="392"/>
      <c r="Q43" s="392"/>
    </row>
    <row r="44" spans="1:17">
      <c r="A44" s="392" t="str">
        <f t="shared" si="0"/>
        <v>Scope All-Fuels-Other oil (&gt;401 degrees F)</v>
      </c>
      <c r="B44" s="392" t="s">
        <v>446</v>
      </c>
      <c r="C44" s="392" t="s">
        <v>447</v>
      </c>
      <c r="D44" s="392" t="s">
        <v>505</v>
      </c>
      <c r="E44" s="393">
        <v>0.13900000000000001</v>
      </c>
      <c r="F44" s="393" t="s">
        <v>449</v>
      </c>
      <c r="G44" s="393">
        <v>76.22</v>
      </c>
      <c r="H44" s="393" t="s">
        <v>450</v>
      </c>
      <c r="I44" s="393">
        <v>3.0000000000000001E-3</v>
      </c>
      <c r="J44" s="393" t="s">
        <v>451</v>
      </c>
      <c r="K44" s="393">
        <v>5.9999999999999995E-4</v>
      </c>
      <c r="L44" s="392" t="s">
        <v>452</v>
      </c>
      <c r="M44" s="392" t="s">
        <v>453</v>
      </c>
      <c r="N44" s="394" t="s">
        <v>454</v>
      </c>
      <c r="O44" s="392"/>
      <c r="P44" s="392"/>
      <c r="Q44" s="392"/>
    </row>
    <row r="45" spans="1:17">
      <c r="A45" s="392" t="str">
        <f t="shared" si="0"/>
        <v>Scope All-Fuels-Pentanes plus</v>
      </c>
      <c r="B45" s="392" t="s">
        <v>446</v>
      </c>
      <c r="C45" s="392" t="s">
        <v>447</v>
      </c>
      <c r="D45" s="392" t="s">
        <v>506</v>
      </c>
      <c r="E45" s="393">
        <v>0.11</v>
      </c>
      <c r="F45" s="393" t="s">
        <v>449</v>
      </c>
      <c r="G45" s="393">
        <v>70.02</v>
      </c>
      <c r="H45" s="393" t="s">
        <v>450</v>
      </c>
      <c r="I45" s="393">
        <v>3.0000000000000001E-3</v>
      </c>
      <c r="J45" s="393" t="s">
        <v>451</v>
      </c>
      <c r="K45" s="393">
        <v>5.9999999999999995E-4</v>
      </c>
      <c r="L45" s="392" t="s">
        <v>452</v>
      </c>
      <c r="M45" s="392" t="s">
        <v>453</v>
      </c>
      <c r="N45" s="394" t="s">
        <v>454</v>
      </c>
      <c r="O45" s="392"/>
      <c r="P45" s="392"/>
      <c r="Q45" s="392"/>
    </row>
    <row r="46" spans="1:17">
      <c r="A46" s="392" t="str">
        <f t="shared" si="0"/>
        <v>Scope All-Fuels-Petrochemical feedstocks</v>
      </c>
      <c r="B46" s="392" t="s">
        <v>446</v>
      </c>
      <c r="C46" s="392" t="s">
        <v>447</v>
      </c>
      <c r="D46" s="392" t="s">
        <v>507</v>
      </c>
      <c r="E46" s="393">
        <v>0.125</v>
      </c>
      <c r="F46" s="393" t="s">
        <v>449</v>
      </c>
      <c r="G46" s="393">
        <v>71.02</v>
      </c>
      <c r="H46" s="393" t="s">
        <v>450</v>
      </c>
      <c r="I46" s="393">
        <v>3.0000000000000001E-3</v>
      </c>
      <c r="J46" s="393" t="s">
        <v>451</v>
      </c>
      <c r="K46" s="393">
        <v>5.9999999999999995E-4</v>
      </c>
      <c r="L46" s="392" t="s">
        <v>452</v>
      </c>
      <c r="M46" s="392" t="s">
        <v>453</v>
      </c>
      <c r="N46" s="394" t="s">
        <v>454</v>
      </c>
      <c r="O46" s="392"/>
      <c r="P46" s="392"/>
      <c r="Q46" s="392"/>
    </row>
    <row r="47" spans="1:17">
      <c r="A47" s="392" t="str">
        <f t="shared" si="0"/>
        <v>Scope All-Fuels-Petroleum coke</v>
      </c>
      <c r="B47" s="392" t="s">
        <v>446</v>
      </c>
      <c r="C47" s="392" t="s">
        <v>447</v>
      </c>
      <c r="D47" s="392" t="s">
        <v>508</v>
      </c>
      <c r="E47" s="393">
        <v>0.14299999999999999</v>
      </c>
      <c r="F47" s="393" t="s">
        <v>449</v>
      </c>
      <c r="G47" s="393">
        <v>102.41</v>
      </c>
      <c r="H47" s="393" t="s">
        <v>450</v>
      </c>
      <c r="I47" s="393">
        <v>3.0000000000000001E-3</v>
      </c>
      <c r="J47" s="393" t="s">
        <v>451</v>
      </c>
      <c r="K47" s="393">
        <v>5.9999999999999995E-4</v>
      </c>
      <c r="L47" s="392" t="s">
        <v>452</v>
      </c>
      <c r="M47" s="392" t="s">
        <v>453</v>
      </c>
      <c r="N47" s="394" t="s">
        <v>454</v>
      </c>
      <c r="O47" s="392"/>
      <c r="P47" s="392"/>
      <c r="Q47" s="392"/>
    </row>
    <row r="48" spans="1:17" s="399" customFormat="1">
      <c r="A48" s="399" t="str">
        <f t="shared" si="0"/>
        <v>Scope All-Fuels-Propane</v>
      </c>
      <c r="B48" s="399" t="s">
        <v>446</v>
      </c>
      <c r="C48" s="399" t="s">
        <v>447</v>
      </c>
      <c r="D48" s="399" t="s">
        <v>509</v>
      </c>
      <c r="E48" s="415">
        <v>9.0999999999999998E-2</v>
      </c>
      <c r="F48" s="415" t="s">
        <v>449</v>
      </c>
      <c r="G48" s="415">
        <v>62.87</v>
      </c>
      <c r="H48" s="415" t="s">
        <v>450</v>
      </c>
      <c r="I48" s="415">
        <v>3.0000000000000001E-3</v>
      </c>
      <c r="J48" s="415" t="s">
        <v>451</v>
      </c>
      <c r="K48" s="415">
        <v>5.9999999999999995E-4</v>
      </c>
      <c r="L48" s="399" t="s">
        <v>452</v>
      </c>
      <c r="M48" s="399" t="s">
        <v>453</v>
      </c>
      <c r="N48" s="416" t="s">
        <v>454</v>
      </c>
    </row>
    <row r="49" spans="1:17">
      <c r="A49" s="392" t="str">
        <f t="shared" si="0"/>
        <v>Scope All-Fuels-Propylene</v>
      </c>
      <c r="B49" s="392" t="s">
        <v>446</v>
      </c>
      <c r="C49" s="392" t="s">
        <v>447</v>
      </c>
      <c r="D49" s="392" t="s">
        <v>510</v>
      </c>
      <c r="E49" s="393">
        <v>9.0999999999999998E-2</v>
      </c>
      <c r="F49" s="393" t="s">
        <v>449</v>
      </c>
      <c r="G49" s="396">
        <v>67.77</v>
      </c>
      <c r="H49" s="393" t="s">
        <v>450</v>
      </c>
      <c r="I49" s="393">
        <v>3.0000000000000001E-3</v>
      </c>
      <c r="J49" s="393" t="s">
        <v>451</v>
      </c>
      <c r="K49" s="393">
        <v>5.9999999999999995E-4</v>
      </c>
      <c r="L49" s="392" t="s">
        <v>452</v>
      </c>
      <c r="M49" s="392" t="s">
        <v>453</v>
      </c>
      <c r="N49" s="394" t="s">
        <v>454</v>
      </c>
      <c r="O49" s="392"/>
      <c r="P49" s="392"/>
      <c r="Q49" s="392"/>
    </row>
    <row r="50" spans="1:17">
      <c r="A50" s="392" t="str">
        <f t="shared" si="0"/>
        <v>Scope All-Fuels-Rendered animal fat</v>
      </c>
      <c r="B50" s="392" t="s">
        <v>446</v>
      </c>
      <c r="C50" s="392" t="s">
        <v>447</v>
      </c>
      <c r="D50" s="392" t="s">
        <v>511</v>
      </c>
      <c r="E50" s="392">
        <v>0.125</v>
      </c>
      <c r="F50" s="392" t="s">
        <v>449</v>
      </c>
      <c r="G50" s="392">
        <v>71.06</v>
      </c>
      <c r="H50" s="392" t="s">
        <v>450</v>
      </c>
      <c r="I50" s="392">
        <f>1.1*10^-3</f>
        <v>1.1000000000000001E-3</v>
      </c>
      <c r="J50" s="392" t="s">
        <v>451</v>
      </c>
      <c r="K50" s="392">
        <f>1.1*10^-4</f>
        <v>1.1000000000000002E-4</v>
      </c>
      <c r="L50" s="392" t="s">
        <v>452</v>
      </c>
      <c r="M50" s="392" t="s">
        <v>453</v>
      </c>
      <c r="N50" s="394" t="s">
        <v>457</v>
      </c>
      <c r="O50" s="392"/>
      <c r="P50" s="392"/>
      <c r="Q50" s="392"/>
    </row>
    <row r="51" spans="1:17">
      <c r="A51" s="392" t="str">
        <f t="shared" si="0"/>
        <v>Scope All-Fuels-Residual  Fuel Oil No. 6</v>
      </c>
      <c r="B51" s="392" t="s">
        <v>446</v>
      </c>
      <c r="C51" s="392" t="s">
        <v>447</v>
      </c>
      <c r="D51" s="393" t="s">
        <v>512</v>
      </c>
      <c r="E51" s="393">
        <v>0.15</v>
      </c>
      <c r="F51" s="393" t="s">
        <v>449</v>
      </c>
      <c r="G51" s="393">
        <v>75.099999999999994</v>
      </c>
      <c r="H51" s="393" t="s">
        <v>450</v>
      </c>
      <c r="I51" s="393">
        <v>3.0000000000000001E-3</v>
      </c>
      <c r="J51" s="393" t="s">
        <v>451</v>
      </c>
      <c r="K51" s="393">
        <v>5.9999999999999995E-4</v>
      </c>
      <c r="L51" s="392" t="s">
        <v>452</v>
      </c>
      <c r="M51" s="392" t="s">
        <v>453</v>
      </c>
      <c r="N51" s="394" t="s">
        <v>454</v>
      </c>
      <c r="O51" s="392"/>
      <c r="P51" s="392"/>
      <c r="Q51" s="392"/>
    </row>
    <row r="52" spans="1:17">
      <c r="A52" s="392" t="str">
        <f t="shared" si="0"/>
        <v>Scope All-Fuels-Residual Fuel Oil No. 5</v>
      </c>
      <c r="B52" s="392" t="s">
        <v>446</v>
      </c>
      <c r="C52" s="392" t="s">
        <v>447</v>
      </c>
      <c r="D52" s="393" t="s">
        <v>513</v>
      </c>
      <c r="E52" s="393">
        <v>0.14000000000000001</v>
      </c>
      <c r="F52" s="393" t="s">
        <v>449</v>
      </c>
      <c r="G52" s="393">
        <v>72.930000000000007</v>
      </c>
      <c r="H52" s="393" t="s">
        <v>450</v>
      </c>
      <c r="I52" s="393">
        <v>3.0000000000000001E-3</v>
      </c>
      <c r="J52" s="393" t="s">
        <v>451</v>
      </c>
      <c r="K52" s="393">
        <v>5.9999999999999995E-4</v>
      </c>
      <c r="L52" s="392" t="s">
        <v>452</v>
      </c>
      <c r="M52" s="392" t="s">
        <v>453</v>
      </c>
      <c r="N52" s="394" t="s">
        <v>454</v>
      </c>
      <c r="O52" s="392"/>
      <c r="P52" s="392"/>
      <c r="Q52" s="392"/>
    </row>
    <row r="53" spans="1:17">
      <c r="A53" s="392" t="str">
        <f t="shared" si="0"/>
        <v>Scope All-Fuels-Special naphtha</v>
      </c>
      <c r="B53" s="392" t="s">
        <v>446</v>
      </c>
      <c r="C53" s="392" t="s">
        <v>447</v>
      </c>
      <c r="D53" s="392" t="s">
        <v>514</v>
      </c>
      <c r="E53" s="393">
        <v>0.125</v>
      </c>
      <c r="F53" s="393" t="s">
        <v>449</v>
      </c>
      <c r="G53" s="393">
        <v>72.34</v>
      </c>
      <c r="H53" s="393" t="s">
        <v>450</v>
      </c>
      <c r="I53" s="393">
        <v>3.0000000000000001E-3</v>
      </c>
      <c r="J53" s="393" t="s">
        <v>451</v>
      </c>
      <c r="K53" s="393">
        <v>5.9999999999999995E-4</v>
      </c>
      <c r="L53" s="392" t="s">
        <v>452</v>
      </c>
      <c r="M53" s="392" t="s">
        <v>453</v>
      </c>
      <c r="N53" s="394" t="s">
        <v>454</v>
      </c>
      <c r="O53" s="392"/>
      <c r="P53" s="392"/>
      <c r="Q53" s="392"/>
    </row>
    <row r="54" spans="1:17">
      <c r="A54" s="392" t="str">
        <f t="shared" si="0"/>
        <v>Scope All-Fuels-Still gas</v>
      </c>
      <c r="B54" s="392" t="s">
        <v>446</v>
      </c>
      <c r="C54" s="392" t="s">
        <v>447</v>
      </c>
      <c r="D54" s="392" t="s">
        <v>515</v>
      </c>
      <c r="E54" s="393">
        <v>0.14299999999999999</v>
      </c>
      <c r="F54" s="393" t="s">
        <v>449</v>
      </c>
      <c r="G54" s="393">
        <v>66.72</v>
      </c>
      <c r="H54" s="393" t="s">
        <v>450</v>
      </c>
      <c r="I54" s="393">
        <v>3.0000000000000001E-3</v>
      </c>
      <c r="J54" s="393" t="s">
        <v>451</v>
      </c>
      <c r="K54" s="393">
        <v>5.9999999999999995E-4</v>
      </c>
      <c r="L54" s="392" t="s">
        <v>452</v>
      </c>
      <c r="M54" s="392" t="s">
        <v>453</v>
      </c>
      <c r="N54" s="394" t="s">
        <v>454</v>
      </c>
      <c r="O54" s="392"/>
      <c r="P54" s="392"/>
      <c r="Q54" s="392"/>
    </row>
    <row r="55" spans="1:17">
      <c r="A55" s="392" t="str">
        <f t="shared" si="0"/>
        <v>Scope All-Fuels-Tires - Fossil-derived</v>
      </c>
      <c r="B55" s="392" t="s">
        <v>446</v>
      </c>
      <c r="C55" s="392" t="s">
        <v>447</v>
      </c>
      <c r="D55" s="393" t="s">
        <v>516</v>
      </c>
      <c r="E55" s="393">
        <v>28</v>
      </c>
      <c r="F55" s="393" t="s">
        <v>470</v>
      </c>
      <c r="G55" s="393">
        <v>85.97</v>
      </c>
      <c r="H55" s="393" t="s">
        <v>450</v>
      </c>
      <c r="I55" s="393">
        <v>3.2000000000000001E-2</v>
      </c>
      <c r="J55" s="393" t="s">
        <v>451</v>
      </c>
      <c r="K55" s="393">
        <v>4.2000000000000006E-3</v>
      </c>
      <c r="L55" s="392" t="s">
        <v>452</v>
      </c>
      <c r="M55" s="392" t="s">
        <v>453</v>
      </c>
      <c r="N55" s="394" t="s">
        <v>454</v>
      </c>
      <c r="O55" s="392"/>
      <c r="P55" s="392"/>
      <c r="Q55" s="392"/>
    </row>
    <row r="56" spans="1:17">
      <c r="A56" s="392" t="str">
        <f t="shared" si="0"/>
        <v>Scope All-Fuels-Unfinished oils</v>
      </c>
      <c r="B56" s="392" t="s">
        <v>446</v>
      </c>
      <c r="C56" s="392" t="s">
        <v>447</v>
      </c>
      <c r="D56" s="392" t="s">
        <v>517</v>
      </c>
      <c r="E56" s="393">
        <v>0.13900000000000001</v>
      </c>
      <c r="F56" s="393" t="s">
        <v>449</v>
      </c>
      <c r="G56" s="393">
        <v>74.540000000000006</v>
      </c>
      <c r="H56" s="393" t="s">
        <v>450</v>
      </c>
      <c r="I56" s="393">
        <v>3.0000000000000001E-3</v>
      </c>
      <c r="J56" s="393" t="s">
        <v>451</v>
      </c>
      <c r="K56" s="393">
        <v>5.9999999999999995E-4</v>
      </c>
      <c r="L56" s="392" t="s">
        <v>452</v>
      </c>
      <c r="M56" s="392" t="s">
        <v>453</v>
      </c>
      <c r="N56" s="394" t="s">
        <v>454</v>
      </c>
      <c r="O56" s="392"/>
      <c r="P56" s="392"/>
      <c r="Q56" s="392"/>
    </row>
    <row r="57" spans="1:17">
      <c r="A57" s="392" t="str">
        <f t="shared" si="0"/>
        <v>Scope All-Fuels-Vegetable oil</v>
      </c>
      <c r="B57" s="392" t="s">
        <v>446</v>
      </c>
      <c r="C57" s="392" t="s">
        <v>447</v>
      </c>
      <c r="D57" s="392" t="s">
        <v>518</v>
      </c>
      <c r="E57" s="392">
        <v>0.12</v>
      </c>
      <c r="F57" s="392" t="s">
        <v>449</v>
      </c>
      <c r="G57" s="392">
        <v>81.55</v>
      </c>
      <c r="H57" s="392" t="s">
        <v>450</v>
      </c>
      <c r="I57" s="392">
        <f>1.1*10^-3</f>
        <v>1.1000000000000001E-3</v>
      </c>
      <c r="J57" s="392" t="s">
        <v>451</v>
      </c>
      <c r="K57" s="392">
        <f>1.1*10^-4</f>
        <v>1.1000000000000002E-4</v>
      </c>
      <c r="L57" s="392" t="s">
        <v>452</v>
      </c>
      <c r="M57" s="392" t="s">
        <v>453</v>
      </c>
      <c r="N57" s="394" t="s">
        <v>457</v>
      </c>
      <c r="O57" s="392"/>
      <c r="P57" s="392"/>
      <c r="Q57" s="392"/>
    </row>
    <row r="58" spans="1:17" s="399" customFormat="1">
      <c r="D58" s="399" t="s">
        <v>519</v>
      </c>
      <c r="F58" s="399" t="s">
        <v>449</v>
      </c>
      <c r="G58" s="399">
        <f>0.0310978401686882*1000</f>
        <v>31.097840168688201</v>
      </c>
      <c r="H58" s="399" t="s">
        <v>450</v>
      </c>
      <c r="I58" s="418">
        <v>9.5895594137094696E-4</v>
      </c>
      <c r="J58" s="399" t="s">
        <v>451</v>
      </c>
      <c r="K58" s="418">
        <v>7.2456688810733404E-4</v>
      </c>
      <c r="L58" s="399" t="s">
        <v>452</v>
      </c>
      <c r="N58" s="399" t="s">
        <v>520</v>
      </c>
    </row>
    <row r="59" spans="1:17" s="399" customFormat="1">
      <c r="D59" s="399" t="s">
        <v>521</v>
      </c>
      <c r="F59" s="399" t="s">
        <v>449</v>
      </c>
      <c r="G59" s="399">
        <v>98.259259259259196</v>
      </c>
      <c r="H59" s="399" t="s">
        <v>450</v>
      </c>
      <c r="I59" s="399">
        <v>1.85185185185185E-3</v>
      </c>
      <c r="J59" s="399" t="s">
        <v>451</v>
      </c>
      <c r="K59" s="419">
        <v>1.8518518518518501E-4</v>
      </c>
      <c r="L59" s="399" t="s">
        <v>452</v>
      </c>
      <c r="N59" s="399" t="s">
        <v>45</v>
      </c>
    </row>
    <row r="60" spans="1:17" s="399" customFormat="1">
      <c r="D60" s="399" t="s">
        <v>522</v>
      </c>
      <c r="F60" s="399" t="s">
        <v>449</v>
      </c>
      <c r="G60" s="399">
        <v>88.18</v>
      </c>
      <c r="H60" s="399" t="s">
        <v>450</v>
      </c>
      <c r="I60" s="399">
        <f>8.169/1000</f>
        <v>8.1690000000000009E-3</v>
      </c>
      <c r="J60" s="399" t="s">
        <v>451</v>
      </c>
      <c r="K60" s="420">
        <f>0.603/1000</f>
        <v>6.0300000000000002E-4</v>
      </c>
      <c r="L60" s="399" t="s">
        <v>452</v>
      </c>
    </row>
    <row r="61" spans="1:17" s="399" customFormat="1">
      <c r="A61" s="399" t="s">
        <v>523</v>
      </c>
      <c r="D61" s="399" t="s">
        <v>331</v>
      </c>
      <c r="F61" s="399" t="s">
        <v>524</v>
      </c>
      <c r="G61" s="399">
        <v>0</v>
      </c>
      <c r="H61" s="399" t="s">
        <v>450</v>
      </c>
      <c r="I61" s="399">
        <v>0</v>
      </c>
      <c r="J61" s="399" t="s">
        <v>451</v>
      </c>
      <c r="K61" s="399">
        <v>0</v>
      </c>
      <c r="L61" s="399" t="s">
        <v>452</v>
      </c>
    </row>
    <row r="64" spans="1:17">
      <c r="A64" s="308" t="s">
        <v>593</v>
      </c>
    </row>
    <row r="66" spans="1:1">
      <c r="A66" s="308"/>
    </row>
  </sheetData>
  <sheetProtection algorithmName="SHA-512" hashValue="UfeCSUyh7gVXk1DtBAW3568V+ZG72dDZFdUMaJLEqH1RP5sjPoucRvihtJ7DysRvdXwzmdnHvJaKSLJLRa3dQQ==" saltValue="6pTQVtr89uhcSczKJjCxZA==" spinCount="100000" sheet="1" objects="1" scenarios="1"/>
  <hyperlinks>
    <hyperlink ref="N15" r:id="rId1" xr:uid="{9D3301C6-26FF-014E-9110-F756AD09BD5A}"/>
    <hyperlink ref="N26" r:id="rId2" display="http://www.epa.gov/climatechange/emissions/downloads09/GHG-MRR-Full%20Version.pdf" xr:uid="{7C35BC83-4F56-3942-9CAC-972232B99A1E}"/>
    <hyperlink ref="N52" r:id="rId3" display="http://www.epa.gov/climatechange/emissions/downloads09/GHG-MRR-Full%20Version.pdf" xr:uid="{3D9064A7-53C0-F647-81A5-53104FCDFFC9}"/>
    <hyperlink ref="N51" r:id="rId4" display="http://www.epa.gov/climatechange/emissions/downloads09/GHG-MRR-Full%20Version.pdf" xr:uid="{21B9E6F6-568E-A643-8FD5-4235C5F3CC2B}"/>
    <hyperlink ref="N30" r:id="rId5" display="http://www.epa.gov/climatechange/emissions/downloads09/GHG-MRR-Full%20Version.pdf" xr:uid="{DF5175A9-D048-ED4D-A40D-BB6B547367FA}"/>
    <hyperlink ref="N4" r:id="rId6" display="http://www.epa.gov/climatechange/emissions/downloads09/GHG-MRR-Full%20Version.pdf" xr:uid="{6FA27779-0D93-B144-BDB1-2F4BA2DC1F73}"/>
    <hyperlink ref="N50" r:id="rId7" display="http://www.epa.gov/climatechange/emissions/downloads09/GHG-MRR-Full%20Version.pdf" xr:uid="{4C099BBB-1B46-DB4A-9CFC-0699DC9FCE7B}"/>
    <hyperlink ref="N57" r:id="rId8" display="http://www.epa.gov/climatechange/emissions/downloads09/GHG-MRR-Full%20Version.pdf" xr:uid="{F4582AA2-72D8-554B-ADB5-5C1EB98CB67A}"/>
    <hyperlink ref="N6" r:id="rId9" display="http://www.epa.gov/climatechange/emissions/downloads09/GHG-MRR-Full%20Version.pdf" xr:uid="{628D7B4E-B7DF-1C42-B5E4-105A4809F862}"/>
    <hyperlink ref="N7" r:id="rId10" display="http://www.epa.gov/climatechange/emissions/downloads09/GHG-MRR-Full%20Version.pdf" xr:uid="{6A06410F-E65D-2348-996B-4D692BCDE9D2}"/>
    <hyperlink ref="N2:N10" r:id="rId11" display="http://www.epa.gov/ghgreporting/documents/pdf/2009/GHG-MRR-FinalRule.pdf" xr:uid="{98867C59-6086-9B48-90E6-E99A88C75D6A}"/>
    <hyperlink ref="N48:N56" r:id="rId12" display="http://www.epa.gov/ghgreporting/documents/pdf/2009/GHG-MRR-FinalRule.pdf" xr:uid="{F6AE6749-E778-7C42-BE9F-E01B814FB5B3}"/>
    <hyperlink ref="N2:N9" r:id="rId13" display="http://www.epa.gov/climateleadership/documents/emission-factors.pdf" xr:uid="{157B562E-8960-B546-81E8-EDA634D97B2D}"/>
    <hyperlink ref="N48" r:id="rId14" xr:uid="{55C0BAAC-EFFD-8144-B4FA-0984620F38E4}"/>
  </hyperlinks>
  <pageMargins left="0.7" right="0.7" top="0.75" bottom="0.75" header="0.3" footer="0.3"/>
  <headerFooter>
    <oddFooter>&amp;C_x000D_&amp;1#&amp;"Calibri"&amp;6&amp;K626469 General</oddFooter>
  </headerFooter>
  <legacyDrawing r:id="rId1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EB3BA-49B6-4C4B-8C89-B79C86DFD4AA}">
  <sheetPr codeName="Sheet26"/>
  <dimension ref="A1:Q31"/>
  <sheetViews>
    <sheetView zoomScale="90" zoomScaleNormal="90" workbookViewId="0">
      <selection activeCell="E3" sqref="E3"/>
    </sheetView>
  </sheetViews>
  <sheetFormatPr defaultColWidth="10.5" defaultRowHeight="15.5"/>
  <cols>
    <col min="1" max="1" width="37" customWidth="1"/>
    <col min="3" max="7" width="10.5" style="407"/>
    <col min="8" max="8" width="13.1640625" style="407" customWidth="1"/>
    <col min="9" max="13" width="10.5" hidden="1" customWidth="1"/>
    <col min="14" max="14" width="11.1640625" customWidth="1"/>
    <col min="17" max="17" width="16.33203125" customWidth="1"/>
  </cols>
  <sheetData>
    <row r="1" spans="1:17" ht="127.5" customHeight="1">
      <c r="A1" s="400" t="s">
        <v>525</v>
      </c>
      <c r="C1" s="401" t="s">
        <v>525</v>
      </c>
      <c r="D1" s="401" t="s">
        <v>526</v>
      </c>
      <c r="E1" s="401" t="s">
        <v>527</v>
      </c>
      <c r="F1" s="401" t="s">
        <v>528</v>
      </c>
      <c r="G1" s="401" t="s">
        <v>529</v>
      </c>
      <c r="H1" s="402" t="s">
        <v>600</v>
      </c>
      <c r="I1" s="376"/>
      <c r="J1" s="403" t="s">
        <v>526</v>
      </c>
      <c r="K1" s="403" t="s">
        <v>527</v>
      </c>
      <c r="L1" s="403" t="s">
        <v>528</v>
      </c>
      <c r="M1" s="403" t="s">
        <v>529</v>
      </c>
      <c r="N1" s="403" t="s">
        <v>530</v>
      </c>
      <c r="P1" s="376"/>
    </row>
    <row r="2" spans="1:17" ht="13.5" customHeight="1">
      <c r="A2" s="400" t="s">
        <v>430</v>
      </c>
      <c r="C2" s="401"/>
      <c r="D2" s="401"/>
      <c r="E2" s="404">
        <f>E30</f>
        <v>1420.19</v>
      </c>
      <c r="F2" s="404">
        <f t="shared" ref="F2:G2" si="0">F30</f>
        <v>0.114</v>
      </c>
      <c r="G2" s="404">
        <f t="shared" si="0"/>
        <v>1.6E-2</v>
      </c>
      <c r="H2" s="428">
        <f>H30</f>
        <v>189.83531623683197</v>
      </c>
      <c r="I2" s="376"/>
      <c r="J2" s="403"/>
      <c r="K2" s="405"/>
      <c r="L2" s="405"/>
      <c r="M2" s="405"/>
      <c r="N2" s="405"/>
      <c r="P2" s="376"/>
    </row>
    <row r="3" spans="1:17" ht="18" customHeight="1">
      <c r="A3" s="406" t="s">
        <v>428</v>
      </c>
      <c r="C3" s="377" t="s">
        <v>428</v>
      </c>
      <c r="D3" s="377" t="s">
        <v>531</v>
      </c>
      <c r="E3" s="434">
        <v>1333.0429999999999</v>
      </c>
      <c r="F3" s="435">
        <v>0.123</v>
      </c>
      <c r="G3" s="435">
        <v>1.7000000000000001E-2</v>
      </c>
      <c r="H3" s="429">
        <f>($E3+$P$3*F$3+G3*$P$4)*1000000/$P$5/$P$6/1000</f>
        <v>178.29005966373271</v>
      </c>
      <c r="J3" s="407" t="s">
        <v>531</v>
      </c>
      <c r="K3" s="407"/>
      <c r="L3" s="407"/>
      <c r="M3" s="407"/>
      <c r="N3" s="408"/>
      <c r="O3" t="s">
        <v>532</v>
      </c>
      <c r="P3">
        <v>25</v>
      </c>
      <c r="Q3" s="376" t="s">
        <v>533</v>
      </c>
    </row>
    <row r="4" spans="1:17">
      <c r="A4" s="406" t="s">
        <v>429</v>
      </c>
      <c r="C4" s="377" t="s">
        <v>429</v>
      </c>
      <c r="D4" s="377" t="s">
        <v>534</v>
      </c>
      <c r="E4" s="434">
        <v>1520.1990000000001</v>
      </c>
      <c r="F4" s="435">
        <v>6.7000000000000004E-2</v>
      </c>
      <c r="G4" s="435">
        <v>1.2E-2</v>
      </c>
      <c r="H4" s="429">
        <f t="shared" ref="H4:H30" si="1">($E4+$P$3*F$3+G4*$P$4)*1000000/$P$5/$P$6/1000</f>
        <v>202.97153678956079</v>
      </c>
      <c r="J4" s="407" t="s">
        <v>534</v>
      </c>
      <c r="K4" s="407"/>
      <c r="L4" s="407"/>
      <c r="M4" s="407"/>
      <c r="N4" s="408"/>
      <c r="O4" t="s">
        <v>535</v>
      </c>
      <c r="P4">
        <v>298</v>
      </c>
      <c r="Q4" s="376" t="s">
        <v>533</v>
      </c>
    </row>
    <row r="5" spans="1:17">
      <c r="A5" s="406" t="s">
        <v>536</v>
      </c>
      <c r="C5" s="377" t="s">
        <v>536</v>
      </c>
      <c r="D5" s="377" t="s">
        <v>537</v>
      </c>
      <c r="E5" s="434">
        <v>1445.2570000000001</v>
      </c>
      <c r="F5" s="435">
        <v>0.1</v>
      </c>
      <c r="G5" s="435">
        <v>1.4E-2</v>
      </c>
      <c r="H5" s="429">
        <f t="shared" si="1"/>
        <v>193.08836432719929</v>
      </c>
      <c r="J5" s="407" t="s">
        <v>537</v>
      </c>
      <c r="K5" s="407"/>
      <c r="L5" s="407"/>
      <c r="M5" s="407"/>
      <c r="N5" s="408"/>
      <c r="O5" t="s">
        <v>538</v>
      </c>
      <c r="P5">
        <v>2.2046220000000001</v>
      </c>
    </row>
    <row r="6" spans="1:17">
      <c r="A6" s="406" t="s">
        <v>539</v>
      </c>
      <c r="C6" s="377" t="s">
        <v>539</v>
      </c>
      <c r="D6" s="377" t="s">
        <v>540</v>
      </c>
      <c r="E6" s="434">
        <v>963.97699999999998</v>
      </c>
      <c r="F6" s="435">
        <v>5.8000000000000003E-2</v>
      </c>
      <c r="G6" s="435">
        <v>7.0000000000000001E-3</v>
      </c>
      <c r="H6" s="429">
        <f t="shared" si="1"/>
        <v>128.83218994738274</v>
      </c>
      <c r="J6" s="407" t="s">
        <v>540</v>
      </c>
      <c r="K6" s="407"/>
      <c r="L6" s="407"/>
      <c r="M6" s="407"/>
      <c r="N6" s="408"/>
      <c r="O6" t="s">
        <v>541</v>
      </c>
      <c r="P6">
        <v>3412.1419999999998</v>
      </c>
    </row>
    <row r="7" spans="1:17">
      <c r="A7" s="406" t="s">
        <v>542</v>
      </c>
      <c r="C7" s="377" t="s">
        <v>542</v>
      </c>
      <c r="D7" s="377" t="s">
        <v>543</v>
      </c>
      <c r="E7" s="434">
        <v>1277.172</v>
      </c>
      <c r="F7" s="435">
        <v>8.3000000000000004E-2</v>
      </c>
      <c r="G7" s="435">
        <v>1.2E-2</v>
      </c>
      <c r="H7" s="429">
        <f t="shared" si="1"/>
        <v>170.664785195523</v>
      </c>
      <c r="J7" s="407" t="s">
        <v>543</v>
      </c>
      <c r="K7" s="407"/>
      <c r="L7" s="407"/>
      <c r="M7" s="407"/>
      <c r="N7" s="408"/>
    </row>
    <row r="8" spans="1:17">
      <c r="A8" s="406" t="s">
        <v>544</v>
      </c>
      <c r="C8" s="377" t="s">
        <v>544</v>
      </c>
      <c r="D8" s="377" t="s">
        <v>545</v>
      </c>
      <c r="E8" s="434">
        <v>1029.519</v>
      </c>
      <c r="F8" s="435">
        <v>5.3999999999999999E-2</v>
      </c>
      <c r="G8" s="435">
        <v>7.0000000000000001E-3</v>
      </c>
      <c r="H8" s="429">
        <f t="shared" si="1"/>
        <v>137.5450042148363</v>
      </c>
      <c r="J8" s="407" t="s">
        <v>545</v>
      </c>
      <c r="K8" s="407"/>
      <c r="L8" s="407"/>
      <c r="M8" s="407"/>
      <c r="N8" s="408"/>
    </row>
    <row r="9" spans="1:17">
      <c r="A9" s="406" t="s">
        <v>546</v>
      </c>
      <c r="C9" s="377" t="s">
        <v>546</v>
      </c>
      <c r="D9" s="377" t="s">
        <v>547</v>
      </c>
      <c r="E9" s="434">
        <v>1549.4870000000001</v>
      </c>
      <c r="F9" s="435">
        <v>0.107</v>
      </c>
      <c r="G9" s="435">
        <v>1.7999999999999999E-2</v>
      </c>
      <c r="H9" s="429">
        <f t="shared" si="1"/>
        <v>207.10261939575815</v>
      </c>
      <c r="J9" s="407" t="s">
        <v>547</v>
      </c>
      <c r="K9" s="407"/>
      <c r="L9" s="407"/>
      <c r="M9" s="407"/>
      <c r="N9" s="408"/>
    </row>
    <row r="10" spans="1:17">
      <c r="A10" s="406" t="s">
        <v>548</v>
      </c>
      <c r="C10" s="377" t="s">
        <v>548</v>
      </c>
      <c r="D10" s="377" t="s">
        <v>549</v>
      </c>
      <c r="E10" s="434">
        <v>1704.143</v>
      </c>
      <c r="F10" s="435">
        <v>0.158</v>
      </c>
      <c r="G10" s="435">
        <v>2.5000000000000001E-2</v>
      </c>
      <c r="H10" s="429">
        <f t="shared" si="1"/>
        <v>227.93908965771533</v>
      </c>
      <c r="J10" s="407" t="s">
        <v>549</v>
      </c>
      <c r="K10" s="407"/>
      <c r="L10" s="407"/>
      <c r="M10" s="407"/>
      <c r="N10" s="408"/>
    </row>
    <row r="11" spans="1:17">
      <c r="A11" s="406" t="s">
        <v>550</v>
      </c>
      <c r="C11" s="377" t="s">
        <v>550</v>
      </c>
      <c r="D11" s="377" t="s">
        <v>551</v>
      </c>
      <c r="E11" s="434">
        <v>1577.6669999999999</v>
      </c>
      <c r="F11" s="435">
        <v>0.14499999999999999</v>
      </c>
      <c r="G11" s="435">
        <v>2.1000000000000001E-2</v>
      </c>
      <c r="H11" s="429">
        <f t="shared" si="1"/>
        <v>210.96756648330413</v>
      </c>
      <c r="J11" s="407" t="s">
        <v>551</v>
      </c>
      <c r="K11" s="407"/>
      <c r="L11" s="407"/>
      <c r="M11" s="407"/>
      <c r="N11" s="408"/>
    </row>
    <row r="12" spans="1:17">
      <c r="A12" s="406" t="s">
        <v>552</v>
      </c>
      <c r="C12" s="377" t="s">
        <v>552</v>
      </c>
      <c r="D12" s="377" t="s">
        <v>553</v>
      </c>
      <c r="E12" s="434">
        <v>1806.788</v>
      </c>
      <c r="F12" s="435">
        <v>0.188</v>
      </c>
      <c r="G12" s="435">
        <v>2.7E-2</v>
      </c>
      <c r="H12" s="429">
        <f t="shared" si="1"/>
        <v>241.66341387403713</v>
      </c>
      <c r="J12" s="407" t="s">
        <v>553</v>
      </c>
      <c r="K12" s="407"/>
      <c r="L12" s="407"/>
      <c r="M12" s="407"/>
      <c r="N12" s="408"/>
    </row>
    <row r="13" spans="1:17">
      <c r="A13" s="406" t="s">
        <v>554</v>
      </c>
      <c r="C13" s="377" t="s">
        <v>554</v>
      </c>
      <c r="D13" s="377" t="s">
        <v>555</v>
      </c>
      <c r="E13" s="434">
        <v>839.88699999999994</v>
      </c>
      <c r="F13" s="435">
        <v>8.8999999999999996E-2</v>
      </c>
      <c r="G13" s="435">
        <v>1.2E-2</v>
      </c>
      <c r="H13" s="429">
        <f t="shared" si="1"/>
        <v>112.53438046354337</v>
      </c>
      <c r="J13" s="407" t="s">
        <v>555</v>
      </c>
      <c r="K13" s="407"/>
      <c r="L13" s="407"/>
      <c r="M13" s="407"/>
      <c r="N13" s="408"/>
    </row>
    <row r="14" spans="1:17">
      <c r="A14" s="406" t="s">
        <v>556</v>
      </c>
      <c r="C14" s="377" t="s">
        <v>556</v>
      </c>
      <c r="D14" s="377" t="s">
        <v>557</v>
      </c>
      <c r="E14" s="434">
        <v>1617.4770000000001</v>
      </c>
      <c r="F14" s="435">
        <v>0.156</v>
      </c>
      <c r="G14" s="435">
        <v>2.1999999999999999E-2</v>
      </c>
      <c r="H14" s="429">
        <f t="shared" si="1"/>
        <v>216.29931642439581</v>
      </c>
      <c r="J14" s="407" t="s">
        <v>557</v>
      </c>
      <c r="K14" s="407"/>
      <c r="L14" s="407"/>
      <c r="M14" s="407"/>
      <c r="N14" s="408"/>
    </row>
    <row r="15" spans="1:17">
      <c r="A15" s="406" t="s">
        <v>558</v>
      </c>
      <c r="C15" s="377" t="s">
        <v>558</v>
      </c>
      <c r="D15" s="377" t="s">
        <v>559</v>
      </c>
      <c r="E15" s="434">
        <v>1016.222</v>
      </c>
      <c r="F15" s="435">
        <v>2.1999999999999999E-2</v>
      </c>
      <c r="G15" s="435">
        <v>2E-3</v>
      </c>
      <c r="H15" s="429">
        <f t="shared" si="1"/>
        <v>135.57929696493792</v>
      </c>
      <c r="J15" s="407" t="s">
        <v>559</v>
      </c>
      <c r="K15" s="407"/>
      <c r="L15" s="407"/>
      <c r="M15" s="407"/>
      <c r="N15" s="408"/>
    </row>
    <row r="16" spans="1:17">
      <c r="A16" s="406" t="s">
        <v>560</v>
      </c>
      <c r="C16" s="377" t="s">
        <v>560</v>
      </c>
      <c r="D16" s="377" t="s">
        <v>561</v>
      </c>
      <c r="E16" s="434">
        <v>1300.6420000000001</v>
      </c>
      <c r="F16" s="435">
        <v>4.3999999999999997E-2</v>
      </c>
      <c r="G16" s="435">
        <v>5.0000000000000001E-3</v>
      </c>
      <c r="H16" s="429">
        <f t="shared" si="1"/>
        <v>173.50746348265531</v>
      </c>
      <c r="J16" s="407" t="s">
        <v>561</v>
      </c>
      <c r="K16" s="407"/>
      <c r="L16" s="407"/>
      <c r="M16" s="407"/>
      <c r="N16" s="408"/>
    </row>
    <row r="17" spans="1:15">
      <c r="A17" s="406" t="s">
        <v>562</v>
      </c>
      <c r="C17" s="377" t="s">
        <v>562</v>
      </c>
      <c r="D17" s="377" t="s">
        <v>563</v>
      </c>
      <c r="E17" s="434">
        <v>890.21100000000001</v>
      </c>
      <c r="F17" s="435">
        <v>4.7E-2</v>
      </c>
      <c r="G17" s="435">
        <v>6.0000000000000001E-3</v>
      </c>
      <c r="H17" s="429">
        <f t="shared" si="1"/>
        <v>118.98650510553057</v>
      </c>
      <c r="J17" s="407" t="s">
        <v>563</v>
      </c>
      <c r="K17" s="407"/>
      <c r="L17" s="407"/>
      <c r="M17" s="407"/>
      <c r="N17" s="408"/>
    </row>
    <row r="18" spans="1:15">
      <c r="A18" s="406" t="s">
        <v>564</v>
      </c>
      <c r="C18" s="377" t="s">
        <v>564</v>
      </c>
      <c r="D18" s="377" t="s">
        <v>565</v>
      </c>
      <c r="E18" s="434">
        <v>1587.9069999999999</v>
      </c>
      <c r="F18" s="435">
        <v>5.5E-2</v>
      </c>
      <c r="G18" s="435">
        <v>0.01</v>
      </c>
      <c r="H18" s="429">
        <f t="shared" si="1"/>
        <v>211.89305873148109</v>
      </c>
      <c r="J18" s="407" t="s">
        <v>565</v>
      </c>
      <c r="K18" s="407"/>
      <c r="L18" s="407"/>
      <c r="M18" s="407"/>
      <c r="N18" s="408"/>
    </row>
    <row r="19" spans="1:15">
      <c r="A19" s="406" t="s">
        <v>566</v>
      </c>
      <c r="C19" s="377" t="s">
        <v>566</v>
      </c>
      <c r="D19" s="377" t="s">
        <v>567</v>
      </c>
      <c r="E19" s="434">
        <v>1237.8589999999999</v>
      </c>
      <c r="F19" s="435">
        <v>8.8999999999999996E-2</v>
      </c>
      <c r="G19" s="435">
        <v>1.2E-2</v>
      </c>
      <c r="H19" s="429">
        <f t="shared" si="1"/>
        <v>165.43871843990979</v>
      </c>
      <c r="J19" s="407" t="s">
        <v>567</v>
      </c>
      <c r="K19" s="407"/>
      <c r="L19" s="407"/>
      <c r="M19" s="407"/>
      <c r="N19" s="408"/>
    </row>
    <row r="20" spans="1:15">
      <c r="A20" s="406" t="s">
        <v>568</v>
      </c>
      <c r="C20" s="377" t="s">
        <v>568</v>
      </c>
      <c r="D20" s="377" t="s">
        <v>569</v>
      </c>
      <c r="E20" s="434">
        <v>1766.8679999999999</v>
      </c>
      <c r="F20" s="435">
        <v>0.17699999999999999</v>
      </c>
      <c r="G20" s="435">
        <v>2.5000000000000001E-2</v>
      </c>
      <c r="H20" s="429">
        <f t="shared" si="1"/>
        <v>236.27742652454907</v>
      </c>
      <c r="J20" s="407" t="s">
        <v>569</v>
      </c>
      <c r="K20" s="407"/>
      <c r="L20" s="407"/>
      <c r="M20" s="407"/>
      <c r="N20" s="408"/>
    </row>
    <row r="21" spans="1:15">
      <c r="A21" s="406" t="s">
        <v>570</v>
      </c>
      <c r="C21" s="377" t="s">
        <v>570</v>
      </c>
      <c r="D21" s="377" t="s">
        <v>571</v>
      </c>
      <c r="E21" s="434">
        <v>1831.6120000000001</v>
      </c>
      <c r="F21" s="435">
        <v>0.17799999999999999</v>
      </c>
      <c r="G21" s="435">
        <v>2.5999999999999999E-2</v>
      </c>
      <c r="H21" s="429">
        <f t="shared" si="1"/>
        <v>244.92377337975205</v>
      </c>
      <c r="J21" s="407" t="s">
        <v>571</v>
      </c>
      <c r="K21" s="407"/>
      <c r="L21" s="407"/>
      <c r="M21" s="407"/>
      <c r="N21" s="408"/>
    </row>
    <row r="22" spans="1:15">
      <c r="A22" s="406" t="s">
        <v>572</v>
      </c>
      <c r="C22" s="377" t="s">
        <v>572</v>
      </c>
      <c r="D22" s="377" t="s">
        <v>573</v>
      </c>
      <c r="E22" s="434">
        <v>1578.81</v>
      </c>
      <c r="F22" s="435">
        <v>0.126</v>
      </c>
      <c r="G22" s="435">
        <v>1.7999999999999999E-2</v>
      </c>
      <c r="H22" s="429">
        <f t="shared" si="1"/>
        <v>211.00066725460493</v>
      </c>
      <c r="J22" s="407" t="s">
        <v>573</v>
      </c>
      <c r="K22" s="407"/>
      <c r="L22" s="407"/>
      <c r="M22" s="407"/>
      <c r="N22" s="408"/>
    </row>
    <row r="23" spans="1:15">
      <c r="A23" s="406" t="s">
        <v>574</v>
      </c>
      <c r="C23" s="377" t="s">
        <v>574</v>
      </c>
      <c r="D23" s="377" t="s">
        <v>575</v>
      </c>
      <c r="E23" s="434">
        <v>1958.6089999999999</v>
      </c>
      <c r="F23" s="435">
        <v>0.2</v>
      </c>
      <c r="G23" s="435">
        <v>2.9000000000000001E-2</v>
      </c>
      <c r="H23" s="429">
        <f t="shared" si="1"/>
        <v>261.92494102002695</v>
      </c>
      <c r="J23" s="407" t="s">
        <v>575</v>
      </c>
      <c r="K23" s="407"/>
      <c r="L23" s="407"/>
      <c r="M23" s="407"/>
      <c r="N23" s="408"/>
    </row>
    <row r="24" spans="1:15">
      <c r="A24" s="406" t="s">
        <v>576</v>
      </c>
      <c r="C24" s="377" t="s">
        <v>576</v>
      </c>
      <c r="D24" s="377" t="s">
        <v>577</v>
      </c>
      <c r="E24" s="434">
        <v>1543.6659999999999</v>
      </c>
      <c r="F24" s="435">
        <v>0.108</v>
      </c>
      <c r="G24" s="435">
        <v>1.4999999999999999E-2</v>
      </c>
      <c r="H24" s="429">
        <f t="shared" si="1"/>
        <v>206.20996204923296</v>
      </c>
      <c r="J24" s="407" t="s">
        <v>577</v>
      </c>
      <c r="K24" s="407"/>
      <c r="L24" s="407"/>
      <c r="M24" s="407"/>
      <c r="N24" s="408"/>
    </row>
    <row r="25" spans="1:15">
      <c r="A25" s="406" t="s">
        <v>578</v>
      </c>
      <c r="C25" s="377" t="s">
        <v>578</v>
      </c>
      <c r="D25" s="377" t="s">
        <v>579</v>
      </c>
      <c r="E25" s="434">
        <v>1200.1369999999999</v>
      </c>
      <c r="F25" s="435">
        <v>6.8000000000000005E-2</v>
      </c>
      <c r="G25" s="435">
        <v>0.01</v>
      </c>
      <c r="H25" s="429">
        <f t="shared" si="1"/>
        <v>160.34492183467523</v>
      </c>
      <c r="J25" s="407" t="s">
        <v>579</v>
      </c>
      <c r="K25" s="407"/>
      <c r="L25" s="407"/>
      <c r="M25" s="407"/>
      <c r="N25" s="408"/>
    </row>
    <row r="26" spans="1:15">
      <c r="A26" s="406" t="s">
        <v>580</v>
      </c>
      <c r="C26" s="377" t="s">
        <v>580</v>
      </c>
      <c r="D26" s="377" t="s">
        <v>581</v>
      </c>
      <c r="E26" s="434">
        <v>1960.8620000000001</v>
      </c>
      <c r="F26" s="435">
        <v>0.216</v>
      </c>
      <c r="G26" s="435">
        <v>3.1E-2</v>
      </c>
      <c r="H26" s="429">
        <f t="shared" si="1"/>
        <v>262.30367233503068</v>
      </c>
      <c r="J26" s="407" t="s">
        <v>581</v>
      </c>
      <c r="K26" s="407"/>
      <c r="L26" s="407"/>
      <c r="M26" s="407"/>
      <c r="N26" s="408"/>
    </row>
    <row r="27" spans="1:15">
      <c r="A27" s="406" t="s">
        <v>582</v>
      </c>
      <c r="C27" s="377" t="s">
        <v>582</v>
      </c>
      <c r="D27" s="377" t="s">
        <v>583</v>
      </c>
      <c r="E27" s="434">
        <v>1389.53</v>
      </c>
      <c r="F27" s="435">
        <v>0.10100000000000001</v>
      </c>
      <c r="G27" s="435">
        <v>1.4999999999999999E-2</v>
      </c>
      <c r="H27" s="429">
        <f t="shared" si="1"/>
        <v>185.71991993992572</v>
      </c>
      <c r="J27" s="407" t="s">
        <v>583</v>
      </c>
      <c r="K27" s="407"/>
      <c r="L27" s="407"/>
      <c r="M27" s="407"/>
      <c r="N27" s="408"/>
    </row>
    <row r="28" spans="1:15">
      <c r="A28" s="406" t="s">
        <v>584</v>
      </c>
      <c r="C28" s="377" t="s">
        <v>584</v>
      </c>
      <c r="D28" s="377" t="s">
        <v>585</v>
      </c>
      <c r="E28" s="434">
        <v>1565.172</v>
      </c>
      <c r="F28" s="435">
        <v>0.13900000000000001</v>
      </c>
      <c r="G28" s="435">
        <v>0.02</v>
      </c>
      <c r="H28" s="429">
        <f t="shared" si="1"/>
        <v>209.26693127346113</v>
      </c>
      <c r="J28" s="407" t="s">
        <v>585</v>
      </c>
      <c r="K28" s="407"/>
      <c r="L28" s="407"/>
      <c r="M28" s="407"/>
      <c r="N28" s="408"/>
    </row>
    <row r="29" spans="1:15">
      <c r="A29" s="406" t="s">
        <v>586</v>
      </c>
      <c r="C29" s="377" t="s">
        <v>586</v>
      </c>
      <c r="D29" s="377" t="s">
        <v>587</v>
      </c>
      <c r="E29" s="434">
        <v>1349.17</v>
      </c>
      <c r="F29" s="435">
        <v>0.11799999999999999</v>
      </c>
      <c r="G29" s="435">
        <v>1.7000000000000001E-2</v>
      </c>
      <c r="H29" s="429">
        <f t="shared" si="1"/>
        <v>180.43389957846256</v>
      </c>
      <c r="J29" s="407" t="s">
        <v>587</v>
      </c>
      <c r="K29" s="407"/>
      <c r="L29" s="407"/>
      <c r="M29" s="407"/>
      <c r="N29" s="408"/>
    </row>
    <row r="30" spans="1:15">
      <c r="A30" s="406" t="s">
        <v>588</v>
      </c>
      <c r="C30" s="377" t="s">
        <v>589</v>
      </c>
      <c r="D30" s="377"/>
      <c r="E30" s="436">
        <v>1420.19</v>
      </c>
      <c r="F30" s="437">
        <v>0.114</v>
      </c>
      <c r="G30" s="437">
        <v>1.6E-2</v>
      </c>
      <c r="H30" s="429">
        <f t="shared" si="1"/>
        <v>189.83531623683197</v>
      </c>
      <c r="J30" s="407" t="s">
        <v>589</v>
      </c>
      <c r="K30" s="407"/>
      <c r="L30" s="407"/>
      <c r="M30" s="407"/>
      <c r="N30" s="408"/>
    </row>
    <row r="31" spans="1:15">
      <c r="C31" s="438" t="s">
        <v>590</v>
      </c>
      <c r="D31" s="438"/>
      <c r="E31" s="439"/>
      <c r="F31" s="439"/>
      <c r="G31" s="409"/>
      <c r="H31" s="409"/>
      <c r="I31" s="399"/>
      <c r="J31" s="430" t="s">
        <v>590</v>
      </c>
      <c r="K31" s="430"/>
      <c r="L31" s="430"/>
      <c r="M31" s="430"/>
      <c r="N31" s="430"/>
      <c r="O31" s="399"/>
    </row>
  </sheetData>
  <sheetProtection algorithmName="SHA-512" hashValue="7y3kbaTXV4U16yVIjCp4Du9MYiJ1tkVGP8qDFXpnvA65CHnXvetTA3kuZkIICTikHIPVYq6qG3eFlbGmfd0Okw==" saltValue="vDYlJqOwX+ozhj6ZCvWRDw==" spinCount="100000" sheet="1" objects="1" scenarios="1"/>
  <pageMargins left="0.7" right="0.7" top="0.75" bottom="0.75" header="0.3" footer="0.3"/>
  <pageSetup orientation="portrait" horizontalDpi="90" verticalDpi="90" r:id="rId1"/>
  <headerFooter>
    <oddFooter>&amp;C_x000D_&amp;1#&amp;"Calibri"&amp;6&amp;K626469 General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dimension ref="A1:X44"/>
  <sheetViews>
    <sheetView zoomScale="84" zoomScaleNormal="84" workbookViewId="0">
      <selection activeCell="M30" sqref="M30"/>
    </sheetView>
  </sheetViews>
  <sheetFormatPr defaultColWidth="8.83203125" defaultRowHeight="15.5"/>
  <cols>
    <col min="1" max="1" width="14.83203125" customWidth="1"/>
    <col min="2" max="2" width="16.5" customWidth="1"/>
    <col min="3" max="3" width="14.6640625" customWidth="1"/>
    <col min="4" max="4" width="15.83203125" customWidth="1"/>
    <col min="5" max="5" width="20.33203125" customWidth="1"/>
    <col min="6" max="6" width="18.33203125" customWidth="1"/>
    <col min="7" max="7" width="14.33203125" customWidth="1"/>
    <col min="8" max="8" width="13.33203125" customWidth="1"/>
    <col min="9" max="10" width="14.33203125" bestFit="1" customWidth="1"/>
    <col min="12" max="12" width="12.83203125" customWidth="1"/>
    <col min="13" max="13" width="19" customWidth="1"/>
    <col min="14" max="14" width="20.83203125" customWidth="1"/>
    <col min="15" max="15" width="21.83203125" customWidth="1"/>
  </cols>
  <sheetData>
    <row r="1" spans="1:24" ht="20.25" customHeight="1" thickBot="1">
      <c r="A1" s="527" t="s">
        <v>121</v>
      </c>
      <c r="B1" s="528"/>
      <c r="C1" s="528"/>
      <c r="D1" s="528"/>
      <c r="E1" s="528"/>
      <c r="F1" s="528"/>
      <c r="G1" s="528"/>
      <c r="H1" s="528"/>
      <c r="I1" s="528"/>
      <c r="J1" s="529"/>
    </row>
    <row r="2" spans="1:24" ht="21" customHeight="1" thickBot="1">
      <c r="A2" s="530"/>
      <c r="B2" s="531"/>
      <c r="C2" s="531"/>
      <c r="D2" s="531"/>
      <c r="E2" s="531"/>
      <c r="F2" s="531"/>
      <c r="G2" s="531"/>
      <c r="H2" s="531"/>
      <c r="I2" s="531"/>
      <c r="J2" s="532"/>
      <c r="L2" s="735" t="s">
        <v>64</v>
      </c>
      <c r="M2" s="98" t="s">
        <v>3</v>
      </c>
      <c r="N2" s="99" t="s">
        <v>4</v>
      </c>
      <c r="O2" s="99" t="s">
        <v>5</v>
      </c>
    </row>
    <row r="3" spans="1:24" ht="29.25" customHeight="1" thickBot="1">
      <c r="A3" s="84"/>
      <c r="B3" s="2"/>
      <c r="C3" s="2"/>
      <c r="D3" s="2"/>
      <c r="E3" s="2"/>
      <c r="F3" s="2"/>
      <c r="G3" s="2"/>
      <c r="H3" s="2"/>
      <c r="I3" s="2"/>
      <c r="J3" s="91"/>
      <c r="L3" s="737"/>
      <c r="M3" s="735" t="s">
        <v>44</v>
      </c>
      <c r="N3" s="735" t="s">
        <v>120</v>
      </c>
      <c r="O3" s="735" t="s">
        <v>26</v>
      </c>
    </row>
    <row r="4" spans="1:24" ht="48" customHeight="1" thickBot="1">
      <c r="A4" s="88" t="s">
        <v>109</v>
      </c>
      <c r="B4" s="88" t="s">
        <v>56</v>
      </c>
      <c r="C4" s="88" t="s">
        <v>57</v>
      </c>
      <c r="D4" s="88" t="s">
        <v>45</v>
      </c>
      <c r="E4" s="88" t="s">
        <v>60</v>
      </c>
      <c r="F4" s="88" t="s">
        <v>61</v>
      </c>
      <c r="G4" s="88" t="s">
        <v>46</v>
      </c>
      <c r="H4" s="88" t="s">
        <v>609</v>
      </c>
      <c r="I4" s="88" t="s">
        <v>47</v>
      </c>
      <c r="J4" s="88" t="s">
        <v>91</v>
      </c>
      <c r="L4" s="736"/>
      <c r="M4" s="736"/>
      <c r="N4" s="736"/>
      <c r="O4" s="736"/>
    </row>
    <row r="5" spans="1:24" ht="17.25" customHeight="1" thickBot="1">
      <c r="A5" s="87">
        <v>1</v>
      </c>
      <c r="B5" s="97">
        <f>'Sch4-Cost Savings by ECM'!Q258</f>
        <v>0</v>
      </c>
      <c r="C5" s="97">
        <f>'Sch4-Cost Savings by ECM'!S258</f>
        <v>0</v>
      </c>
      <c r="D5" s="97">
        <f>'Sch4-Cost Savings by ECM'!U258</f>
        <v>0</v>
      </c>
      <c r="E5" s="97">
        <f>'Sch4-Cost Savings by ECM'!W258</f>
        <v>0</v>
      </c>
      <c r="F5" s="97">
        <f>'Sch4-Cost Savings by ECM'!Y258</f>
        <v>0</v>
      </c>
      <c r="G5" s="97">
        <f>'Sch4-Cost Savings by ECM'!AC258</f>
        <v>0</v>
      </c>
      <c r="H5" s="97">
        <f>'Sch4-Cost Savings by ECM'!AF258</f>
        <v>0</v>
      </c>
      <c r="I5" s="97">
        <f>'Sch4-Cost Savings by ECM'!AF258</f>
        <v>0</v>
      </c>
      <c r="J5" s="97">
        <f>'Sch4-Cost Savings by ECM'!AG258</f>
        <v>0</v>
      </c>
      <c r="L5" s="96">
        <v>1</v>
      </c>
      <c r="M5" s="95">
        <f ca="1">SUM(B5:J5)+MAX((INDIRECT("'Sch3-Perf Period Cash Flow'!D"&amp;6&amp;"")/IF('Summary Schedule'!$C$38="",1,'Summary Schedule'!$C$38)),0)</f>
        <v>0</v>
      </c>
      <c r="N5" s="95">
        <f ca="1">ROUND(M5*IF('Summary Schedule'!$C$38="",1,'Summary Schedule'!$C$38),0)</f>
        <v>0</v>
      </c>
      <c r="O5" s="101">
        <f ca="1">'Sch3-Perf Period Cash Flow'!D$23</f>
        <v>0</v>
      </c>
      <c r="R5" s="248"/>
      <c r="X5" s="248"/>
    </row>
    <row r="6" spans="1:24" ht="16.5" thickBot="1">
      <c r="A6" s="87">
        <v>2</v>
      </c>
      <c r="B6" s="97">
        <f>B5*(1+'Annual Escalation Rates'!B6)</f>
        <v>0</v>
      </c>
      <c r="C6" s="97">
        <f>C5*(1+'Annual Escalation Rates'!C6)</f>
        <v>0</v>
      </c>
      <c r="D6" s="97">
        <f>D5*(1+'Annual Escalation Rates'!D6)</f>
        <v>0</v>
      </c>
      <c r="E6" s="97">
        <f>E5*(1+'Annual Escalation Rates'!E6)</f>
        <v>0</v>
      </c>
      <c r="F6" s="97">
        <f>F5*(1+'Annual Escalation Rates'!F6)</f>
        <v>0</v>
      </c>
      <c r="G6" s="97">
        <f>G5*(1+'Annual Escalation Rates'!G6)</f>
        <v>0</v>
      </c>
      <c r="H6" s="97">
        <f>H5*(1+'Annual Escalation Rates'!H6)</f>
        <v>0</v>
      </c>
      <c r="I6" s="97">
        <f>I5*(1+'Annual Escalation Rates'!I6)</f>
        <v>0</v>
      </c>
      <c r="J6" s="97">
        <f>J5*(1+'Annual Escalation Rates'!J6)</f>
        <v>0</v>
      </c>
      <c r="L6" s="96">
        <v>2</v>
      </c>
      <c r="M6" s="95">
        <f ca="1">SUM(B6:J6)+MAX((INDIRECT("'Sch3-Perf Period Cash Flow'!e"&amp;6&amp;"")/IF('Summary Schedule'!$C$38="",1,'Summary Schedule'!$C$38)),0)</f>
        <v>0</v>
      </c>
      <c r="N6" s="95">
        <f ca="1">ROUND(M6*IF('Summary Schedule'!$C$38="",1,'Summary Schedule'!$C$38),0)</f>
        <v>0</v>
      </c>
      <c r="O6" s="102">
        <f ca="1">'Sch3-Perf Period Cash Flow'!E$23</f>
        <v>0</v>
      </c>
      <c r="R6" s="248"/>
      <c r="X6" s="248"/>
    </row>
    <row r="7" spans="1:24" ht="16.5" thickBot="1">
      <c r="A7" s="87">
        <v>3</v>
      </c>
      <c r="B7" s="97">
        <f>B6*(1+'Annual Escalation Rates'!B7)</f>
        <v>0</v>
      </c>
      <c r="C7" s="97">
        <f>C6*(1+'Annual Escalation Rates'!C7)</f>
        <v>0</v>
      </c>
      <c r="D7" s="97">
        <f>D6*(1+'Annual Escalation Rates'!D7)</f>
        <v>0</v>
      </c>
      <c r="E7" s="97">
        <f>E6*(1+'Annual Escalation Rates'!E7)</f>
        <v>0</v>
      </c>
      <c r="F7" s="97">
        <f>F6*(1+'Annual Escalation Rates'!F7)</f>
        <v>0</v>
      </c>
      <c r="G7" s="97">
        <f>G6*(1+'Annual Escalation Rates'!G7)</f>
        <v>0</v>
      </c>
      <c r="H7" s="97">
        <f>H6*(1+'Annual Escalation Rates'!H7)</f>
        <v>0</v>
      </c>
      <c r="I7" s="97">
        <f>I6*(1+'Annual Escalation Rates'!I7)</f>
        <v>0</v>
      </c>
      <c r="J7" s="97">
        <f>J6*(1+'Annual Escalation Rates'!J7)</f>
        <v>0</v>
      </c>
      <c r="L7" s="96">
        <v>3</v>
      </c>
      <c r="M7" s="95">
        <f ca="1">SUM(B7:J7)+MAX((INDIRECT("'Sch3-Perf Period Cash Flow'!f"&amp;6&amp;"")/IF('Summary Schedule'!$C$38="",1,'Summary Schedule'!$C$38)),0)</f>
        <v>0</v>
      </c>
      <c r="N7" s="95">
        <f ca="1">ROUND(M7*IF('Summary Schedule'!$C$38="",1,'Summary Schedule'!$C$38),0)</f>
        <v>0</v>
      </c>
      <c r="O7" s="102">
        <f ca="1">'Sch3-Perf Period Cash Flow'!F$23</f>
        <v>0</v>
      </c>
      <c r="R7" s="248"/>
      <c r="X7" s="248"/>
    </row>
    <row r="8" spans="1:24" ht="16.5" thickBot="1">
      <c r="A8" s="87">
        <v>4</v>
      </c>
      <c r="B8" s="97">
        <f>B7*(1+'Annual Escalation Rates'!B8)</f>
        <v>0</v>
      </c>
      <c r="C8" s="97">
        <f>C7*(1+'Annual Escalation Rates'!C8)</f>
        <v>0</v>
      </c>
      <c r="D8" s="97">
        <f>D7*(1+'Annual Escalation Rates'!D8)</f>
        <v>0</v>
      </c>
      <c r="E8" s="97">
        <f>E7*(1+'Annual Escalation Rates'!E8)</f>
        <v>0</v>
      </c>
      <c r="F8" s="97">
        <f>F7*(1+'Annual Escalation Rates'!F8)</f>
        <v>0</v>
      </c>
      <c r="G8" s="97">
        <f>G7*(1+'Annual Escalation Rates'!G8)</f>
        <v>0</v>
      </c>
      <c r="H8" s="97">
        <f>H7*(1+'Annual Escalation Rates'!H8)</f>
        <v>0</v>
      </c>
      <c r="I8" s="97">
        <f>I7*(1+'Annual Escalation Rates'!I8)</f>
        <v>0</v>
      </c>
      <c r="J8" s="97">
        <f>J7*(1+'Annual Escalation Rates'!J8)</f>
        <v>0</v>
      </c>
      <c r="L8" s="96">
        <v>4</v>
      </c>
      <c r="M8" s="95">
        <f ca="1">SUM(B8:J8)+MAX((INDIRECT("'Sch3-Perf Period Cash Flow'!g"&amp;6&amp;"")/IF('Summary Schedule'!$C$38="",1,'Summary Schedule'!$C$38)),0)</f>
        <v>0</v>
      </c>
      <c r="N8" s="95">
        <f ca="1">ROUND(M8*IF('Summary Schedule'!$C$38="",1,'Summary Schedule'!$C$38),0)</f>
        <v>0</v>
      </c>
      <c r="O8" s="102">
        <f ca="1">'Sch3-Perf Period Cash Flow'!G$23</f>
        <v>0</v>
      </c>
      <c r="R8" s="248"/>
      <c r="X8" s="248"/>
    </row>
    <row r="9" spans="1:24" ht="16.5" thickBot="1">
      <c r="A9" s="87">
        <v>5</v>
      </c>
      <c r="B9" s="97">
        <f>B8*(1+'Annual Escalation Rates'!B9)</f>
        <v>0</v>
      </c>
      <c r="C9" s="97">
        <f>C8*(1+'Annual Escalation Rates'!C9)</f>
        <v>0</v>
      </c>
      <c r="D9" s="97">
        <f>D8*(1+'Annual Escalation Rates'!D9)</f>
        <v>0</v>
      </c>
      <c r="E9" s="97">
        <f>E8*(1+'Annual Escalation Rates'!E9)</f>
        <v>0</v>
      </c>
      <c r="F9" s="97">
        <f>F8*(1+'Annual Escalation Rates'!F9)</f>
        <v>0</v>
      </c>
      <c r="G9" s="97">
        <f>G8*(1+'Annual Escalation Rates'!G9)</f>
        <v>0</v>
      </c>
      <c r="H9" s="97">
        <f>H8*(1+'Annual Escalation Rates'!H9)</f>
        <v>0</v>
      </c>
      <c r="I9" s="97">
        <f>I8*(1+'Annual Escalation Rates'!I9)</f>
        <v>0</v>
      </c>
      <c r="J9" s="97">
        <f>J8*(1+'Annual Escalation Rates'!J9)</f>
        <v>0</v>
      </c>
      <c r="L9" s="96">
        <v>5</v>
      </c>
      <c r="M9" s="95">
        <f ca="1">SUM(B9:J9)+MAX((INDIRECT("'Sch3-Perf Period Cash Flow'!h"&amp;6&amp;"")/IF('Summary Schedule'!$C$38="",1,'Summary Schedule'!$C$38)),0)</f>
        <v>0</v>
      </c>
      <c r="N9" s="95">
        <f ca="1">ROUND(M9*IF('Summary Schedule'!$C$38="",1,'Summary Schedule'!$C$38),0)</f>
        <v>0</v>
      </c>
      <c r="O9" s="102">
        <f ca="1">'Sch3-Perf Period Cash Flow'!H$23</f>
        <v>0</v>
      </c>
      <c r="R9" s="248"/>
      <c r="X9" s="248"/>
    </row>
    <row r="10" spans="1:24" ht="16.5" thickBot="1">
      <c r="A10" s="87">
        <v>6</v>
      </c>
      <c r="B10" s="97">
        <f>B9*(1+'Annual Escalation Rates'!B10)</f>
        <v>0</v>
      </c>
      <c r="C10" s="97">
        <f>C9*(1+'Annual Escalation Rates'!C10)</f>
        <v>0</v>
      </c>
      <c r="D10" s="97">
        <f>D9*(1+'Annual Escalation Rates'!D10)</f>
        <v>0</v>
      </c>
      <c r="E10" s="97">
        <f>E9*(1+'Annual Escalation Rates'!E10)</f>
        <v>0</v>
      </c>
      <c r="F10" s="97">
        <f>F9*(1+'Annual Escalation Rates'!F10)</f>
        <v>0</v>
      </c>
      <c r="G10" s="97">
        <f>G9*(1+'Annual Escalation Rates'!G10)</f>
        <v>0</v>
      </c>
      <c r="H10" s="97">
        <f>H9*(1+'Annual Escalation Rates'!H10)</f>
        <v>0</v>
      </c>
      <c r="I10" s="97">
        <f>I9*(1+'Annual Escalation Rates'!I10)</f>
        <v>0</v>
      </c>
      <c r="J10" s="97">
        <f>J9*(1+'Annual Escalation Rates'!J10)</f>
        <v>0</v>
      </c>
      <c r="L10" s="96">
        <v>6</v>
      </c>
      <c r="M10" s="95">
        <f ca="1">SUM(B10:J10)+MAX((INDIRECT("'Sch3-Perf Period Cash Flow'!i"&amp;6&amp;"")/IF('Summary Schedule'!$C$38="",1,'Summary Schedule'!$C$38)),0)</f>
        <v>0</v>
      </c>
      <c r="N10" s="95">
        <f ca="1">ROUND(M10*IF('Summary Schedule'!$C$38="",1,'Summary Schedule'!$C$38),0)</f>
        <v>0</v>
      </c>
      <c r="O10" s="102">
        <f ca="1">'Sch3-Perf Period Cash Flow'!I$23</f>
        <v>0</v>
      </c>
      <c r="R10" s="248"/>
      <c r="X10" s="248"/>
    </row>
    <row r="11" spans="1:24" ht="16.5" thickBot="1">
      <c r="A11" s="87">
        <v>7</v>
      </c>
      <c r="B11" s="97">
        <f>B10*(1+'Annual Escalation Rates'!B11)</f>
        <v>0</v>
      </c>
      <c r="C11" s="97">
        <f>C10*(1+'Annual Escalation Rates'!C11)</f>
        <v>0</v>
      </c>
      <c r="D11" s="97">
        <f>D10*(1+'Annual Escalation Rates'!D11)</f>
        <v>0</v>
      </c>
      <c r="E11" s="97">
        <f>E10*(1+'Annual Escalation Rates'!E11)</f>
        <v>0</v>
      </c>
      <c r="F11" s="97">
        <f>F10*(1+'Annual Escalation Rates'!F11)</f>
        <v>0</v>
      </c>
      <c r="G11" s="97">
        <f>G10*(1+'Annual Escalation Rates'!G11)</f>
        <v>0</v>
      </c>
      <c r="H11" s="97">
        <f>H10*(1+'Annual Escalation Rates'!H11)</f>
        <v>0</v>
      </c>
      <c r="I11" s="97">
        <f>I10*(1+'Annual Escalation Rates'!I11)</f>
        <v>0</v>
      </c>
      <c r="J11" s="97">
        <f>J10*(1+'Annual Escalation Rates'!J11)</f>
        <v>0</v>
      </c>
      <c r="L11" s="96">
        <v>7</v>
      </c>
      <c r="M11" s="95">
        <f ca="1">SUM(B11:J11)+MAX((INDIRECT("'Sch3-Perf Period Cash Flow'!j"&amp;6&amp;"")/IF('Summary Schedule'!$C$38="",1,'Summary Schedule'!$C$38)),0)</f>
        <v>0</v>
      </c>
      <c r="N11" s="95">
        <f ca="1">ROUND(M11*IF('Summary Schedule'!$C$38="",1,'Summary Schedule'!$C$38),0)</f>
        <v>0</v>
      </c>
      <c r="O11" s="102">
        <f ca="1">'Sch3-Perf Period Cash Flow'!J$23</f>
        <v>0</v>
      </c>
      <c r="R11" s="248"/>
      <c r="X11" s="248"/>
    </row>
    <row r="12" spans="1:24" ht="16.5" thickBot="1">
      <c r="A12" s="87">
        <v>8</v>
      </c>
      <c r="B12" s="97">
        <f>B11*(1+'Annual Escalation Rates'!B12)</f>
        <v>0</v>
      </c>
      <c r="C12" s="97">
        <f>C11*(1+'Annual Escalation Rates'!C12)</f>
        <v>0</v>
      </c>
      <c r="D12" s="97">
        <f>D11*(1+'Annual Escalation Rates'!D12)</f>
        <v>0</v>
      </c>
      <c r="E12" s="97">
        <f>E11*(1+'Annual Escalation Rates'!E12)</f>
        <v>0</v>
      </c>
      <c r="F12" s="97">
        <f>F11*(1+'Annual Escalation Rates'!F12)</f>
        <v>0</v>
      </c>
      <c r="G12" s="97">
        <f>G11*(1+'Annual Escalation Rates'!G12)</f>
        <v>0</v>
      </c>
      <c r="H12" s="97">
        <f>H11*(1+'Annual Escalation Rates'!H12)</f>
        <v>0</v>
      </c>
      <c r="I12" s="97">
        <f>I11*(1+'Annual Escalation Rates'!I12)</f>
        <v>0</v>
      </c>
      <c r="J12" s="97">
        <f>J11*(1+'Annual Escalation Rates'!J12)</f>
        <v>0</v>
      </c>
      <c r="L12" s="96">
        <v>8</v>
      </c>
      <c r="M12" s="95">
        <f ca="1">SUM(B12:J12)+MAX((INDIRECT("'Sch3-Perf Period Cash Flow'!k"&amp;6&amp;"")/IF('Summary Schedule'!$C$38="",1,'Summary Schedule'!$C$38)),0)</f>
        <v>0</v>
      </c>
      <c r="N12" s="95">
        <f ca="1">ROUND(M12*IF('Summary Schedule'!$C$38="",1,'Summary Schedule'!$C$38),0)</f>
        <v>0</v>
      </c>
      <c r="O12" s="102">
        <f ca="1">'Sch3-Perf Period Cash Flow'!K$23</f>
        <v>0</v>
      </c>
      <c r="R12" s="248"/>
      <c r="X12" s="248"/>
    </row>
    <row r="13" spans="1:24" ht="16.5" thickBot="1">
      <c r="A13" s="87">
        <v>9</v>
      </c>
      <c r="B13" s="97">
        <f>B12*(1+'Annual Escalation Rates'!B13)</f>
        <v>0</v>
      </c>
      <c r="C13" s="97">
        <f>C12*(1+'Annual Escalation Rates'!C13)</f>
        <v>0</v>
      </c>
      <c r="D13" s="97">
        <f>D12*(1+'Annual Escalation Rates'!D13)</f>
        <v>0</v>
      </c>
      <c r="E13" s="97">
        <f>E12*(1+'Annual Escalation Rates'!E13)</f>
        <v>0</v>
      </c>
      <c r="F13" s="97">
        <f>F12*(1+'Annual Escalation Rates'!F13)</f>
        <v>0</v>
      </c>
      <c r="G13" s="97">
        <f>G12*(1+'Annual Escalation Rates'!G13)</f>
        <v>0</v>
      </c>
      <c r="H13" s="97">
        <f>H12*(1+'Annual Escalation Rates'!H13)</f>
        <v>0</v>
      </c>
      <c r="I13" s="97">
        <f>I12*(1+'Annual Escalation Rates'!I13)</f>
        <v>0</v>
      </c>
      <c r="J13" s="97">
        <f>J12*(1+'Annual Escalation Rates'!J13)</f>
        <v>0</v>
      </c>
      <c r="L13" s="96">
        <v>9</v>
      </c>
      <c r="M13" s="95">
        <f ca="1">SUM(B13:J13)+MAX((INDIRECT("'Sch3-Perf Period Cash Flow'!l"&amp;6&amp;"")/IF('Summary Schedule'!$C$38="",1,'Summary Schedule'!$C$38)),0)</f>
        <v>0</v>
      </c>
      <c r="N13" s="95">
        <f ca="1">ROUND(M13*IF('Summary Schedule'!$C$38="",1,'Summary Schedule'!$C$38),0)</f>
        <v>0</v>
      </c>
      <c r="O13" s="102">
        <f ca="1">'Sch3-Perf Period Cash Flow'!L$23</f>
        <v>0</v>
      </c>
      <c r="R13" s="248"/>
      <c r="X13" s="248"/>
    </row>
    <row r="14" spans="1:24" ht="16.5" thickBot="1">
      <c r="A14" s="87">
        <v>10</v>
      </c>
      <c r="B14" s="97">
        <f>B13*(1+'Annual Escalation Rates'!B14)</f>
        <v>0</v>
      </c>
      <c r="C14" s="97">
        <f>C13*(1+'Annual Escalation Rates'!C14)</f>
        <v>0</v>
      </c>
      <c r="D14" s="97">
        <f>D13*(1+'Annual Escalation Rates'!D14)</f>
        <v>0</v>
      </c>
      <c r="E14" s="97">
        <f>E13*(1+'Annual Escalation Rates'!E14)</f>
        <v>0</v>
      </c>
      <c r="F14" s="97">
        <f>F13*(1+'Annual Escalation Rates'!F14)</f>
        <v>0</v>
      </c>
      <c r="G14" s="97">
        <f>G13*(1+'Annual Escalation Rates'!G14)</f>
        <v>0</v>
      </c>
      <c r="H14" s="97">
        <f>H13*(1+'Annual Escalation Rates'!H14)</f>
        <v>0</v>
      </c>
      <c r="I14" s="97">
        <f>I13*(1+'Annual Escalation Rates'!I14)</f>
        <v>0</v>
      </c>
      <c r="J14" s="97">
        <f>J13*(1+'Annual Escalation Rates'!J14)</f>
        <v>0</v>
      </c>
      <c r="L14" s="96">
        <v>10</v>
      </c>
      <c r="M14" s="95">
        <f ca="1">SUM(B14:J14)+MAX((INDIRECT("'Sch3-Perf Period Cash Flow'!m"&amp;6&amp;"")/IF('Summary Schedule'!$C$38="",1,'Summary Schedule'!$C$38)),0)</f>
        <v>0</v>
      </c>
      <c r="N14" s="95">
        <f ca="1">ROUND(M14*IF('Summary Schedule'!$C$38="",1,'Summary Schedule'!$C$38),0)</f>
        <v>0</v>
      </c>
      <c r="O14" s="102">
        <f ca="1">'Sch3-Perf Period Cash Flow'!M$23</f>
        <v>0</v>
      </c>
      <c r="R14" s="248"/>
      <c r="X14" s="248"/>
    </row>
    <row r="15" spans="1:24" ht="16.5" thickBot="1">
      <c r="A15" s="87">
        <v>11</v>
      </c>
      <c r="B15" s="97">
        <f>B14*(1+'Annual Escalation Rates'!B15)</f>
        <v>0</v>
      </c>
      <c r="C15" s="97">
        <f>C14*(1+'Annual Escalation Rates'!C15)</f>
        <v>0</v>
      </c>
      <c r="D15" s="97">
        <f>D14*(1+'Annual Escalation Rates'!D15)</f>
        <v>0</v>
      </c>
      <c r="E15" s="97">
        <f>E14*(1+'Annual Escalation Rates'!E15)</f>
        <v>0</v>
      </c>
      <c r="F15" s="97">
        <f>F14*(1+'Annual Escalation Rates'!F15)</f>
        <v>0</v>
      </c>
      <c r="G15" s="97">
        <f>G14*(1+'Annual Escalation Rates'!G15)</f>
        <v>0</v>
      </c>
      <c r="H15" s="97">
        <f>H14*(1+'Annual Escalation Rates'!H15)</f>
        <v>0</v>
      </c>
      <c r="I15" s="97">
        <f>I14*(1+'Annual Escalation Rates'!I15)</f>
        <v>0</v>
      </c>
      <c r="J15" s="97">
        <f>J14*(1+'Annual Escalation Rates'!J15)</f>
        <v>0</v>
      </c>
      <c r="L15" s="96">
        <v>11</v>
      </c>
      <c r="M15" s="95">
        <f ca="1">SUM(B15:J15)+MAX((INDIRECT("'Sch3-Perf Period Cash Flow'!n"&amp;6&amp;"")/IF('Summary Schedule'!$C$38="",1,'Summary Schedule'!$C$38)),0)</f>
        <v>0</v>
      </c>
      <c r="N15" s="95">
        <f ca="1">ROUND(M15*IF('Summary Schedule'!$C$38="",1,'Summary Schedule'!$C$38),0)</f>
        <v>0</v>
      </c>
      <c r="O15" s="102">
        <f ca="1">'Sch3-Perf Period Cash Flow'!N$23</f>
        <v>0</v>
      </c>
      <c r="R15" s="248"/>
      <c r="X15" s="248"/>
    </row>
    <row r="16" spans="1:24" ht="16.5" thickBot="1">
      <c r="A16" s="87">
        <v>12</v>
      </c>
      <c r="B16" s="97">
        <f>B15*(1+'Annual Escalation Rates'!B16)</f>
        <v>0</v>
      </c>
      <c r="C16" s="97">
        <f>C15*(1+'Annual Escalation Rates'!C16)</f>
        <v>0</v>
      </c>
      <c r="D16" s="97">
        <f>D15*(1+'Annual Escalation Rates'!D16)</f>
        <v>0</v>
      </c>
      <c r="E16" s="97">
        <f>E15*(1+'Annual Escalation Rates'!E16)</f>
        <v>0</v>
      </c>
      <c r="F16" s="97">
        <f>F15*(1+'Annual Escalation Rates'!F16)</f>
        <v>0</v>
      </c>
      <c r="G16" s="97">
        <f>G15*(1+'Annual Escalation Rates'!G16)</f>
        <v>0</v>
      </c>
      <c r="H16" s="97">
        <f>H15*(1+'Annual Escalation Rates'!H16)</f>
        <v>0</v>
      </c>
      <c r="I16" s="97">
        <f>I15*(1+'Annual Escalation Rates'!I16)</f>
        <v>0</v>
      </c>
      <c r="J16" s="97">
        <f>J15*(1+'Annual Escalation Rates'!J16)</f>
        <v>0</v>
      </c>
      <c r="L16" s="96">
        <v>12</v>
      </c>
      <c r="M16" s="95">
        <f ca="1">SUM(B16:J16)+MAX((INDIRECT("'Sch3-Perf Period Cash Flow'!o"&amp;6&amp;"")/IF('Summary Schedule'!$C$38="",1,'Summary Schedule'!$C$38)),0)</f>
        <v>0</v>
      </c>
      <c r="N16" s="95">
        <f ca="1">ROUND(M16*IF('Summary Schedule'!$C$38="",1,'Summary Schedule'!$C$38),0)</f>
        <v>0</v>
      </c>
      <c r="O16" s="102">
        <f ca="1">'Sch3-Perf Period Cash Flow'!O$23</f>
        <v>0</v>
      </c>
      <c r="R16" s="248"/>
      <c r="X16" s="248"/>
    </row>
    <row r="17" spans="1:24" ht="16.5" thickBot="1">
      <c r="A17" s="87">
        <v>13</v>
      </c>
      <c r="B17" s="97">
        <f>B16*(1+'Annual Escalation Rates'!B17)</f>
        <v>0</v>
      </c>
      <c r="C17" s="97">
        <f>C16*(1+'Annual Escalation Rates'!C17)</f>
        <v>0</v>
      </c>
      <c r="D17" s="97">
        <f>D16*(1+'Annual Escalation Rates'!D17)</f>
        <v>0</v>
      </c>
      <c r="E17" s="97">
        <f>E16*(1+'Annual Escalation Rates'!E17)</f>
        <v>0</v>
      </c>
      <c r="F17" s="97">
        <f>F16*(1+'Annual Escalation Rates'!F17)</f>
        <v>0</v>
      </c>
      <c r="G17" s="97">
        <f>G16*(1+'Annual Escalation Rates'!G17)</f>
        <v>0</v>
      </c>
      <c r="H17" s="97">
        <f>H16*(1+'Annual Escalation Rates'!H17)</f>
        <v>0</v>
      </c>
      <c r="I17" s="97">
        <f>I16*(1+'Annual Escalation Rates'!I17)</f>
        <v>0</v>
      </c>
      <c r="J17" s="97">
        <f>J16*(1+'Annual Escalation Rates'!J17)</f>
        <v>0</v>
      </c>
      <c r="L17" s="96">
        <v>13</v>
      </c>
      <c r="M17" s="95">
        <f ca="1">SUM(B17:J17)+MAX((INDIRECT("'Sch3-Perf Period Cash Flow'!p"&amp;6&amp;"")/IF('Summary Schedule'!$C$38="",1,'Summary Schedule'!$C$38)),0)</f>
        <v>0</v>
      </c>
      <c r="N17" s="95">
        <f ca="1">ROUND(M17*IF('Summary Schedule'!$C$38="",1,'Summary Schedule'!$C$38),0)</f>
        <v>0</v>
      </c>
      <c r="O17" s="102">
        <f ca="1">'Sch3-Perf Period Cash Flow'!P$23</f>
        <v>0</v>
      </c>
      <c r="R17" s="248"/>
      <c r="X17" s="248"/>
    </row>
    <row r="18" spans="1:24" ht="16.5" thickBot="1">
      <c r="A18" s="87">
        <v>14</v>
      </c>
      <c r="B18" s="97">
        <f>B17*(1+'Annual Escalation Rates'!B18)</f>
        <v>0</v>
      </c>
      <c r="C18" s="97">
        <f>C17*(1+'Annual Escalation Rates'!C18)</f>
        <v>0</v>
      </c>
      <c r="D18" s="97">
        <f>D17*(1+'Annual Escalation Rates'!D18)</f>
        <v>0</v>
      </c>
      <c r="E18" s="97">
        <f>E17*(1+'Annual Escalation Rates'!E18)</f>
        <v>0</v>
      </c>
      <c r="F18" s="97">
        <f>F17*(1+'Annual Escalation Rates'!F18)</f>
        <v>0</v>
      </c>
      <c r="G18" s="97">
        <f>G17*(1+'Annual Escalation Rates'!G18)</f>
        <v>0</v>
      </c>
      <c r="H18" s="97">
        <f>H17*(1+'Annual Escalation Rates'!H18)</f>
        <v>0</v>
      </c>
      <c r="I18" s="97">
        <f>I17*(1+'Annual Escalation Rates'!I18)</f>
        <v>0</v>
      </c>
      <c r="J18" s="97">
        <f>J17*(1+'Annual Escalation Rates'!J18)</f>
        <v>0</v>
      </c>
      <c r="L18" s="96">
        <v>14</v>
      </c>
      <c r="M18" s="95">
        <f ca="1">SUM(B18:J18)+MAX((INDIRECT("'Sch3-Perf Period Cash Flow'!q"&amp;6&amp;"")/IF('Summary Schedule'!$C$38="",1,'Summary Schedule'!$C$38)),0)</f>
        <v>0</v>
      </c>
      <c r="N18" s="95">
        <f ca="1">ROUND(M18*IF('Summary Schedule'!$C$38="",1,'Summary Schedule'!$C$38),0)</f>
        <v>0</v>
      </c>
      <c r="O18" s="102">
        <f ca="1">'Sch3-Perf Period Cash Flow'!Q$23</f>
        <v>0</v>
      </c>
      <c r="R18" s="248"/>
      <c r="X18" s="248"/>
    </row>
    <row r="19" spans="1:24" ht="16.5" thickBot="1">
      <c r="A19" s="87">
        <v>15</v>
      </c>
      <c r="B19" s="97">
        <f>B18*(1+'Annual Escalation Rates'!B19)</f>
        <v>0</v>
      </c>
      <c r="C19" s="97">
        <f>C18*(1+'Annual Escalation Rates'!C19)</f>
        <v>0</v>
      </c>
      <c r="D19" s="97">
        <f>D18*(1+'Annual Escalation Rates'!D19)</f>
        <v>0</v>
      </c>
      <c r="E19" s="97">
        <f>E18*(1+'Annual Escalation Rates'!E19)</f>
        <v>0</v>
      </c>
      <c r="F19" s="97">
        <f>F18*(1+'Annual Escalation Rates'!F19)</f>
        <v>0</v>
      </c>
      <c r="G19" s="97">
        <f>G18*(1+'Annual Escalation Rates'!G19)</f>
        <v>0</v>
      </c>
      <c r="H19" s="97">
        <f>H18*(1+'Annual Escalation Rates'!H19)</f>
        <v>0</v>
      </c>
      <c r="I19" s="97">
        <f>I18*(1+'Annual Escalation Rates'!I19)</f>
        <v>0</v>
      </c>
      <c r="J19" s="97">
        <f>J18*(1+'Annual Escalation Rates'!J19)</f>
        <v>0</v>
      </c>
      <c r="L19" s="96">
        <v>15</v>
      </c>
      <c r="M19" s="95">
        <f ca="1">SUM(B19:J19)+MAX((INDIRECT("'Sch3-Perf Period Cash Flow'!r"&amp;6&amp;"")/IF('Summary Schedule'!$C$38="",1,'Summary Schedule'!$C$38)),0)</f>
        <v>0</v>
      </c>
      <c r="N19" s="95">
        <f ca="1">ROUND(M19*IF('Summary Schedule'!$C$38="",1,'Summary Schedule'!$C$38),0)</f>
        <v>0</v>
      </c>
      <c r="O19" s="102">
        <f ca="1">'Sch3-Perf Period Cash Flow'!R$23</f>
        <v>0</v>
      </c>
      <c r="R19" s="248"/>
      <c r="X19" s="248"/>
    </row>
    <row r="20" spans="1:24" ht="16.5" thickBot="1">
      <c r="A20" s="87">
        <v>16</v>
      </c>
      <c r="B20" s="97">
        <f>B19*(1+'Annual Escalation Rates'!B20)</f>
        <v>0</v>
      </c>
      <c r="C20" s="97">
        <f>C19*(1+'Annual Escalation Rates'!C20)</f>
        <v>0</v>
      </c>
      <c r="D20" s="97">
        <f>D19*(1+'Annual Escalation Rates'!D20)</f>
        <v>0</v>
      </c>
      <c r="E20" s="97">
        <f>E19*(1+'Annual Escalation Rates'!E20)</f>
        <v>0</v>
      </c>
      <c r="F20" s="97">
        <f>F19*(1+'Annual Escalation Rates'!F20)</f>
        <v>0</v>
      </c>
      <c r="G20" s="97">
        <f>G19*(1+'Annual Escalation Rates'!G20)</f>
        <v>0</v>
      </c>
      <c r="H20" s="97">
        <f>H19*(1+'Annual Escalation Rates'!H20)</f>
        <v>0</v>
      </c>
      <c r="I20" s="97">
        <f>I19*(1+'Annual Escalation Rates'!I20)</f>
        <v>0</v>
      </c>
      <c r="J20" s="97">
        <f>J19*(1+'Annual Escalation Rates'!J20)</f>
        <v>0</v>
      </c>
      <c r="L20" s="96">
        <v>16</v>
      </c>
      <c r="M20" s="95">
        <f ca="1">SUM(B20:J20)+MAX((INDIRECT("'Sch3-Perf Period Cash Flow'!s"&amp;6&amp;"")/IF('Summary Schedule'!$C$38="",1,'Summary Schedule'!$C$38)),0)</f>
        <v>0</v>
      </c>
      <c r="N20" s="95">
        <f ca="1">ROUND(M20*IF('Summary Schedule'!$C$38="",1,'Summary Schedule'!$C$38),0)</f>
        <v>0</v>
      </c>
      <c r="O20" s="102">
        <f ca="1">'Sch3-Perf Period Cash Flow'!S$23</f>
        <v>0</v>
      </c>
      <c r="R20" s="248"/>
      <c r="X20" s="248"/>
    </row>
    <row r="21" spans="1:24" ht="16.5" thickBot="1">
      <c r="A21" s="87">
        <v>17</v>
      </c>
      <c r="B21" s="97">
        <f>B20*(1+'Annual Escalation Rates'!B21)</f>
        <v>0</v>
      </c>
      <c r="C21" s="97">
        <f>C20*(1+'Annual Escalation Rates'!C21)</f>
        <v>0</v>
      </c>
      <c r="D21" s="97">
        <f>D20*(1+'Annual Escalation Rates'!D21)</f>
        <v>0</v>
      </c>
      <c r="E21" s="97">
        <f>E20*(1+'Annual Escalation Rates'!E21)</f>
        <v>0</v>
      </c>
      <c r="F21" s="97">
        <f>F20*(1+'Annual Escalation Rates'!F21)</f>
        <v>0</v>
      </c>
      <c r="G21" s="97">
        <f>G20*(1+'Annual Escalation Rates'!G21)</f>
        <v>0</v>
      </c>
      <c r="H21" s="97">
        <f>H20*(1+'Annual Escalation Rates'!H21)</f>
        <v>0</v>
      </c>
      <c r="I21" s="97">
        <f>I20*(1+'Annual Escalation Rates'!I21)</f>
        <v>0</v>
      </c>
      <c r="J21" s="97">
        <f>J20*(1+'Annual Escalation Rates'!J21)</f>
        <v>0</v>
      </c>
      <c r="L21" s="96">
        <v>17</v>
      </c>
      <c r="M21" s="95">
        <f ca="1">SUM(B21:J21)+MAX((INDIRECT("'Sch3-Perf Period Cash Flow'!t"&amp;6&amp;"")/IF('Summary Schedule'!$C$38="",1,'Summary Schedule'!$C$38)),0)</f>
        <v>0</v>
      </c>
      <c r="N21" s="95">
        <f ca="1">ROUND(M21*IF('Summary Schedule'!$C$38="",1,'Summary Schedule'!$C$38),0)</f>
        <v>0</v>
      </c>
      <c r="O21" s="102">
        <f ca="1">'Sch3-Perf Period Cash Flow'!T$23</f>
        <v>0</v>
      </c>
      <c r="R21" s="248"/>
      <c r="X21" s="248"/>
    </row>
    <row r="22" spans="1:24" ht="16.5" thickBot="1">
      <c r="A22" s="87">
        <v>18</v>
      </c>
      <c r="B22" s="97">
        <f>B21*(1+'Annual Escalation Rates'!B22)</f>
        <v>0</v>
      </c>
      <c r="C22" s="97">
        <f>C21*(1+'Annual Escalation Rates'!C22)</f>
        <v>0</v>
      </c>
      <c r="D22" s="97">
        <f>D21*(1+'Annual Escalation Rates'!D22)</f>
        <v>0</v>
      </c>
      <c r="E22" s="97">
        <f>E21*(1+'Annual Escalation Rates'!E22)</f>
        <v>0</v>
      </c>
      <c r="F22" s="97">
        <f>F21*(1+'Annual Escalation Rates'!F22)</f>
        <v>0</v>
      </c>
      <c r="G22" s="97">
        <f>G21*(1+'Annual Escalation Rates'!G22)</f>
        <v>0</v>
      </c>
      <c r="H22" s="97">
        <f>H21*(1+'Annual Escalation Rates'!H22)</f>
        <v>0</v>
      </c>
      <c r="I22" s="97">
        <f>I21*(1+'Annual Escalation Rates'!I22)</f>
        <v>0</v>
      </c>
      <c r="J22" s="97">
        <f>J21*(1+'Annual Escalation Rates'!J22)</f>
        <v>0</v>
      </c>
      <c r="L22" s="96">
        <v>18</v>
      </c>
      <c r="M22" s="95">
        <f ca="1">SUM(B22:J22)+MAX((INDIRECT("'Sch3-Perf Period Cash Flow'!u"&amp;6&amp;"")/IF('Summary Schedule'!$C$38="",1,'Summary Schedule'!$C$38)),0)</f>
        <v>0</v>
      </c>
      <c r="N22" s="95">
        <f ca="1">ROUND(M22*IF('Summary Schedule'!$C$38="",1,'Summary Schedule'!$C$38),0)</f>
        <v>0</v>
      </c>
      <c r="O22" s="102">
        <f ca="1">'Sch3-Perf Period Cash Flow'!U$23</f>
        <v>0</v>
      </c>
      <c r="R22" s="248"/>
      <c r="X22" s="248"/>
    </row>
    <row r="23" spans="1:24" ht="16.5" thickBot="1">
      <c r="A23" s="87">
        <v>19</v>
      </c>
      <c r="B23" s="97">
        <f>B22*(1+'Annual Escalation Rates'!B23)</f>
        <v>0</v>
      </c>
      <c r="C23" s="97">
        <f>C22*(1+'Annual Escalation Rates'!C23)</f>
        <v>0</v>
      </c>
      <c r="D23" s="97">
        <f>D22*(1+'Annual Escalation Rates'!D23)</f>
        <v>0</v>
      </c>
      <c r="E23" s="97">
        <f>E22*(1+'Annual Escalation Rates'!E23)</f>
        <v>0</v>
      </c>
      <c r="F23" s="97">
        <f>F22*(1+'Annual Escalation Rates'!F23)</f>
        <v>0</v>
      </c>
      <c r="G23" s="97">
        <f>G22*(1+'Annual Escalation Rates'!G23)</f>
        <v>0</v>
      </c>
      <c r="H23" s="97">
        <f>H22*(1+'Annual Escalation Rates'!H23)</f>
        <v>0</v>
      </c>
      <c r="I23" s="97">
        <f>I22*(1+'Annual Escalation Rates'!I23)</f>
        <v>0</v>
      </c>
      <c r="J23" s="97">
        <f>J22*(1+'Annual Escalation Rates'!J23)</f>
        <v>0</v>
      </c>
      <c r="L23" s="96">
        <v>19</v>
      </c>
      <c r="M23" s="95">
        <f ca="1">SUM(B23:J23)+MAX((INDIRECT("'Sch3-Perf Period Cash Flow'!v"&amp;6&amp;"")/IF('Summary Schedule'!$C$38="",1,'Summary Schedule'!$C$38)),0)</f>
        <v>0</v>
      </c>
      <c r="N23" s="95">
        <f ca="1">ROUND(M23*IF('Summary Schedule'!$C$38="",1,'Summary Schedule'!$C$38),0)</f>
        <v>0</v>
      </c>
      <c r="O23" s="102">
        <f ca="1">'Sch3-Perf Period Cash Flow'!V$23</f>
        <v>0</v>
      </c>
      <c r="R23" s="248"/>
      <c r="X23" s="248"/>
    </row>
    <row r="24" spans="1:24" ht="16.5" thickBot="1">
      <c r="A24" s="87">
        <v>20</v>
      </c>
      <c r="B24" s="97">
        <f>B23*(1+'Annual Escalation Rates'!B24)</f>
        <v>0</v>
      </c>
      <c r="C24" s="97">
        <f>C23*(1+'Annual Escalation Rates'!C24)</f>
        <v>0</v>
      </c>
      <c r="D24" s="97">
        <f>D23*(1+'Annual Escalation Rates'!D24)</f>
        <v>0</v>
      </c>
      <c r="E24" s="97">
        <f>E23*(1+'Annual Escalation Rates'!E24)</f>
        <v>0</v>
      </c>
      <c r="F24" s="97">
        <f>F23*(1+'Annual Escalation Rates'!F24)</f>
        <v>0</v>
      </c>
      <c r="G24" s="97">
        <f>G23*(1+'Annual Escalation Rates'!G24)</f>
        <v>0</v>
      </c>
      <c r="H24" s="97">
        <f>H23*(1+'Annual Escalation Rates'!H24)</f>
        <v>0</v>
      </c>
      <c r="I24" s="97">
        <f>I23*(1+'Annual Escalation Rates'!I24)</f>
        <v>0</v>
      </c>
      <c r="J24" s="97">
        <f>J23*(1+'Annual Escalation Rates'!J24)</f>
        <v>0</v>
      </c>
      <c r="L24" s="96">
        <v>20</v>
      </c>
      <c r="M24" s="95">
        <f ca="1">SUM(B24:J24)+MAX((INDIRECT("'Sch3-Perf Period Cash Flow'!w"&amp;6&amp;"")/IF('Summary Schedule'!$C$38="",1,'Summary Schedule'!$C$38)),0)</f>
        <v>0</v>
      </c>
      <c r="N24" s="95">
        <f ca="1">ROUND(M24*IF('Summary Schedule'!$C$38="",1,'Summary Schedule'!$C$38),0)</f>
        <v>0</v>
      </c>
      <c r="O24" s="102">
        <f ca="1">'Sch3-Perf Period Cash Flow'!W$23</f>
        <v>0</v>
      </c>
      <c r="R24" s="248"/>
      <c r="X24" s="248"/>
    </row>
    <row r="25" spans="1:24" ht="16.5" thickBot="1">
      <c r="A25" s="87">
        <v>21</v>
      </c>
      <c r="B25" s="97">
        <f>B24*(1+'Annual Escalation Rates'!B25)</f>
        <v>0</v>
      </c>
      <c r="C25" s="97">
        <f>C24*(1+'Annual Escalation Rates'!C25)</f>
        <v>0</v>
      </c>
      <c r="D25" s="97">
        <f>D24*(1+'Annual Escalation Rates'!D25)</f>
        <v>0</v>
      </c>
      <c r="E25" s="97">
        <f>E24*(1+'Annual Escalation Rates'!E25)</f>
        <v>0</v>
      </c>
      <c r="F25" s="97">
        <f>F24*(1+'Annual Escalation Rates'!F25)</f>
        <v>0</v>
      </c>
      <c r="G25" s="97">
        <f>G24*(1+'Annual Escalation Rates'!G25)</f>
        <v>0</v>
      </c>
      <c r="H25" s="97">
        <f>H24*(1+'Annual Escalation Rates'!H25)</f>
        <v>0</v>
      </c>
      <c r="I25" s="97">
        <f>I24*(1+'Annual Escalation Rates'!I25)</f>
        <v>0</v>
      </c>
      <c r="J25" s="97">
        <f>J24*(1+'Annual Escalation Rates'!J25)</f>
        <v>0</v>
      </c>
      <c r="L25" s="96">
        <v>21</v>
      </c>
      <c r="M25" s="95">
        <f ca="1">SUM(B25:J25)+MAX((INDIRECT("'Sch3-Perf Period Cash Flow'!x"&amp;6&amp;"")/IF('Summary Schedule'!$C$38="",1,'Summary Schedule'!$C$38)),0)</f>
        <v>0</v>
      </c>
      <c r="N25" s="95">
        <f ca="1">ROUND(M25*IF('Summary Schedule'!$C$38="",1,'Summary Schedule'!$C$38),0)</f>
        <v>0</v>
      </c>
      <c r="O25" s="102">
        <f ca="1">'Sch3-Perf Period Cash Flow'!X$23</f>
        <v>0</v>
      </c>
      <c r="R25" s="248"/>
      <c r="X25" s="248"/>
    </row>
    <row r="26" spans="1:24" ht="16.5" thickBot="1">
      <c r="A26" s="87">
        <v>22</v>
      </c>
      <c r="B26" s="97">
        <f>B25*(1+'Annual Escalation Rates'!B26)</f>
        <v>0</v>
      </c>
      <c r="C26" s="97">
        <f>C25*(1+'Annual Escalation Rates'!C26)</f>
        <v>0</v>
      </c>
      <c r="D26" s="97">
        <f>D25*(1+'Annual Escalation Rates'!D26)</f>
        <v>0</v>
      </c>
      <c r="E26" s="97">
        <f>E25*(1+'Annual Escalation Rates'!E26)</f>
        <v>0</v>
      </c>
      <c r="F26" s="97">
        <f>F25*(1+'Annual Escalation Rates'!F26)</f>
        <v>0</v>
      </c>
      <c r="G26" s="97">
        <f>G25*(1+'Annual Escalation Rates'!G26)</f>
        <v>0</v>
      </c>
      <c r="H26" s="97">
        <f>H25*(1+'Annual Escalation Rates'!H26)</f>
        <v>0</v>
      </c>
      <c r="I26" s="97">
        <f>I25*(1+'Annual Escalation Rates'!I26)</f>
        <v>0</v>
      </c>
      <c r="J26" s="97">
        <f>J25*(1+'Annual Escalation Rates'!J26)</f>
        <v>0</v>
      </c>
      <c r="L26" s="96">
        <v>22</v>
      </c>
      <c r="M26" s="95">
        <f ca="1">SUM(B26:J26)+MAX((INDIRECT("'Sch3-Perf Period Cash Flow'!y"&amp;6&amp;"")/IF('Summary Schedule'!$C$38="",1,'Summary Schedule'!$C$38)),0)</f>
        <v>0</v>
      </c>
      <c r="N26" s="95">
        <f ca="1">ROUND(M26*IF('Summary Schedule'!$C$38="",1,'Summary Schedule'!$C$38),0)</f>
        <v>0</v>
      </c>
      <c r="O26" s="102">
        <f ca="1">'Sch3-Perf Period Cash Flow'!Y$23</f>
        <v>0</v>
      </c>
      <c r="R26" s="248"/>
      <c r="X26" s="248"/>
    </row>
    <row r="27" spans="1:24" ht="16.5" thickBot="1">
      <c r="A27" s="87">
        <v>23</v>
      </c>
      <c r="B27" s="97">
        <f>B26*(1+'Annual Escalation Rates'!B27)</f>
        <v>0</v>
      </c>
      <c r="C27" s="97">
        <f>C26*(1+'Annual Escalation Rates'!C27)</f>
        <v>0</v>
      </c>
      <c r="D27" s="97">
        <f>D26*(1+'Annual Escalation Rates'!D27)</f>
        <v>0</v>
      </c>
      <c r="E27" s="97">
        <f>E26*(1+'Annual Escalation Rates'!E27)</f>
        <v>0</v>
      </c>
      <c r="F27" s="97">
        <f>F26*(1+'Annual Escalation Rates'!F27)</f>
        <v>0</v>
      </c>
      <c r="G27" s="97">
        <f>G26*(1+'Annual Escalation Rates'!G27)</f>
        <v>0</v>
      </c>
      <c r="H27" s="97">
        <f>H26*(1+'Annual Escalation Rates'!H27)</f>
        <v>0</v>
      </c>
      <c r="I27" s="97">
        <f>I26*(1+'Annual Escalation Rates'!I27)</f>
        <v>0</v>
      </c>
      <c r="J27" s="97">
        <f>J26*(1+'Annual Escalation Rates'!J27)</f>
        <v>0</v>
      </c>
      <c r="L27" s="96">
        <v>23</v>
      </c>
      <c r="M27" s="95">
        <f ca="1">SUM(B27:J27)+MAX((INDIRECT("'Sch3-Perf Period Cash Flow'!z"&amp;6&amp;"")/IF('Summary Schedule'!$C$38="",1,'Summary Schedule'!$C$38)),0)</f>
        <v>0</v>
      </c>
      <c r="N27" s="95">
        <f ca="1">ROUND(M27*IF('Summary Schedule'!$C$38="",1,'Summary Schedule'!$C$38),0)</f>
        <v>0</v>
      </c>
      <c r="O27" s="102">
        <f ca="1">'Sch3-Perf Period Cash Flow'!Z$23</f>
        <v>0</v>
      </c>
      <c r="R27" s="248"/>
      <c r="X27" s="248"/>
    </row>
    <row r="28" spans="1:24" ht="16.5" thickBot="1">
      <c r="A28" s="87">
        <v>24</v>
      </c>
      <c r="B28" s="97">
        <f>B27*(1+'Annual Escalation Rates'!B28)</f>
        <v>0</v>
      </c>
      <c r="C28" s="97">
        <f>C27*(1+'Annual Escalation Rates'!C28)</f>
        <v>0</v>
      </c>
      <c r="D28" s="97">
        <f>D27*(1+'Annual Escalation Rates'!D28)</f>
        <v>0</v>
      </c>
      <c r="E28" s="97">
        <f>E27*(1+'Annual Escalation Rates'!E28)</f>
        <v>0</v>
      </c>
      <c r="F28" s="97">
        <f>F27*(1+'Annual Escalation Rates'!F28)</f>
        <v>0</v>
      </c>
      <c r="G28" s="97">
        <f>G27*(1+'Annual Escalation Rates'!G28)</f>
        <v>0</v>
      </c>
      <c r="H28" s="97">
        <f>H27*(1+'Annual Escalation Rates'!H28)</f>
        <v>0</v>
      </c>
      <c r="I28" s="97">
        <f>I27*(1+'Annual Escalation Rates'!I28)</f>
        <v>0</v>
      </c>
      <c r="J28" s="97">
        <f>J27*(1+'Annual Escalation Rates'!J28)</f>
        <v>0</v>
      </c>
      <c r="L28" s="96">
        <v>24</v>
      </c>
      <c r="M28" s="95">
        <f ca="1">SUM(B28:J28)+MAX((INDIRECT("'Sch3-Perf Period Cash Flow'!aa"&amp;6&amp;"")/IF('Summary Schedule'!$C$38="",1,'Summary Schedule'!$C$38)),0)</f>
        <v>0</v>
      </c>
      <c r="N28" s="95">
        <f ca="1">ROUND(M28*IF('Summary Schedule'!$C$38="",1,'Summary Schedule'!$C$38),0)</f>
        <v>0</v>
      </c>
      <c r="O28" s="102">
        <f ca="1">'Sch3-Perf Period Cash Flow'!AA$23</f>
        <v>0</v>
      </c>
      <c r="R28" s="248"/>
      <c r="X28" s="248"/>
    </row>
    <row r="29" spans="1:24" ht="16.5" thickBot="1">
      <c r="A29" s="87">
        <v>25</v>
      </c>
      <c r="B29" s="97">
        <f>B28*(1+'Annual Escalation Rates'!B29)</f>
        <v>0</v>
      </c>
      <c r="C29" s="97">
        <f>C28*(1+'Annual Escalation Rates'!C29)</f>
        <v>0</v>
      </c>
      <c r="D29" s="97">
        <f>D28*(1+'Annual Escalation Rates'!D29)</f>
        <v>0</v>
      </c>
      <c r="E29" s="97">
        <f>E28*(1+'Annual Escalation Rates'!E29)</f>
        <v>0</v>
      </c>
      <c r="F29" s="97">
        <f>F28*(1+'Annual Escalation Rates'!F29)</f>
        <v>0</v>
      </c>
      <c r="G29" s="97">
        <f>G28*(1+'Annual Escalation Rates'!G29)</f>
        <v>0</v>
      </c>
      <c r="H29" s="97">
        <f>H28*(1+'Annual Escalation Rates'!H29)</f>
        <v>0</v>
      </c>
      <c r="I29" s="97">
        <f>I28*(1+'Annual Escalation Rates'!I29)</f>
        <v>0</v>
      </c>
      <c r="J29" s="97">
        <f>J28*(1+'Annual Escalation Rates'!J29)</f>
        <v>0</v>
      </c>
      <c r="L29" s="96">
        <v>25</v>
      </c>
      <c r="M29" s="95">
        <f ca="1">SUM(B29:J29)+MAX((INDIRECT("'Sch3-Perf Period Cash Flow'!ab"&amp;6&amp;"")/IF('Summary Schedule'!$C$38="",1,'Summary Schedule'!$C$38)),0)</f>
        <v>0</v>
      </c>
      <c r="N29" s="95">
        <f ca="1">ROUND(M29*IF('Summary Schedule'!$C$38="",1,'Summary Schedule'!$C$38),0)</f>
        <v>0</v>
      </c>
      <c r="O29" s="102">
        <f ca="1">'Sch3-Perf Period Cash Flow'!AB$23</f>
        <v>0</v>
      </c>
      <c r="R29" s="248"/>
      <c r="X29" s="248"/>
    </row>
    <row r="30" spans="1:24" ht="16.5" thickBot="1">
      <c r="A30" s="87">
        <v>26</v>
      </c>
      <c r="B30" s="97">
        <f>B29*(1+'Annual Escalation Rates'!B30)</f>
        <v>0</v>
      </c>
      <c r="C30" s="455">
        <f>C29*(1+'Annual Escalation Rates'!C30)</f>
        <v>0</v>
      </c>
      <c r="D30" s="455">
        <f>D29*(1+'Annual Escalation Rates'!D30)</f>
        <v>0</v>
      </c>
      <c r="E30" s="455">
        <f>E29*(1+'Annual Escalation Rates'!E30)</f>
        <v>0</v>
      </c>
      <c r="F30" s="455">
        <f>F29*(1+'Annual Escalation Rates'!F30)</f>
        <v>0</v>
      </c>
      <c r="G30" s="455">
        <f>G29*(1+'Annual Escalation Rates'!G30)</f>
        <v>0</v>
      </c>
      <c r="H30" s="455">
        <f>H29*(1+'Annual Escalation Rates'!H30)</f>
        <v>0</v>
      </c>
      <c r="I30" s="455">
        <f>I29*(1+'Annual Escalation Rates'!I30)</f>
        <v>0</v>
      </c>
      <c r="J30" s="455">
        <f>J29*(1+'Annual Escalation Rates'!J30)</f>
        <v>0</v>
      </c>
      <c r="K30" s="399"/>
      <c r="L30" s="456">
        <v>26</v>
      </c>
      <c r="M30" s="457">
        <f ca="1">SUM(B30:J30)+MAX((INDIRECT("'Sch3-Perf Period Cash Flow'!ab"&amp;6&amp;"")/IF('Summary Schedule'!$C$38="",1,'Summary Schedule'!$C$38)),0)</f>
        <v>0</v>
      </c>
      <c r="N30" s="457">
        <f ca="1">ROUND(M30*IF('Summary Schedule'!$C$38="",1,'Summary Schedule'!$C$38),0)</f>
        <v>0</v>
      </c>
      <c r="O30" s="458">
        <f ca="1">'Sch3-Perf Period Cash Flow'!AC$23</f>
        <v>0</v>
      </c>
      <c r="P30" s="399"/>
    </row>
    <row r="31" spans="1:24" ht="16.5" thickBot="1">
      <c r="A31" s="87">
        <v>27</v>
      </c>
      <c r="B31" s="97">
        <f>B30*(1+'Annual Escalation Rates'!B31)</f>
        <v>0</v>
      </c>
      <c r="C31" s="455">
        <f>C30*(1+'Annual Escalation Rates'!C31)</f>
        <v>0</v>
      </c>
      <c r="D31" s="455">
        <f>D30*(1+'Annual Escalation Rates'!D31)</f>
        <v>0</v>
      </c>
      <c r="E31" s="455">
        <f>E30*(1+'Annual Escalation Rates'!E31)</f>
        <v>0</v>
      </c>
      <c r="F31" s="455">
        <f>F30*(1+'Annual Escalation Rates'!F31)</f>
        <v>0</v>
      </c>
      <c r="G31" s="455">
        <f>G30*(1+'Annual Escalation Rates'!G31)</f>
        <v>0</v>
      </c>
      <c r="H31" s="455">
        <f>H30*(1+'Annual Escalation Rates'!H31)</f>
        <v>0</v>
      </c>
      <c r="I31" s="455">
        <f>I30*(1+'Annual Escalation Rates'!I31)</f>
        <v>0</v>
      </c>
      <c r="J31" s="455">
        <f>J30*(1+'Annual Escalation Rates'!J31)</f>
        <v>0</v>
      </c>
      <c r="K31" s="399"/>
      <c r="L31" s="456">
        <v>27</v>
      </c>
      <c r="M31" s="457">
        <f ca="1">SUM(B31:J31)+MAX((INDIRECT("'Sch3-Perf Period Cash Flow'!ab"&amp;6&amp;"")/IF('Summary Schedule'!$C$38="",1,'Summary Schedule'!$C$38)),0)</f>
        <v>0</v>
      </c>
      <c r="N31" s="457">
        <f ca="1">ROUND(M31*IF('Summary Schedule'!$C$38="",1,'Summary Schedule'!$C$38),0)</f>
        <v>0</v>
      </c>
      <c r="O31" s="458">
        <f ca="1">'Sch3-Perf Period Cash Flow'!AD$23</f>
        <v>0</v>
      </c>
      <c r="P31" s="399"/>
    </row>
    <row r="32" spans="1:24" ht="16.5" thickBot="1">
      <c r="A32" s="87">
        <v>28</v>
      </c>
      <c r="B32" s="97">
        <f>B31*(1+'Annual Escalation Rates'!B32)</f>
        <v>0</v>
      </c>
      <c r="C32" s="455">
        <f>C31*(1+'Annual Escalation Rates'!C32)</f>
        <v>0</v>
      </c>
      <c r="D32" s="455">
        <f>D31*(1+'Annual Escalation Rates'!D32)</f>
        <v>0</v>
      </c>
      <c r="E32" s="455">
        <f>E31*(1+'Annual Escalation Rates'!E32)</f>
        <v>0</v>
      </c>
      <c r="F32" s="455">
        <f>F31*(1+'Annual Escalation Rates'!F32)</f>
        <v>0</v>
      </c>
      <c r="G32" s="455">
        <f>G31*(1+'Annual Escalation Rates'!G32)</f>
        <v>0</v>
      </c>
      <c r="H32" s="455">
        <f>H31*(1+'Annual Escalation Rates'!H32)</f>
        <v>0</v>
      </c>
      <c r="I32" s="455">
        <f>I31*(1+'Annual Escalation Rates'!I32)</f>
        <v>0</v>
      </c>
      <c r="J32" s="455">
        <f>J31*(1+'Annual Escalation Rates'!J32)</f>
        <v>0</v>
      </c>
      <c r="K32" s="399"/>
      <c r="L32" s="456">
        <v>28</v>
      </c>
      <c r="M32" s="457">
        <f ca="1">SUM(B32:J32)+MAX((INDIRECT("'Sch3-Perf Period Cash Flow'!ab"&amp;6&amp;"")/IF('Summary Schedule'!$C$38="",1,'Summary Schedule'!$C$38)),0)</f>
        <v>0</v>
      </c>
      <c r="N32" s="457">
        <f ca="1">ROUND(M32*IF('Summary Schedule'!$C$38="",1,'Summary Schedule'!$C$38),0)</f>
        <v>0</v>
      </c>
      <c r="O32" s="458">
        <f ca="1">'Sch3-Perf Period Cash Flow'!AE$23</f>
        <v>0</v>
      </c>
      <c r="P32" s="399"/>
    </row>
    <row r="33" spans="1:16" ht="16.5" thickBot="1">
      <c r="A33" s="87">
        <v>29</v>
      </c>
      <c r="B33" s="97">
        <f>B32*(1+'Annual Escalation Rates'!B33)</f>
        <v>0</v>
      </c>
      <c r="C33" s="455">
        <f>C32*(1+'Annual Escalation Rates'!C33)</f>
        <v>0</v>
      </c>
      <c r="D33" s="455">
        <f>D32*(1+'Annual Escalation Rates'!D33)</f>
        <v>0</v>
      </c>
      <c r="E33" s="455">
        <f>E32*(1+'Annual Escalation Rates'!E33)</f>
        <v>0</v>
      </c>
      <c r="F33" s="455">
        <f>F32*(1+'Annual Escalation Rates'!F33)</f>
        <v>0</v>
      </c>
      <c r="G33" s="455">
        <f>G32*(1+'Annual Escalation Rates'!G33)</f>
        <v>0</v>
      </c>
      <c r="H33" s="455">
        <f>H32*(1+'Annual Escalation Rates'!H33)</f>
        <v>0</v>
      </c>
      <c r="I33" s="455">
        <f>I32*(1+'Annual Escalation Rates'!I33)</f>
        <v>0</v>
      </c>
      <c r="J33" s="455">
        <f>J32*(1+'Annual Escalation Rates'!J33)</f>
        <v>0</v>
      </c>
      <c r="K33" s="399"/>
      <c r="L33" s="456">
        <v>29</v>
      </c>
      <c r="M33" s="457">
        <f ca="1">SUM(B33:J33)+MAX((INDIRECT("'Sch3-Perf Period Cash Flow'!ab"&amp;6&amp;"")/IF('Summary Schedule'!$C$38="",1,'Summary Schedule'!$C$38)),0)</f>
        <v>0</v>
      </c>
      <c r="N33" s="457">
        <f ca="1">ROUND(M33*IF('Summary Schedule'!$C$38="",1,'Summary Schedule'!$C$38),0)</f>
        <v>0</v>
      </c>
      <c r="O33" s="458">
        <f ca="1">'Sch3-Perf Period Cash Flow'!AF$23</f>
        <v>0</v>
      </c>
      <c r="P33" s="399"/>
    </row>
    <row r="34" spans="1:16" ht="16.5" thickBot="1">
      <c r="A34" s="87">
        <v>30</v>
      </c>
      <c r="B34" s="97">
        <f>B33*(1+'Annual Escalation Rates'!B34)</f>
        <v>0</v>
      </c>
      <c r="C34" s="455">
        <f>C33*(1+'Annual Escalation Rates'!C34)</f>
        <v>0</v>
      </c>
      <c r="D34" s="455">
        <f>D33*(1+'Annual Escalation Rates'!D34)</f>
        <v>0</v>
      </c>
      <c r="E34" s="455">
        <f>E33*(1+'Annual Escalation Rates'!E34)</f>
        <v>0</v>
      </c>
      <c r="F34" s="455">
        <f>F33*(1+'Annual Escalation Rates'!F34)</f>
        <v>0</v>
      </c>
      <c r="G34" s="455">
        <f>G33*(1+'Annual Escalation Rates'!G34)</f>
        <v>0</v>
      </c>
      <c r="H34" s="455">
        <f>H33*(1+'Annual Escalation Rates'!H34)</f>
        <v>0</v>
      </c>
      <c r="I34" s="455">
        <f>I33*(1+'Annual Escalation Rates'!I34)</f>
        <v>0</v>
      </c>
      <c r="J34" s="455">
        <f>J33*(1+'Annual Escalation Rates'!J34)</f>
        <v>0</v>
      </c>
      <c r="K34" s="399"/>
      <c r="L34" s="456">
        <v>30</v>
      </c>
      <c r="M34" s="457">
        <f ca="1">SUM(B34:J34)+MAX((INDIRECT("'Sch3-Perf Period Cash Flow'!ab"&amp;6&amp;"")/IF('Summary Schedule'!$C$38="",1,'Summary Schedule'!$C$38)),0)</f>
        <v>0</v>
      </c>
      <c r="N34" s="457">
        <f ca="1">ROUND(M34*IF('Summary Schedule'!$C$38="",1,'Summary Schedule'!$C$38),0)</f>
        <v>0</v>
      </c>
      <c r="O34" s="458">
        <f ca="1">'Sch3-Perf Period Cash Flow'!AG$23</f>
        <v>0</v>
      </c>
      <c r="P34" s="399"/>
    </row>
    <row r="35" spans="1:16" ht="16.5" thickBot="1">
      <c r="A35" s="87">
        <v>31</v>
      </c>
      <c r="B35" s="97">
        <f>B34*(1+'Annual Escalation Rates'!B35)</f>
        <v>0</v>
      </c>
      <c r="C35" s="455">
        <f>C34*(1+'Annual Escalation Rates'!C35)</f>
        <v>0</v>
      </c>
      <c r="D35" s="455">
        <f>D34*(1+'Annual Escalation Rates'!D35)</f>
        <v>0</v>
      </c>
      <c r="E35" s="455">
        <f>E34*(1+'Annual Escalation Rates'!E35)</f>
        <v>0</v>
      </c>
      <c r="F35" s="455">
        <f>F34*(1+'Annual Escalation Rates'!F35)</f>
        <v>0</v>
      </c>
      <c r="G35" s="455">
        <f>G34*(1+'Annual Escalation Rates'!G35)</f>
        <v>0</v>
      </c>
      <c r="H35" s="455">
        <f>H34*(1+'Annual Escalation Rates'!H35)</f>
        <v>0</v>
      </c>
      <c r="I35" s="455">
        <f>I34*(1+'Annual Escalation Rates'!I35)</f>
        <v>0</v>
      </c>
      <c r="J35" s="455">
        <f>J34*(1+'Annual Escalation Rates'!J35)</f>
        <v>0</v>
      </c>
      <c r="K35" s="399"/>
      <c r="L35" s="456">
        <v>31</v>
      </c>
      <c r="M35" s="457">
        <f ca="1">SUM(B35:J35)+MAX((INDIRECT("'Sch3-Perf Period Cash Flow'!ab"&amp;6&amp;"")/IF('Summary Schedule'!$C$38="",1,'Summary Schedule'!$C$38)),0)</f>
        <v>0</v>
      </c>
      <c r="N35" s="457">
        <f ca="1">ROUND(M35*IF('Summary Schedule'!$C$38="",1,'Summary Schedule'!$C$38),0)</f>
        <v>0</v>
      </c>
      <c r="O35" s="458">
        <f ca="1">'Sch3-Perf Period Cash Flow'!AH$23</f>
        <v>0</v>
      </c>
      <c r="P35" s="399"/>
    </row>
    <row r="36" spans="1:16" ht="16.5" thickBot="1">
      <c r="A36" s="87">
        <v>32</v>
      </c>
      <c r="B36" s="97">
        <f>B35*(1+'Annual Escalation Rates'!B36)</f>
        <v>0</v>
      </c>
      <c r="C36" s="455">
        <f>C35*(1+'Annual Escalation Rates'!C36)</f>
        <v>0</v>
      </c>
      <c r="D36" s="455">
        <f>D35*(1+'Annual Escalation Rates'!D36)</f>
        <v>0</v>
      </c>
      <c r="E36" s="455">
        <f>E35*(1+'Annual Escalation Rates'!E36)</f>
        <v>0</v>
      </c>
      <c r="F36" s="455">
        <f>F35*(1+'Annual Escalation Rates'!F36)</f>
        <v>0</v>
      </c>
      <c r="G36" s="455">
        <f>G35*(1+'Annual Escalation Rates'!G36)</f>
        <v>0</v>
      </c>
      <c r="H36" s="455">
        <f>H35*(1+'Annual Escalation Rates'!H36)</f>
        <v>0</v>
      </c>
      <c r="I36" s="455">
        <f>I35*(1+'Annual Escalation Rates'!I36)</f>
        <v>0</v>
      </c>
      <c r="J36" s="455">
        <f>J35*(1+'Annual Escalation Rates'!J36)</f>
        <v>0</v>
      </c>
      <c r="K36" s="399"/>
      <c r="L36" s="456">
        <v>32</v>
      </c>
      <c r="M36" s="457">
        <f ca="1">SUM(B36:J36)+MAX((INDIRECT("'Sch3-Perf Period Cash Flow'!ab"&amp;6&amp;"")/IF('Summary Schedule'!$C$38="",1,'Summary Schedule'!$C$38)),0)</f>
        <v>0</v>
      </c>
      <c r="N36" s="457">
        <f ca="1">ROUND(M36*IF('Summary Schedule'!$C$38="",1,'Summary Schedule'!$C$38),0)</f>
        <v>0</v>
      </c>
      <c r="O36" s="458">
        <f ca="1">'Sch3-Perf Period Cash Flow'!AI$23</f>
        <v>0</v>
      </c>
      <c r="P36" s="399"/>
    </row>
    <row r="37" spans="1:16" ht="16.5" thickBot="1">
      <c r="A37" s="87">
        <v>33</v>
      </c>
      <c r="B37" s="97">
        <f>B36*(1+'Annual Escalation Rates'!B37)</f>
        <v>0</v>
      </c>
      <c r="C37" s="455">
        <f>C36*(1+'Annual Escalation Rates'!C37)</f>
        <v>0</v>
      </c>
      <c r="D37" s="455">
        <f>D36*(1+'Annual Escalation Rates'!D37)</f>
        <v>0</v>
      </c>
      <c r="E37" s="455">
        <f>E36*(1+'Annual Escalation Rates'!E37)</f>
        <v>0</v>
      </c>
      <c r="F37" s="455">
        <f>F36*(1+'Annual Escalation Rates'!F37)</f>
        <v>0</v>
      </c>
      <c r="G37" s="455">
        <f>G36*(1+'Annual Escalation Rates'!G37)</f>
        <v>0</v>
      </c>
      <c r="H37" s="455">
        <f>H36*(1+'Annual Escalation Rates'!H37)</f>
        <v>0</v>
      </c>
      <c r="I37" s="455">
        <f>I36*(1+'Annual Escalation Rates'!I37)</f>
        <v>0</v>
      </c>
      <c r="J37" s="455">
        <f>J36*(1+'Annual Escalation Rates'!J37)</f>
        <v>0</v>
      </c>
      <c r="K37" s="399"/>
      <c r="L37" s="456">
        <v>33</v>
      </c>
      <c r="M37" s="457">
        <f ca="1">SUM(B37:J37)+MAX((INDIRECT("'Sch3-Perf Period Cash Flow'!ab"&amp;6&amp;"")/IF('Summary Schedule'!$C$38="",1,'Summary Schedule'!$C$38)),0)</f>
        <v>0</v>
      </c>
      <c r="N37" s="457">
        <f ca="1">ROUND(M37*IF('Summary Schedule'!$C$38="",1,'Summary Schedule'!$C$38),0)</f>
        <v>0</v>
      </c>
      <c r="O37" s="458">
        <f ca="1">'Sch3-Perf Period Cash Flow'!AJ$23</f>
        <v>0</v>
      </c>
      <c r="P37" s="399"/>
    </row>
    <row r="38" spans="1:16" ht="16.5" thickBot="1">
      <c r="A38" s="87">
        <v>34</v>
      </c>
      <c r="B38" s="97">
        <f>B37*(1+'Annual Escalation Rates'!B38)</f>
        <v>0</v>
      </c>
      <c r="C38" s="455">
        <f>C37*(1+'Annual Escalation Rates'!C38)</f>
        <v>0</v>
      </c>
      <c r="D38" s="455">
        <f>D37*(1+'Annual Escalation Rates'!D38)</f>
        <v>0</v>
      </c>
      <c r="E38" s="455">
        <f>E37*(1+'Annual Escalation Rates'!E38)</f>
        <v>0</v>
      </c>
      <c r="F38" s="455">
        <f>F37*(1+'Annual Escalation Rates'!F38)</f>
        <v>0</v>
      </c>
      <c r="G38" s="455">
        <f>G37*(1+'Annual Escalation Rates'!G38)</f>
        <v>0</v>
      </c>
      <c r="H38" s="455">
        <f>H37*(1+'Annual Escalation Rates'!H38)</f>
        <v>0</v>
      </c>
      <c r="I38" s="455">
        <f>I37*(1+'Annual Escalation Rates'!I38)</f>
        <v>0</v>
      </c>
      <c r="J38" s="455">
        <f>J37*(1+'Annual Escalation Rates'!J38)</f>
        <v>0</v>
      </c>
      <c r="K38" s="399"/>
      <c r="L38" s="456">
        <v>34</v>
      </c>
      <c r="M38" s="457">
        <f ca="1">SUM(B38:J38)+MAX((INDIRECT("'Sch3-Perf Period Cash Flow'!ab"&amp;6&amp;"")/IF('Summary Schedule'!$C$38="",1,'Summary Schedule'!$C$38)),0)</f>
        <v>0</v>
      </c>
      <c r="N38" s="457">
        <f ca="1">ROUND(M38*IF('Summary Schedule'!$C$38="",1,'Summary Schedule'!$C$38),0)</f>
        <v>0</v>
      </c>
      <c r="O38" s="458">
        <f ca="1">'Sch3-Perf Period Cash Flow'!AK$23</f>
        <v>0</v>
      </c>
      <c r="P38" s="399"/>
    </row>
    <row r="39" spans="1:16" ht="16.5" thickBot="1">
      <c r="A39" s="87">
        <v>35</v>
      </c>
      <c r="B39" s="97">
        <f>B38*(1+'Annual Escalation Rates'!B39)</f>
        <v>0</v>
      </c>
      <c r="C39" s="455">
        <f>C38*(1+'Annual Escalation Rates'!C39)</f>
        <v>0</v>
      </c>
      <c r="D39" s="455">
        <f>D38*(1+'Annual Escalation Rates'!D39)</f>
        <v>0</v>
      </c>
      <c r="E39" s="455">
        <f>E38*(1+'Annual Escalation Rates'!E39)</f>
        <v>0</v>
      </c>
      <c r="F39" s="455">
        <f>F38*(1+'Annual Escalation Rates'!F39)</f>
        <v>0</v>
      </c>
      <c r="G39" s="455">
        <f>G38*(1+'Annual Escalation Rates'!G39)</f>
        <v>0</v>
      </c>
      <c r="H39" s="455">
        <f>H38*(1+'Annual Escalation Rates'!H39)</f>
        <v>0</v>
      </c>
      <c r="I39" s="455">
        <f>I38*(1+'Annual Escalation Rates'!I39)</f>
        <v>0</v>
      </c>
      <c r="J39" s="455">
        <f>J38*(1+'Annual Escalation Rates'!J39)</f>
        <v>0</v>
      </c>
      <c r="K39" s="399"/>
      <c r="L39" s="456">
        <v>35</v>
      </c>
      <c r="M39" s="457">
        <f ca="1">SUM(B39:J39)+MAX((INDIRECT("'Sch3-Perf Period Cash Flow'!ab"&amp;6&amp;"")/IF('Summary Schedule'!$C$38="",1,'Summary Schedule'!$C$38)),0)</f>
        <v>0</v>
      </c>
      <c r="N39" s="457">
        <f ca="1">ROUND(M39*IF('Summary Schedule'!$C$38="",1,'Summary Schedule'!$C$38),0)</f>
        <v>0</v>
      </c>
      <c r="O39" s="458">
        <f ca="1">'Sch3-Perf Period Cash Flow'!AL$23</f>
        <v>0</v>
      </c>
      <c r="P39" s="399"/>
    </row>
    <row r="40" spans="1:16" ht="16.5" thickBot="1">
      <c r="A40" s="87">
        <v>36</v>
      </c>
      <c r="B40" s="97">
        <f>B39*(1+'Annual Escalation Rates'!B40)</f>
        <v>0</v>
      </c>
      <c r="C40" s="455">
        <f>C39*(1+'Annual Escalation Rates'!C40)</f>
        <v>0</v>
      </c>
      <c r="D40" s="455">
        <f>D39*(1+'Annual Escalation Rates'!D40)</f>
        <v>0</v>
      </c>
      <c r="E40" s="455">
        <f>E39*(1+'Annual Escalation Rates'!E40)</f>
        <v>0</v>
      </c>
      <c r="F40" s="455">
        <f>F39*(1+'Annual Escalation Rates'!F40)</f>
        <v>0</v>
      </c>
      <c r="G40" s="455">
        <f>G39*(1+'Annual Escalation Rates'!G40)</f>
        <v>0</v>
      </c>
      <c r="H40" s="455">
        <f>H39*(1+'Annual Escalation Rates'!H40)</f>
        <v>0</v>
      </c>
      <c r="I40" s="455">
        <f>I39*(1+'Annual Escalation Rates'!I40)</f>
        <v>0</v>
      </c>
      <c r="J40" s="455">
        <f>J39*(1+'Annual Escalation Rates'!J40)</f>
        <v>0</v>
      </c>
      <c r="K40" s="399"/>
      <c r="L40" s="456">
        <v>36</v>
      </c>
      <c r="M40" s="457">
        <f ca="1">SUM(B40:J40)+MAX((INDIRECT("'Sch3-Perf Period Cash Flow'!ab"&amp;6&amp;"")/IF('Summary Schedule'!$C$38="",1,'Summary Schedule'!$C$38)),0)</f>
        <v>0</v>
      </c>
      <c r="N40" s="457">
        <f ca="1">ROUND(M40*IF('Summary Schedule'!$C$38="",1,'Summary Schedule'!$C$38),0)</f>
        <v>0</v>
      </c>
      <c r="O40" s="458">
        <f ca="1">'Sch3-Perf Period Cash Flow'!AM$23</f>
        <v>0</v>
      </c>
      <c r="P40" s="399"/>
    </row>
    <row r="41" spans="1:16" ht="16.5" thickBot="1">
      <c r="A41" s="87">
        <v>37</v>
      </c>
      <c r="B41" s="97">
        <f>B40*(1+'Annual Escalation Rates'!B41)</f>
        <v>0</v>
      </c>
      <c r="C41" s="455">
        <f>C40*(1+'Annual Escalation Rates'!C41)</f>
        <v>0</v>
      </c>
      <c r="D41" s="455">
        <f>D40*(1+'Annual Escalation Rates'!D41)</f>
        <v>0</v>
      </c>
      <c r="E41" s="455">
        <f>E40*(1+'Annual Escalation Rates'!E41)</f>
        <v>0</v>
      </c>
      <c r="F41" s="455">
        <f>F40*(1+'Annual Escalation Rates'!F41)</f>
        <v>0</v>
      </c>
      <c r="G41" s="455">
        <f>G40*(1+'Annual Escalation Rates'!G41)</f>
        <v>0</v>
      </c>
      <c r="H41" s="455">
        <f>H40*(1+'Annual Escalation Rates'!H41)</f>
        <v>0</v>
      </c>
      <c r="I41" s="455">
        <f>I40*(1+'Annual Escalation Rates'!I41)</f>
        <v>0</v>
      </c>
      <c r="J41" s="455">
        <f>J40*(1+'Annual Escalation Rates'!J41)</f>
        <v>0</v>
      </c>
      <c r="K41" s="399"/>
      <c r="L41" s="456">
        <v>37</v>
      </c>
      <c r="M41" s="457">
        <f ca="1">SUM(B41:J41)+MAX((INDIRECT("'Sch3-Perf Period Cash Flow'!ab"&amp;6&amp;"")/IF('Summary Schedule'!$C$38="",1,'Summary Schedule'!$C$38)),0)</f>
        <v>0</v>
      </c>
      <c r="N41" s="457">
        <f ca="1">ROUND(M41*IF('Summary Schedule'!$C$38="",1,'Summary Schedule'!$C$38),0)</f>
        <v>0</v>
      </c>
      <c r="O41" s="458">
        <f ca="1">'Sch3-Perf Period Cash Flow'!AN$23</f>
        <v>0</v>
      </c>
      <c r="P41" s="399"/>
    </row>
    <row r="42" spans="1:16" ht="16.5" thickBot="1">
      <c r="A42" s="87">
        <v>38</v>
      </c>
      <c r="B42" s="97">
        <f>B41*(1+'Annual Escalation Rates'!B42)</f>
        <v>0</v>
      </c>
      <c r="C42" s="455">
        <f>C41*(1+'Annual Escalation Rates'!C42)</f>
        <v>0</v>
      </c>
      <c r="D42" s="455">
        <f>D41*(1+'Annual Escalation Rates'!D42)</f>
        <v>0</v>
      </c>
      <c r="E42" s="455">
        <f>E41*(1+'Annual Escalation Rates'!E42)</f>
        <v>0</v>
      </c>
      <c r="F42" s="455">
        <f>F41*(1+'Annual Escalation Rates'!F42)</f>
        <v>0</v>
      </c>
      <c r="G42" s="455">
        <f>G41*(1+'Annual Escalation Rates'!G42)</f>
        <v>0</v>
      </c>
      <c r="H42" s="455">
        <f>H41*(1+'Annual Escalation Rates'!H42)</f>
        <v>0</v>
      </c>
      <c r="I42" s="455">
        <f>I41*(1+'Annual Escalation Rates'!I42)</f>
        <v>0</v>
      </c>
      <c r="J42" s="455">
        <f>J41*(1+'Annual Escalation Rates'!J42)</f>
        <v>0</v>
      </c>
      <c r="K42" s="399"/>
      <c r="L42" s="456">
        <v>38</v>
      </c>
      <c r="M42" s="457">
        <f ca="1">SUM(B42:J42)+MAX((INDIRECT("'Sch3-Perf Period Cash Flow'!ab"&amp;6&amp;"")/IF('Summary Schedule'!$C$38="",1,'Summary Schedule'!$C$38)),0)</f>
        <v>0</v>
      </c>
      <c r="N42" s="457">
        <f ca="1">ROUND(M42*IF('Summary Schedule'!$C$38="",1,'Summary Schedule'!$C$38),0)</f>
        <v>0</v>
      </c>
      <c r="O42" s="458">
        <f ca="1">'Sch3-Perf Period Cash Flow'!AO$23</f>
        <v>0</v>
      </c>
      <c r="P42" s="399"/>
    </row>
    <row r="43" spans="1:16" ht="16.5" thickBot="1">
      <c r="A43" s="87">
        <v>39</v>
      </c>
      <c r="B43" s="97">
        <f>B42*(1+'Annual Escalation Rates'!B43)</f>
        <v>0</v>
      </c>
      <c r="C43" s="455">
        <f>C42*(1+'Annual Escalation Rates'!C43)</f>
        <v>0</v>
      </c>
      <c r="D43" s="455">
        <f>D42*(1+'Annual Escalation Rates'!D43)</f>
        <v>0</v>
      </c>
      <c r="E43" s="455">
        <f>E42*(1+'Annual Escalation Rates'!E43)</f>
        <v>0</v>
      </c>
      <c r="F43" s="455">
        <f>F42*(1+'Annual Escalation Rates'!F43)</f>
        <v>0</v>
      </c>
      <c r="G43" s="455">
        <f>G42*(1+'Annual Escalation Rates'!G43)</f>
        <v>0</v>
      </c>
      <c r="H43" s="455">
        <f>H42*(1+'Annual Escalation Rates'!H43)</f>
        <v>0</v>
      </c>
      <c r="I43" s="455">
        <f>I42*(1+'Annual Escalation Rates'!I43)</f>
        <v>0</v>
      </c>
      <c r="J43" s="455">
        <f>J42*(1+'Annual Escalation Rates'!J43)</f>
        <v>0</v>
      </c>
      <c r="K43" s="399"/>
      <c r="L43" s="456">
        <v>39</v>
      </c>
      <c r="M43" s="457">
        <f ca="1">SUM(B43:J43)+MAX((INDIRECT("'Sch3-Perf Period Cash Flow'!ab"&amp;6&amp;"")/IF('Summary Schedule'!$C$38="",1,'Summary Schedule'!$C$38)),0)</f>
        <v>0</v>
      </c>
      <c r="N43" s="457">
        <f ca="1">ROUND(M43*IF('Summary Schedule'!$C$38="",1,'Summary Schedule'!$C$38),0)</f>
        <v>0</v>
      </c>
      <c r="O43" s="458">
        <f ca="1">'Sch3-Perf Period Cash Flow'!AP$23</f>
        <v>0</v>
      </c>
      <c r="P43" s="399"/>
    </row>
    <row r="44" spans="1:16" ht="16.5" thickBot="1">
      <c r="A44" s="87">
        <v>40</v>
      </c>
      <c r="B44" s="97">
        <f>B43*(1+'Annual Escalation Rates'!B44)</f>
        <v>0</v>
      </c>
      <c r="C44" s="455">
        <f>C43*(1+'Annual Escalation Rates'!C44)</f>
        <v>0</v>
      </c>
      <c r="D44" s="455">
        <f>D43*(1+'Annual Escalation Rates'!D44)</f>
        <v>0</v>
      </c>
      <c r="E44" s="455">
        <f>E43*(1+'Annual Escalation Rates'!E44)</f>
        <v>0</v>
      </c>
      <c r="F44" s="455">
        <f>F43*(1+'Annual Escalation Rates'!F44)</f>
        <v>0</v>
      </c>
      <c r="G44" s="455">
        <f>G43*(1+'Annual Escalation Rates'!G44)</f>
        <v>0</v>
      </c>
      <c r="H44" s="455">
        <f>H43*(1+'Annual Escalation Rates'!H44)</f>
        <v>0</v>
      </c>
      <c r="I44" s="455">
        <f>I43*(1+'Annual Escalation Rates'!I44)</f>
        <v>0</v>
      </c>
      <c r="J44" s="455">
        <f>J43*(1+'Annual Escalation Rates'!J44)</f>
        <v>0</v>
      </c>
      <c r="K44" s="399"/>
      <c r="L44" s="456">
        <v>40</v>
      </c>
      <c r="M44" s="457">
        <f ca="1">SUM(B44:J44)+MAX((INDIRECT("'Sch3-Perf Period Cash Flow'!ab"&amp;6&amp;"")/IF('Summary Schedule'!$C$38="",1,'Summary Schedule'!$C$38)),0)</f>
        <v>0</v>
      </c>
      <c r="N44" s="457">
        <f ca="1">ROUND(M44*IF('Summary Schedule'!$C$38="",1,'Summary Schedule'!$C$38),0)</f>
        <v>0</v>
      </c>
      <c r="O44" s="458">
        <f ca="1">'Sch3-Perf Period Cash Flow'!AQ$23</f>
        <v>0</v>
      </c>
      <c r="P44" s="399"/>
    </row>
  </sheetData>
  <mergeCells count="5">
    <mergeCell ref="O3:O4"/>
    <mergeCell ref="A1:J2"/>
    <mergeCell ref="L2:L4"/>
    <mergeCell ref="M3:M4"/>
    <mergeCell ref="N3:N4"/>
  </mergeCells>
  <pageMargins left="0.7" right="0.7" top="0.75" bottom="0.75" header="0.3" footer="0.3"/>
  <pageSetup orientation="portrait" horizontalDpi="4294967292" verticalDpi="4294967292"/>
  <headerFooter>
    <oddFooter>&amp;C_x000D_&amp;1#&amp;"Calibri"&amp;6&amp;K626469 General</oddFooter>
  </headerFooter>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E22"/>
  <sheetViews>
    <sheetView workbookViewId="0"/>
  </sheetViews>
  <sheetFormatPr defaultColWidth="11" defaultRowHeight="15.5"/>
  <cols>
    <col min="1" max="1" width="79.33203125" style="138" customWidth="1"/>
    <col min="2" max="3" width="33.33203125" bestFit="1" customWidth="1"/>
  </cols>
  <sheetData>
    <row r="1" spans="1:5">
      <c r="B1" s="155" t="s">
        <v>207</v>
      </c>
      <c r="D1" s="155" t="s">
        <v>328</v>
      </c>
      <c r="E1" s="155"/>
    </row>
    <row r="2" spans="1:5" ht="16" customHeight="1">
      <c r="A2" s="140" t="s">
        <v>147</v>
      </c>
      <c r="B2" t="s">
        <v>174</v>
      </c>
      <c r="C2" t="s">
        <v>182</v>
      </c>
      <c r="D2" t="s">
        <v>332</v>
      </c>
    </row>
    <row r="3" spans="1:5" ht="16" customHeight="1">
      <c r="A3" s="246" t="s">
        <v>290</v>
      </c>
      <c r="B3" t="s">
        <v>175</v>
      </c>
      <c r="C3" t="s">
        <v>183</v>
      </c>
      <c r="D3" t="s">
        <v>333</v>
      </c>
    </row>
    <row r="4" spans="1:5">
      <c r="A4" s="246" t="s">
        <v>172</v>
      </c>
      <c r="B4" t="s">
        <v>176</v>
      </c>
      <c r="C4" t="s">
        <v>184</v>
      </c>
      <c r="D4" t="s">
        <v>334</v>
      </c>
    </row>
    <row r="5" spans="1:5">
      <c r="A5" s="246" t="s">
        <v>159</v>
      </c>
      <c r="B5" t="s">
        <v>177</v>
      </c>
      <c r="C5" t="s">
        <v>185</v>
      </c>
      <c r="D5" t="s">
        <v>335</v>
      </c>
    </row>
    <row r="6" spans="1:5">
      <c r="A6" s="246" t="s">
        <v>596</v>
      </c>
      <c r="B6" t="s">
        <v>178</v>
      </c>
      <c r="C6" t="s">
        <v>186</v>
      </c>
      <c r="D6" s="257" t="s">
        <v>329</v>
      </c>
    </row>
    <row r="7" spans="1:5">
      <c r="A7" s="246" t="s">
        <v>162</v>
      </c>
      <c r="B7" t="s">
        <v>179</v>
      </c>
      <c r="C7" t="s">
        <v>187</v>
      </c>
      <c r="D7" s="257" t="s">
        <v>47</v>
      </c>
    </row>
    <row r="8" spans="1:5">
      <c r="A8" s="246" t="s">
        <v>163</v>
      </c>
      <c r="B8" t="s">
        <v>180</v>
      </c>
      <c r="C8" t="s">
        <v>188</v>
      </c>
      <c r="D8" s="257" t="s">
        <v>330</v>
      </c>
    </row>
    <row r="9" spans="1:5" ht="15" customHeight="1">
      <c r="A9" s="246" t="s">
        <v>160</v>
      </c>
      <c r="B9" t="s">
        <v>181</v>
      </c>
      <c r="C9" t="s">
        <v>189</v>
      </c>
      <c r="D9" s="257" t="s">
        <v>331</v>
      </c>
    </row>
    <row r="10" spans="1:5">
      <c r="A10" s="246" t="s">
        <v>291</v>
      </c>
      <c r="B10" t="s">
        <v>190</v>
      </c>
      <c r="C10" t="s">
        <v>191</v>
      </c>
      <c r="D10" s="257" t="s">
        <v>336</v>
      </c>
    </row>
    <row r="11" spans="1:5" ht="15" customHeight="1">
      <c r="A11" s="246" t="s">
        <v>166</v>
      </c>
      <c r="B11" t="s">
        <v>141</v>
      </c>
      <c r="C11" t="s">
        <v>142</v>
      </c>
    </row>
    <row r="12" spans="1:5">
      <c r="A12" s="246" t="s">
        <v>164</v>
      </c>
    </row>
    <row r="13" spans="1:5">
      <c r="A13" s="246" t="s">
        <v>170</v>
      </c>
    </row>
    <row r="14" spans="1:5">
      <c r="A14" s="246" t="s">
        <v>292</v>
      </c>
    </row>
    <row r="15" spans="1:5">
      <c r="A15" s="246" t="s">
        <v>171</v>
      </c>
    </row>
    <row r="16" spans="1:5">
      <c r="A16" s="246" t="s">
        <v>168</v>
      </c>
    </row>
    <row r="17" spans="1:1">
      <c r="A17" s="246" t="s">
        <v>293</v>
      </c>
    </row>
    <row r="18" spans="1:1">
      <c r="A18" s="246" t="s">
        <v>325</v>
      </c>
    </row>
    <row r="19" spans="1:1">
      <c r="A19" s="246" t="s">
        <v>161</v>
      </c>
    </row>
    <row r="20" spans="1:1">
      <c r="A20" s="246" t="s">
        <v>165</v>
      </c>
    </row>
    <row r="21" spans="1:1">
      <c r="A21" s="246" t="s">
        <v>167</v>
      </c>
    </row>
    <row r="22" spans="1:1">
      <c r="A22" s="246" t="s">
        <v>169</v>
      </c>
    </row>
  </sheetData>
  <sheetProtection algorithmName="SHA-512" hashValue="EVd3rUnXm7cfkInGYOeSwfgjCn/f22nqGsnxY70NqPgWysA6vbazAf7tPDiBtlPcuJSdpIDOGpzGEAfPZYm/SA==" saltValue="dMFAoHSLyQ9EGMIZKxuaRA==" spinCount="100000" sheet="1" objects="1" scenarios="1"/>
  <sortState ref="A3:A19">
    <sortCondition ref="A3"/>
  </sortState>
  <pageMargins left="0.75" right="0.75" top="1" bottom="1" header="0.5" footer="0.5"/>
  <pageSetup orientation="portrait" horizontalDpi="4294967292" verticalDpi="4294967292"/>
  <headerFooter>
    <oddFooter>&amp;C_x000D_&amp;1#&amp;"Calibri"&amp;6&amp;K626469 General</oddFooter>
  </headerFooter>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58E96-179B-074F-9465-A6FB28614784}">
  <sheetPr>
    <pageSetUpPr fitToPage="1"/>
  </sheetPr>
  <dimension ref="A1:V498"/>
  <sheetViews>
    <sheetView showGridLines="0" zoomScale="96" zoomScaleNormal="96" zoomScalePageLayoutView="150" workbookViewId="0">
      <pane ySplit="16" topLeftCell="A17" activePane="bottomLeft" state="frozenSplit"/>
      <selection activeCell="M30" sqref="M30"/>
      <selection pane="bottomLeft" activeCell="L17" sqref="L17:L56"/>
    </sheetView>
  </sheetViews>
  <sheetFormatPr defaultColWidth="8.83203125" defaultRowHeight="12.5"/>
  <cols>
    <col min="1" max="1" width="6.33203125" style="301" customWidth="1"/>
    <col min="2" max="2" width="12.5" style="301" customWidth="1"/>
    <col min="3" max="3" width="16.5" style="301" customWidth="1"/>
    <col min="4" max="4" width="15.5" style="301" customWidth="1"/>
    <col min="5" max="5" width="17" style="301" customWidth="1"/>
    <col min="6" max="6" width="16" style="301" customWidth="1"/>
    <col min="7" max="7" width="14.5" style="301" customWidth="1"/>
    <col min="8" max="8" width="21" style="301" customWidth="1"/>
    <col min="9" max="9" width="15" style="266" customWidth="1"/>
    <col min="10" max="10" width="8.33203125" style="267" customWidth="1"/>
    <col min="11" max="12" width="17.33203125" style="267" customWidth="1"/>
    <col min="13" max="13" width="14.33203125" style="267" customWidth="1"/>
    <col min="14" max="14" width="17.33203125" style="267" customWidth="1"/>
    <col min="15" max="15" width="16.6640625" style="267" customWidth="1"/>
    <col min="16" max="16" width="8.83203125" style="267"/>
    <col min="17" max="17" width="10.5" style="267" bestFit="1" customWidth="1"/>
    <col min="18" max="255" width="8.83203125" style="267"/>
    <col min="256" max="256" width="4.5" style="267" customWidth="1"/>
    <col min="257" max="257" width="12.5" style="267" customWidth="1"/>
    <col min="258" max="258" width="11.83203125" style="267" customWidth="1"/>
    <col min="259" max="259" width="12.83203125" style="267" customWidth="1"/>
    <col min="260" max="260" width="11" style="267" customWidth="1"/>
    <col min="261" max="261" width="11.5" style="267" customWidth="1"/>
    <col min="262" max="263" width="11.33203125" style="267" customWidth="1"/>
    <col min="264" max="264" width="13.5" style="267" customWidth="1"/>
    <col min="265" max="511" width="8.83203125" style="267"/>
    <col min="512" max="512" width="4.5" style="267" customWidth="1"/>
    <col min="513" max="513" width="12.5" style="267" customWidth="1"/>
    <col min="514" max="514" width="11.83203125" style="267" customWidth="1"/>
    <col min="515" max="515" width="12.83203125" style="267" customWidth="1"/>
    <col min="516" max="516" width="11" style="267" customWidth="1"/>
    <col min="517" max="517" width="11.5" style="267" customWidth="1"/>
    <col min="518" max="519" width="11.33203125" style="267" customWidth="1"/>
    <col min="520" max="520" width="13.5" style="267" customWidth="1"/>
    <col min="521" max="767" width="8.83203125" style="267"/>
    <col min="768" max="768" width="4.5" style="267" customWidth="1"/>
    <col min="769" max="769" width="12.5" style="267" customWidth="1"/>
    <col min="770" max="770" width="11.83203125" style="267" customWidth="1"/>
    <col min="771" max="771" width="12.83203125" style="267" customWidth="1"/>
    <col min="772" max="772" width="11" style="267" customWidth="1"/>
    <col min="773" max="773" width="11.5" style="267" customWidth="1"/>
    <col min="774" max="775" width="11.33203125" style="267" customWidth="1"/>
    <col min="776" max="776" width="13.5" style="267" customWidth="1"/>
    <col min="777" max="1023" width="8.83203125" style="267"/>
    <col min="1024" max="1024" width="4.5" style="267" customWidth="1"/>
    <col min="1025" max="1025" width="12.5" style="267" customWidth="1"/>
    <col min="1026" max="1026" width="11.83203125" style="267" customWidth="1"/>
    <col min="1027" max="1027" width="12.83203125" style="267" customWidth="1"/>
    <col min="1028" max="1028" width="11" style="267" customWidth="1"/>
    <col min="1029" max="1029" width="11.5" style="267" customWidth="1"/>
    <col min="1030" max="1031" width="11.33203125" style="267" customWidth="1"/>
    <col min="1032" max="1032" width="13.5" style="267" customWidth="1"/>
    <col min="1033" max="1279" width="8.83203125" style="267"/>
    <col min="1280" max="1280" width="4.5" style="267" customWidth="1"/>
    <col min="1281" max="1281" width="12.5" style="267" customWidth="1"/>
    <col min="1282" max="1282" width="11.83203125" style="267" customWidth="1"/>
    <col min="1283" max="1283" width="12.83203125" style="267" customWidth="1"/>
    <col min="1284" max="1284" width="11" style="267" customWidth="1"/>
    <col min="1285" max="1285" width="11.5" style="267" customWidth="1"/>
    <col min="1286" max="1287" width="11.33203125" style="267" customWidth="1"/>
    <col min="1288" max="1288" width="13.5" style="267" customWidth="1"/>
    <col min="1289" max="1535" width="8.83203125" style="267"/>
    <col min="1536" max="1536" width="4.5" style="267" customWidth="1"/>
    <col min="1537" max="1537" width="12.5" style="267" customWidth="1"/>
    <col min="1538" max="1538" width="11.83203125" style="267" customWidth="1"/>
    <col min="1539" max="1539" width="12.83203125" style="267" customWidth="1"/>
    <col min="1540" max="1540" width="11" style="267" customWidth="1"/>
    <col min="1541" max="1541" width="11.5" style="267" customWidth="1"/>
    <col min="1542" max="1543" width="11.33203125" style="267" customWidth="1"/>
    <col min="1544" max="1544" width="13.5" style="267" customWidth="1"/>
    <col min="1545" max="1791" width="8.83203125" style="267"/>
    <col min="1792" max="1792" width="4.5" style="267" customWidth="1"/>
    <col min="1793" max="1793" width="12.5" style="267" customWidth="1"/>
    <col min="1794" max="1794" width="11.83203125" style="267" customWidth="1"/>
    <col min="1795" max="1795" width="12.83203125" style="267" customWidth="1"/>
    <col min="1796" max="1796" width="11" style="267" customWidth="1"/>
    <col min="1797" max="1797" width="11.5" style="267" customWidth="1"/>
    <col min="1798" max="1799" width="11.33203125" style="267" customWidth="1"/>
    <col min="1800" max="1800" width="13.5" style="267" customWidth="1"/>
    <col min="1801" max="2047" width="8.83203125" style="267"/>
    <col min="2048" max="2048" width="4.5" style="267" customWidth="1"/>
    <col min="2049" max="2049" width="12.5" style="267" customWidth="1"/>
    <col min="2050" max="2050" width="11.83203125" style="267" customWidth="1"/>
    <col min="2051" max="2051" width="12.83203125" style="267" customWidth="1"/>
    <col min="2052" max="2052" width="11" style="267" customWidth="1"/>
    <col min="2053" max="2053" width="11.5" style="267" customWidth="1"/>
    <col min="2054" max="2055" width="11.33203125" style="267" customWidth="1"/>
    <col min="2056" max="2056" width="13.5" style="267" customWidth="1"/>
    <col min="2057" max="2303" width="8.83203125" style="267"/>
    <col min="2304" max="2304" width="4.5" style="267" customWidth="1"/>
    <col min="2305" max="2305" width="12.5" style="267" customWidth="1"/>
    <col min="2306" max="2306" width="11.83203125" style="267" customWidth="1"/>
    <col min="2307" max="2307" width="12.83203125" style="267" customWidth="1"/>
    <col min="2308" max="2308" width="11" style="267" customWidth="1"/>
    <col min="2309" max="2309" width="11.5" style="267" customWidth="1"/>
    <col min="2310" max="2311" width="11.33203125" style="267" customWidth="1"/>
    <col min="2312" max="2312" width="13.5" style="267" customWidth="1"/>
    <col min="2313" max="2559" width="8.83203125" style="267"/>
    <col min="2560" max="2560" width="4.5" style="267" customWidth="1"/>
    <col min="2561" max="2561" width="12.5" style="267" customWidth="1"/>
    <col min="2562" max="2562" width="11.83203125" style="267" customWidth="1"/>
    <col min="2563" max="2563" width="12.83203125" style="267" customWidth="1"/>
    <col min="2564" max="2564" width="11" style="267" customWidth="1"/>
    <col min="2565" max="2565" width="11.5" style="267" customWidth="1"/>
    <col min="2566" max="2567" width="11.33203125" style="267" customWidth="1"/>
    <col min="2568" max="2568" width="13.5" style="267" customWidth="1"/>
    <col min="2569" max="2815" width="8.83203125" style="267"/>
    <col min="2816" max="2816" width="4.5" style="267" customWidth="1"/>
    <col min="2817" max="2817" width="12.5" style="267" customWidth="1"/>
    <col min="2818" max="2818" width="11.83203125" style="267" customWidth="1"/>
    <col min="2819" max="2819" width="12.83203125" style="267" customWidth="1"/>
    <col min="2820" max="2820" width="11" style="267" customWidth="1"/>
    <col min="2821" max="2821" width="11.5" style="267" customWidth="1"/>
    <col min="2822" max="2823" width="11.33203125" style="267" customWidth="1"/>
    <col min="2824" max="2824" width="13.5" style="267" customWidth="1"/>
    <col min="2825" max="3071" width="8.83203125" style="267"/>
    <col min="3072" max="3072" width="4.5" style="267" customWidth="1"/>
    <col min="3073" max="3073" width="12.5" style="267" customWidth="1"/>
    <col min="3074" max="3074" width="11.83203125" style="267" customWidth="1"/>
    <col min="3075" max="3075" width="12.83203125" style="267" customWidth="1"/>
    <col min="3076" max="3076" width="11" style="267" customWidth="1"/>
    <col min="3077" max="3077" width="11.5" style="267" customWidth="1"/>
    <col min="3078" max="3079" width="11.33203125" style="267" customWidth="1"/>
    <col min="3080" max="3080" width="13.5" style="267" customWidth="1"/>
    <col min="3081" max="3327" width="8.83203125" style="267"/>
    <col min="3328" max="3328" width="4.5" style="267" customWidth="1"/>
    <col min="3329" max="3329" width="12.5" style="267" customWidth="1"/>
    <col min="3330" max="3330" width="11.83203125" style="267" customWidth="1"/>
    <col min="3331" max="3331" width="12.83203125" style="267" customWidth="1"/>
    <col min="3332" max="3332" width="11" style="267" customWidth="1"/>
    <col min="3333" max="3333" width="11.5" style="267" customWidth="1"/>
    <col min="3334" max="3335" width="11.33203125" style="267" customWidth="1"/>
    <col min="3336" max="3336" width="13.5" style="267" customWidth="1"/>
    <col min="3337" max="3583" width="8.83203125" style="267"/>
    <col min="3584" max="3584" width="4.5" style="267" customWidth="1"/>
    <col min="3585" max="3585" width="12.5" style="267" customWidth="1"/>
    <col min="3586" max="3586" width="11.83203125" style="267" customWidth="1"/>
    <col min="3587" max="3587" width="12.83203125" style="267" customWidth="1"/>
    <col min="3588" max="3588" width="11" style="267" customWidth="1"/>
    <col min="3589" max="3589" width="11.5" style="267" customWidth="1"/>
    <col min="3590" max="3591" width="11.33203125" style="267" customWidth="1"/>
    <col min="3592" max="3592" width="13.5" style="267" customWidth="1"/>
    <col min="3593" max="3839" width="8.83203125" style="267"/>
    <col min="3840" max="3840" width="4.5" style="267" customWidth="1"/>
    <col min="3841" max="3841" width="12.5" style="267" customWidth="1"/>
    <col min="3842" max="3842" width="11.83203125" style="267" customWidth="1"/>
    <col min="3843" max="3843" width="12.83203125" style="267" customWidth="1"/>
    <col min="3844" max="3844" width="11" style="267" customWidth="1"/>
    <col min="3845" max="3845" width="11.5" style="267" customWidth="1"/>
    <col min="3846" max="3847" width="11.33203125" style="267" customWidth="1"/>
    <col min="3848" max="3848" width="13.5" style="267" customWidth="1"/>
    <col min="3849" max="4095" width="8.83203125" style="267"/>
    <col min="4096" max="4096" width="4.5" style="267" customWidth="1"/>
    <col min="4097" max="4097" width="12.5" style="267" customWidth="1"/>
    <col min="4098" max="4098" width="11.83203125" style="267" customWidth="1"/>
    <col min="4099" max="4099" width="12.83203125" style="267" customWidth="1"/>
    <col min="4100" max="4100" width="11" style="267" customWidth="1"/>
    <col min="4101" max="4101" width="11.5" style="267" customWidth="1"/>
    <col min="4102" max="4103" width="11.33203125" style="267" customWidth="1"/>
    <col min="4104" max="4104" width="13.5" style="267" customWidth="1"/>
    <col min="4105" max="4351" width="8.83203125" style="267"/>
    <col min="4352" max="4352" width="4.5" style="267" customWidth="1"/>
    <col min="4353" max="4353" width="12.5" style="267" customWidth="1"/>
    <col min="4354" max="4354" width="11.83203125" style="267" customWidth="1"/>
    <col min="4355" max="4355" width="12.83203125" style="267" customWidth="1"/>
    <col min="4356" max="4356" width="11" style="267" customWidth="1"/>
    <col min="4357" max="4357" width="11.5" style="267" customWidth="1"/>
    <col min="4358" max="4359" width="11.33203125" style="267" customWidth="1"/>
    <col min="4360" max="4360" width="13.5" style="267" customWidth="1"/>
    <col min="4361" max="4607" width="8.83203125" style="267"/>
    <col min="4608" max="4608" width="4.5" style="267" customWidth="1"/>
    <col min="4609" max="4609" width="12.5" style="267" customWidth="1"/>
    <col min="4610" max="4610" width="11.83203125" style="267" customWidth="1"/>
    <col min="4611" max="4611" width="12.83203125" style="267" customWidth="1"/>
    <col min="4612" max="4612" width="11" style="267" customWidth="1"/>
    <col min="4613" max="4613" width="11.5" style="267" customWidth="1"/>
    <col min="4614" max="4615" width="11.33203125" style="267" customWidth="1"/>
    <col min="4616" max="4616" width="13.5" style="267" customWidth="1"/>
    <col min="4617" max="4863" width="8.83203125" style="267"/>
    <col min="4864" max="4864" width="4.5" style="267" customWidth="1"/>
    <col min="4865" max="4865" width="12.5" style="267" customWidth="1"/>
    <col min="4866" max="4866" width="11.83203125" style="267" customWidth="1"/>
    <col min="4867" max="4867" width="12.83203125" style="267" customWidth="1"/>
    <col min="4868" max="4868" width="11" style="267" customWidth="1"/>
    <col min="4869" max="4869" width="11.5" style="267" customWidth="1"/>
    <col min="4870" max="4871" width="11.33203125" style="267" customWidth="1"/>
    <col min="4872" max="4872" width="13.5" style="267" customWidth="1"/>
    <col min="4873" max="5119" width="8.83203125" style="267"/>
    <col min="5120" max="5120" width="4.5" style="267" customWidth="1"/>
    <col min="5121" max="5121" width="12.5" style="267" customWidth="1"/>
    <col min="5122" max="5122" width="11.83203125" style="267" customWidth="1"/>
    <col min="5123" max="5123" width="12.83203125" style="267" customWidth="1"/>
    <col min="5124" max="5124" width="11" style="267" customWidth="1"/>
    <col min="5125" max="5125" width="11.5" style="267" customWidth="1"/>
    <col min="5126" max="5127" width="11.33203125" style="267" customWidth="1"/>
    <col min="5128" max="5128" width="13.5" style="267" customWidth="1"/>
    <col min="5129" max="5375" width="8.83203125" style="267"/>
    <col min="5376" max="5376" width="4.5" style="267" customWidth="1"/>
    <col min="5377" max="5377" width="12.5" style="267" customWidth="1"/>
    <col min="5378" max="5378" width="11.83203125" style="267" customWidth="1"/>
    <col min="5379" max="5379" width="12.83203125" style="267" customWidth="1"/>
    <col min="5380" max="5380" width="11" style="267" customWidth="1"/>
    <col min="5381" max="5381" width="11.5" style="267" customWidth="1"/>
    <col min="5382" max="5383" width="11.33203125" style="267" customWidth="1"/>
    <col min="5384" max="5384" width="13.5" style="267" customWidth="1"/>
    <col min="5385" max="5631" width="8.83203125" style="267"/>
    <col min="5632" max="5632" width="4.5" style="267" customWidth="1"/>
    <col min="5633" max="5633" width="12.5" style="267" customWidth="1"/>
    <col min="5634" max="5634" width="11.83203125" style="267" customWidth="1"/>
    <col min="5635" max="5635" width="12.83203125" style="267" customWidth="1"/>
    <col min="5636" max="5636" width="11" style="267" customWidth="1"/>
    <col min="5637" max="5637" width="11.5" style="267" customWidth="1"/>
    <col min="5638" max="5639" width="11.33203125" style="267" customWidth="1"/>
    <col min="5640" max="5640" width="13.5" style="267" customWidth="1"/>
    <col min="5641" max="5887" width="8.83203125" style="267"/>
    <col min="5888" max="5888" width="4.5" style="267" customWidth="1"/>
    <col min="5889" max="5889" width="12.5" style="267" customWidth="1"/>
    <col min="5890" max="5890" width="11.83203125" style="267" customWidth="1"/>
    <col min="5891" max="5891" width="12.83203125" style="267" customWidth="1"/>
    <col min="5892" max="5892" width="11" style="267" customWidth="1"/>
    <col min="5893" max="5893" width="11.5" style="267" customWidth="1"/>
    <col min="5894" max="5895" width="11.33203125" style="267" customWidth="1"/>
    <col min="5896" max="5896" width="13.5" style="267" customWidth="1"/>
    <col min="5897" max="6143" width="8.83203125" style="267"/>
    <col min="6144" max="6144" width="4.5" style="267" customWidth="1"/>
    <col min="6145" max="6145" width="12.5" style="267" customWidth="1"/>
    <col min="6146" max="6146" width="11.83203125" style="267" customWidth="1"/>
    <col min="6147" max="6147" width="12.83203125" style="267" customWidth="1"/>
    <col min="6148" max="6148" width="11" style="267" customWidth="1"/>
    <col min="6149" max="6149" width="11.5" style="267" customWidth="1"/>
    <col min="6150" max="6151" width="11.33203125" style="267" customWidth="1"/>
    <col min="6152" max="6152" width="13.5" style="267" customWidth="1"/>
    <col min="6153" max="6399" width="8.83203125" style="267"/>
    <col min="6400" max="6400" width="4.5" style="267" customWidth="1"/>
    <col min="6401" max="6401" width="12.5" style="267" customWidth="1"/>
    <col min="6402" max="6402" width="11.83203125" style="267" customWidth="1"/>
    <col min="6403" max="6403" width="12.83203125" style="267" customWidth="1"/>
    <col min="6404" max="6404" width="11" style="267" customWidth="1"/>
    <col min="6405" max="6405" width="11.5" style="267" customWidth="1"/>
    <col min="6406" max="6407" width="11.33203125" style="267" customWidth="1"/>
    <col min="6408" max="6408" width="13.5" style="267" customWidth="1"/>
    <col min="6409" max="6655" width="8.83203125" style="267"/>
    <col min="6656" max="6656" width="4.5" style="267" customWidth="1"/>
    <col min="6657" max="6657" width="12.5" style="267" customWidth="1"/>
    <col min="6658" max="6658" width="11.83203125" style="267" customWidth="1"/>
    <col min="6659" max="6659" width="12.83203125" style="267" customWidth="1"/>
    <col min="6660" max="6660" width="11" style="267" customWidth="1"/>
    <col min="6661" max="6661" width="11.5" style="267" customWidth="1"/>
    <col min="6662" max="6663" width="11.33203125" style="267" customWidth="1"/>
    <col min="6664" max="6664" width="13.5" style="267" customWidth="1"/>
    <col min="6665" max="6911" width="8.83203125" style="267"/>
    <col min="6912" max="6912" width="4.5" style="267" customWidth="1"/>
    <col min="6913" max="6913" width="12.5" style="267" customWidth="1"/>
    <col min="6914" max="6914" width="11.83203125" style="267" customWidth="1"/>
    <col min="6915" max="6915" width="12.83203125" style="267" customWidth="1"/>
    <col min="6916" max="6916" width="11" style="267" customWidth="1"/>
    <col min="6917" max="6917" width="11.5" style="267" customWidth="1"/>
    <col min="6918" max="6919" width="11.33203125" style="267" customWidth="1"/>
    <col min="6920" max="6920" width="13.5" style="267" customWidth="1"/>
    <col min="6921" max="7167" width="8.83203125" style="267"/>
    <col min="7168" max="7168" width="4.5" style="267" customWidth="1"/>
    <col min="7169" max="7169" width="12.5" style="267" customWidth="1"/>
    <col min="7170" max="7170" width="11.83203125" style="267" customWidth="1"/>
    <col min="7171" max="7171" width="12.83203125" style="267" customWidth="1"/>
    <col min="7172" max="7172" width="11" style="267" customWidth="1"/>
    <col min="7173" max="7173" width="11.5" style="267" customWidth="1"/>
    <col min="7174" max="7175" width="11.33203125" style="267" customWidth="1"/>
    <col min="7176" max="7176" width="13.5" style="267" customWidth="1"/>
    <col min="7177" max="7423" width="8.83203125" style="267"/>
    <col min="7424" max="7424" width="4.5" style="267" customWidth="1"/>
    <col min="7425" max="7425" width="12.5" style="267" customWidth="1"/>
    <col min="7426" max="7426" width="11.83203125" style="267" customWidth="1"/>
    <col min="7427" max="7427" width="12.83203125" style="267" customWidth="1"/>
    <col min="7428" max="7428" width="11" style="267" customWidth="1"/>
    <col min="7429" max="7429" width="11.5" style="267" customWidth="1"/>
    <col min="7430" max="7431" width="11.33203125" style="267" customWidth="1"/>
    <col min="7432" max="7432" width="13.5" style="267" customWidth="1"/>
    <col min="7433" max="7679" width="8.83203125" style="267"/>
    <col min="7680" max="7680" width="4.5" style="267" customWidth="1"/>
    <col min="7681" max="7681" width="12.5" style="267" customWidth="1"/>
    <col min="7682" max="7682" width="11.83203125" style="267" customWidth="1"/>
    <col min="7683" max="7683" width="12.83203125" style="267" customWidth="1"/>
    <col min="7684" max="7684" width="11" style="267" customWidth="1"/>
    <col min="7685" max="7685" width="11.5" style="267" customWidth="1"/>
    <col min="7686" max="7687" width="11.33203125" style="267" customWidth="1"/>
    <col min="7688" max="7688" width="13.5" style="267" customWidth="1"/>
    <col min="7689" max="7935" width="8.83203125" style="267"/>
    <col min="7936" max="7936" width="4.5" style="267" customWidth="1"/>
    <col min="7937" max="7937" width="12.5" style="267" customWidth="1"/>
    <col min="7938" max="7938" width="11.83203125" style="267" customWidth="1"/>
    <col min="7939" max="7939" width="12.83203125" style="267" customWidth="1"/>
    <col min="7940" max="7940" width="11" style="267" customWidth="1"/>
    <col min="7941" max="7941" width="11.5" style="267" customWidth="1"/>
    <col min="7942" max="7943" width="11.33203125" style="267" customWidth="1"/>
    <col min="7944" max="7944" width="13.5" style="267" customWidth="1"/>
    <col min="7945" max="8191" width="8.83203125" style="267"/>
    <col min="8192" max="8192" width="4.5" style="267" customWidth="1"/>
    <col min="8193" max="8193" width="12.5" style="267" customWidth="1"/>
    <col min="8194" max="8194" width="11.83203125" style="267" customWidth="1"/>
    <col min="8195" max="8195" width="12.83203125" style="267" customWidth="1"/>
    <col min="8196" max="8196" width="11" style="267" customWidth="1"/>
    <col min="8197" max="8197" width="11.5" style="267" customWidth="1"/>
    <col min="8198" max="8199" width="11.33203125" style="267" customWidth="1"/>
    <col min="8200" max="8200" width="13.5" style="267" customWidth="1"/>
    <col min="8201" max="8447" width="8.83203125" style="267"/>
    <col min="8448" max="8448" width="4.5" style="267" customWidth="1"/>
    <col min="8449" max="8449" width="12.5" style="267" customWidth="1"/>
    <col min="8450" max="8450" width="11.83203125" style="267" customWidth="1"/>
    <col min="8451" max="8451" width="12.83203125" style="267" customWidth="1"/>
    <col min="8452" max="8452" width="11" style="267" customWidth="1"/>
    <col min="8453" max="8453" width="11.5" style="267" customWidth="1"/>
    <col min="8454" max="8455" width="11.33203125" style="267" customWidth="1"/>
    <col min="8456" max="8456" width="13.5" style="267" customWidth="1"/>
    <col min="8457" max="8703" width="8.83203125" style="267"/>
    <col min="8704" max="8704" width="4.5" style="267" customWidth="1"/>
    <col min="8705" max="8705" width="12.5" style="267" customWidth="1"/>
    <col min="8706" max="8706" width="11.83203125" style="267" customWidth="1"/>
    <col min="8707" max="8707" width="12.83203125" style="267" customWidth="1"/>
    <col min="8708" max="8708" width="11" style="267" customWidth="1"/>
    <col min="8709" max="8709" width="11.5" style="267" customWidth="1"/>
    <col min="8710" max="8711" width="11.33203125" style="267" customWidth="1"/>
    <col min="8712" max="8712" width="13.5" style="267" customWidth="1"/>
    <col min="8713" max="8959" width="8.83203125" style="267"/>
    <col min="8960" max="8960" width="4.5" style="267" customWidth="1"/>
    <col min="8961" max="8961" width="12.5" style="267" customWidth="1"/>
    <col min="8962" max="8962" width="11.83203125" style="267" customWidth="1"/>
    <col min="8963" max="8963" width="12.83203125" style="267" customWidth="1"/>
    <col min="8964" max="8964" width="11" style="267" customWidth="1"/>
    <col min="8965" max="8965" width="11.5" style="267" customWidth="1"/>
    <col min="8966" max="8967" width="11.33203125" style="267" customWidth="1"/>
    <col min="8968" max="8968" width="13.5" style="267" customWidth="1"/>
    <col min="8969" max="9215" width="8.83203125" style="267"/>
    <col min="9216" max="9216" width="4.5" style="267" customWidth="1"/>
    <col min="9217" max="9217" width="12.5" style="267" customWidth="1"/>
    <col min="9218" max="9218" width="11.83203125" style="267" customWidth="1"/>
    <col min="9219" max="9219" width="12.83203125" style="267" customWidth="1"/>
    <col min="9220" max="9220" width="11" style="267" customWidth="1"/>
    <col min="9221" max="9221" width="11.5" style="267" customWidth="1"/>
    <col min="9222" max="9223" width="11.33203125" style="267" customWidth="1"/>
    <col min="9224" max="9224" width="13.5" style="267" customWidth="1"/>
    <col min="9225" max="9471" width="8.83203125" style="267"/>
    <col min="9472" max="9472" width="4.5" style="267" customWidth="1"/>
    <col min="9473" max="9473" width="12.5" style="267" customWidth="1"/>
    <col min="9474" max="9474" width="11.83203125" style="267" customWidth="1"/>
    <col min="9475" max="9475" width="12.83203125" style="267" customWidth="1"/>
    <col min="9476" max="9476" width="11" style="267" customWidth="1"/>
    <col min="9477" max="9477" width="11.5" style="267" customWidth="1"/>
    <col min="9478" max="9479" width="11.33203125" style="267" customWidth="1"/>
    <col min="9480" max="9480" width="13.5" style="267" customWidth="1"/>
    <col min="9481" max="9727" width="8.83203125" style="267"/>
    <col min="9728" max="9728" width="4.5" style="267" customWidth="1"/>
    <col min="9729" max="9729" width="12.5" style="267" customWidth="1"/>
    <col min="9730" max="9730" width="11.83203125" style="267" customWidth="1"/>
    <col min="9731" max="9731" width="12.83203125" style="267" customWidth="1"/>
    <col min="9732" max="9732" width="11" style="267" customWidth="1"/>
    <col min="9733" max="9733" width="11.5" style="267" customWidth="1"/>
    <col min="9734" max="9735" width="11.33203125" style="267" customWidth="1"/>
    <col min="9736" max="9736" width="13.5" style="267" customWidth="1"/>
    <col min="9737" max="9983" width="8.83203125" style="267"/>
    <col min="9984" max="9984" width="4.5" style="267" customWidth="1"/>
    <col min="9985" max="9985" width="12.5" style="267" customWidth="1"/>
    <col min="9986" max="9986" width="11.83203125" style="267" customWidth="1"/>
    <col min="9987" max="9987" width="12.83203125" style="267" customWidth="1"/>
    <col min="9988" max="9988" width="11" style="267" customWidth="1"/>
    <col min="9989" max="9989" width="11.5" style="267" customWidth="1"/>
    <col min="9990" max="9991" width="11.33203125" style="267" customWidth="1"/>
    <col min="9992" max="9992" width="13.5" style="267" customWidth="1"/>
    <col min="9993" max="10239" width="8.83203125" style="267"/>
    <col min="10240" max="10240" width="4.5" style="267" customWidth="1"/>
    <col min="10241" max="10241" width="12.5" style="267" customWidth="1"/>
    <col min="10242" max="10242" width="11.83203125" style="267" customWidth="1"/>
    <col min="10243" max="10243" width="12.83203125" style="267" customWidth="1"/>
    <col min="10244" max="10244" width="11" style="267" customWidth="1"/>
    <col min="10245" max="10245" width="11.5" style="267" customWidth="1"/>
    <col min="10246" max="10247" width="11.33203125" style="267" customWidth="1"/>
    <col min="10248" max="10248" width="13.5" style="267" customWidth="1"/>
    <col min="10249" max="10495" width="8.83203125" style="267"/>
    <col min="10496" max="10496" width="4.5" style="267" customWidth="1"/>
    <col min="10497" max="10497" width="12.5" style="267" customWidth="1"/>
    <col min="10498" max="10498" width="11.83203125" style="267" customWidth="1"/>
    <col min="10499" max="10499" width="12.83203125" style="267" customWidth="1"/>
    <col min="10500" max="10500" width="11" style="267" customWidth="1"/>
    <col min="10501" max="10501" width="11.5" style="267" customWidth="1"/>
    <col min="10502" max="10503" width="11.33203125" style="267" customWidth="1"/>
    <col min="10504" max="10504" width="13.5" style="267" customWidth="1"/>
    <col min="10505" max="10751" width="8.83203125" style="267"/>
    <col min="10752" max="10752" width="4.5" style="267" customWidth="1"/>
    <col min="10753" max="10753" width="12.5" style="267" customWidth="1"/>
    <col min="10754" max="10754" width="11.83203125" style="267" customWidth="1"/>
    <col min="10755" max="10755" width="12.83203125" style="267" customWidth="1"/>
    <col min="10756" max="10756" width="11" style="267" customWidth="1"/>
    <col min="10757" max="10757" width="11.5" style="267" customWidth="1"/>
    <col min="10758" max="10759" width="11.33203125" style="267" customWidth="1"/>
    <col min="10760" max="10760" width="13.5" style="267" customWidth="1"/>
    <col min="10761" max="11007" width="8.83203125" style="267"/>
    <col min="11008" max="11008" width="4.5" style="267" customWidth="1"/>
    <col min="11009" max="11009" width="12.5" style="267" customWidth="1"/>
    <col min="11010" max="11010" width="11.83203125" style="267" customWidth="1"/>
    <col min="11011" max="11011" width="12.83203125" style="267" customWidth="1"/>
    <col min="11012" max="11012" width="11" style="267" customWidth="1"/>
    <col min="11013" max="11013" width="11.5" style="267" customWidth="1"/>
    <col min="11014" max="11015" width="11.33203125" style="267" customWidth="1"/>
    <col min="11016" max="11016" width="13.5" style="267" customWidth="1"/>
    <col min="11017" max="11263" width="8.83203125" style="267"/>
    <col min="11264" max="11264" width="4.5" style="267" customWidth="1"/>
    <col min="11265" max="11265" width="12.5" style="267" customWidth="1"/>
    <col min="11266" max="11266" width="11.83203125" style="267" customWidth="1"/>
    <col min="11267" max="11267" width="12.83203125" style="267" customWidth="1"/>
    <col min="11268" max="11268" width="11" style="267" customWidth="1"/>
    <col min="11269" max="11269" width="11.5" style="267" customWidth="1"/>
    <col min="11270" max="11271" width="11.33203125" style="267" customWidth="1"/>
    <col min="11272" max="11272" width="13.5" style="267" customWidth="1"/>
    <col min="11273" max="11519" width="8.83203125" style="267"/>
    <col min="11520" max="11520" width="4.5" style="267" customWidth="1"/>
    <col min="11521" max="11521" width="12.5" style="267" customWidth="1"/>
    <col min="11522" max="11522" width="11.83203125" style="267" customWidth="1"/>
    <col min="11523" max="11523" width="12.83203125" style="267" customWidth="1"/>
    <col min="11524" max="11524" width="11" style="267" customWidth="1"/>
    <col min="11525" max="11525" width="11.5" style="267" customWidth="1"/>
    <col min="11526" max="11527" width="11.33203125" style="267" customWidth="1"/>
    <col min="11528" max="11528" width="13.5" style="267" customWidth="1"/>
    <col min="11529" max="11775" width="8.83203125" style="267"/>
    <col min="11776" max="11776" width="4.5" style="267" customWidth="1"/>
    <col min="11777" max="11777" width="12.5" style="267" customWidth="1"/>
    <col min="11778" max="11778" width="11.83203125" style="267" customWidth="1"/>
    <col min="11779" max="11779" width="12.83203125" style="267" customWidth="1"/>
    <col min="11780" max="11780" width="11" style="267" customWidth="1"/>
    <col min="11781" max="11781" width="11.5" style="267" customWidth="1"/>
    <col min="11782" max="11783" width="11.33203125" style="267" customWidth="1"/>
    <col min="11784" max="11784" width="13.5" style="267" customWidth="1"/>
    <col min="11785" max="12031" width="8.83203125" style="267"/>
    <col min="12032" max="12032" width="4.5" style="267" customWidth="1"/>
    <col min="12033" max="12033" width="12.5" style="267" customWidth="1"/>
    <col min="12034" max="12034" width="11.83203125" style="267" customWidth="1"/>
    <col min="12035" max="12035" width="12.83203125" style="267" customWidth="1"/>
    <col min="12036" max="12036" width="11" style="267" customWidth="1"/>
    <col min="12037" max="12037" width="11.5" style="267" customWidth="1"/>
    <col min="12038" max="12039" width="11.33203125" style="267" customWidth="1"/>
    <col min="12040" max="12040" width="13.5" style="267" customWidth="1"/>
    <col min="12041" max="12287" width="8.83203125" style="267"/>
    <col min="12288" max="12288" width="4.5" style="267" customWidth="1"/>
    <col min="12289" max="12289" width="12.5" style="267" customWidth="1"/>
    <col min="12290" max="12290" width="11.83203125" style="267" customWidth="1"/>
    <col min="12291" max="12291" width="12.83203125" style="267" customWidth="1"/>
    <col min="12292" max="12292" width="11" style="267" customWidth="1"/>
    <col min="12293" max="12293" width="11.5" style="267" customWidth="1"/>
    <col min="12294" max="12295" width="11.33203125" style="267" customWidth="1"/>
    <col min="12296" max="12296" width="13.5" style="267" customWidth="1"/>
    <col min="12297" max="12543" width="8.83203125" style="267"/>
    <col min="12544" max="12544" width="4.5" style="267" customWidth="1"/>
    <col min="12545" max="12545" width="12.5" style="267" customWidth="1"/>
    <col min="12546" max="12546" width="11.83203125" style="267" customWidth="1"/>
    <col min="12547" max="12547" width="12.83203125" style="267" customWidth="1"/>
    <col min="12548" max="12548" width="11" style="267" customWidth="1"/>
    <col min="12549" max="12549" width="11.5" style="267" customWidth="1"/>
    <col min="12550" max="12551" width="11.33203125" style="267" customWidth="1"/>
    <col min="12552" max="12552" width="13.5" style="267" customWidth="1"/>
    <col min="12553" max="12799" width="8.83203125" style="267"/>
    <col min="12800" max="12800" width="4.5" style="267" customWidth="1"/>
    <col min="12801" max="12801" width="12.5" style="267" customWidth="1"/>
    <col min="12802" max="12802" width="11.83203125" style="267" customWidth="1"/>
    <col min="12803" max="12803" width="12.83203125" style="267" customWidth="1"/>
    <col min="12804" max="12804" width="11" style="267" customWidth="1"/>
    <col min="12805" max="12805" width="11.5" style="267" customWidth="1"/>
    <col min="12806" max="12807" width="11.33203125" style="267" customWidth="1"/>
    <col min="12808" max="12808" width="13.5" style="267" customWidth="1"/>
    <col min="12809" max="13055" width="8.83203125" style="267"/>
    <col min="13056" max="13056" width="4.5" style="267" customWidth="1"/>
    <col min="13057" max="13057" width="12.5" style="267" customWidth="1"/>
    <col min="13058" max="13058" width="11.83203125" style="267" customWidth="1"/>
    <col min="13059" max="13059" width="12.83203125" style="267" customWidth="1"/>
    <col min="13060" max="13060" width="11" style="267" customWidth="1"/>
    <col min="13061" max="13061" width="11.5" style="267" customWidth="1"/>
    <col min="13062" max="13063" width="11.33203125" style="267" customWidth="1"/>
    <col min="13064" max="13064" width="13.5" style="267" customWidth="1"/>
    <col min="13065" max="13311" width="8.83203125" style="267"/>
    <col min="13312" max="13312" width="4.5" style="267" customWidth="1"/>
    <col min="13313" max="13313" width="12.5" style="267" customWidth="1"/>
    <col min="13314" max="13314" width="11.83203125" style="267" customWidth="1"/>
    <col min="13315" max="13315" width="12.83203125" style="267" customWidth="1"/>
    <col min="13316" max="13316" width="11" style="267" customWidth="1"/>
    <col min="13317" max="13317" width="11.5" style="267" customWidth="1"/>
    <col min="13318" max="13319" width="11.33203125" style="267" customWidth="1"/>
    <col min="13320" max="13320" width="13.5" style="267" customWidth="1"/>
    <col min="13321" max="13567" width="8.83203125" style="267"/>
    <col min="13568" max="13568" width="4.5" style="267" customWidth="1"/>
    <col min="13569" max="13569" width="12.5" style="267" customWidth="1"/>
    <col min="13570" max="13570" width="11.83203125" style="267" customWidth="1"/>
    <col min="13571" max="13571" width="12.83203125" style="267" customWidth="1"/>
    <col min="13572" max="13572" width="11" style="267" customWidth="1"/>
    <col min="13573" max="13573" width="11.5" style="267" customWidth="1"/>
    <col min="13574" max="13575" width="11.33203125" style="267" customWidth="1"/>
    <col min="13576" max="13576" width="13.5" style="267" customWidth="1"/>
    <col min="13577" max="13823" width="8.83203125" style="267"/>
    <col min="13824" max="13824" width="4.5" style="267" customWidth="1"/>
    <col min="13825" max="13825" width="12.5" style="267" customWidth="1"/>
    <col min="13826" max="13826" width="11.83203125" style="267" customWidth="1"/>
    <col min="13827" max="13827" width="12.83203125" style="267" customWidth="1"/>
    <col min="13828" max="13828" width="11" style="267" customWidth="1"/>
    <col min="13829" max="13829" width="11.5" style="267" customWidth="1"/>
    <col min="13830" max="13831" width="11.33203125" style="267" customWidth="1"/>
    <col min="13832" max="13832" width="13.5" style="267" customWidth="1"/>
    <col min="13833" max="14079" width="8.83203125" style="267"/>
    <col min="14080" max="14080" width="4.5" style="267" customWidth="1"/>
    <col min="14081" max="14081" width="12.5" style="267" customWidth="1"/>
    <col min="14082" max="14082" width="11.83203125" style="267" customWidth="1"/>
    <col min="14083" max="14083" width="12.83203125" style="267" customWidth="1"/>
    <col min="14084" max="14084" width="11" style="267" customWidth="1"/>
    <col min="14085" max="14085" width="11.5" style="267" customWidth="1"/>
    <col min="14086" max="14087" width="11.33203125" style="267" customWidth="1"/>
    <col min="14088" max="14088" width="13.5" style="267" customWidth="1"/>
    <col min="14089" max="14335" width="8.83203125" style="267"/>
    <col min="14336" max="14336" width="4.5" style="267" customWidth="1"/>
    <col min="14337" max="14337" width="12.5" style="267" customWidth="1"/>
    <col min="14338" max="14338" width="11.83203125" style="267" customWidth="1"/>
    <col min="14339" max="14339" width="12.83203125" style="267" customWidth="1"/>
    <col min="14340" max="14340" width="11" style="267" customWidth="1"/>
    <col min="14341" max="14341" width="11.5" style="267" customWidth="1"/>
    <col min="14342" max="14343" width="11.33203125" style="267" customWidth="1"/>
    <col min="14344" max="14344" width="13.5" style="267" customWidth="1"/>
    <col min="14345" max="14591" width="8.83203125" style="267"/>
    <col min="14592" max="14592" width="4.5" style="267" customWidth="1"/>
    <col min="14593" max="14593" width="12.5" style="267" customWidth="1"/>
    <col min="14594" max="14594" width="11.83203125" style="267" customWidth="1"/>
    <col min="14595" max="14595" width="12.83203125" style="267" customWidth="1"/>
    <col min="14596" max="14596" width="11" style="267" customWidth="1"/>
    <col min="14597" max="14597" width="11.5" style="267" customWidth="1"/>
    <col min="14598" max="14599" width="11.33203125" style="267" customWidth="1"/>
    <col min="14600" max="14600" width="13.5" style="267" customWidth="1"/>
    <col min="14601" max="14847" width="8.83203125" style="267"/>
    <col min="14848" max="14848" width="4.5" style="267" customWidth="1"/>
    <col min="14849" max="14849" width="12.5" style="267" customWidth="1"/>
    <col min="14850" max="14850" width="11.83203125" style="267" customWidth="1"/>
    <col min="14851" max="14851" width="12.83203125" style="267" customWidth="1"/>
    <col min="14852" max="14852" width="11" style="267" customWidth="1"/>
    <col min="14853" max="14853" width="11.5" style="267" customWidth="1"/>
    <col min="14854" max="14855" width="11.33203125" style="267" customWidth="1"/>
    <col min="14856" max="14856" width="13.5" style="267" customWidth="1"/>
    <col min="14857" max="15103" width="8.83203125" style="267"/>
    <col min="15104" max="15104" width="4.5" style="267" customWidth="1"/>
    <col min="15105" max="15105" width="12.5" style="267" customWidth="1"/>
    <col min="15106" max="15106" width="11.83203125" style="267" customWidth="1"/>
    <col min="15107" max="15107" width="12.83203125" style="267" customWidth="1"/>
    <col min="15108" max="15108" width="11" style="267" customWidth="1"/>
    <col min="15109" max="15109" width="11.5" style="267" customWidth="1"/>
    <col min="15110" max="15111" width="11.33203125" style="267" customWidth="1"/>
    <col min="15112" max="15112" width="13.5" style="267" customWidth="1"/>
    <col min="15113" max="15359" width="8.83203125" style="267"/>
    <col min="15360" max="15360" width="4.5" style="267" customWidth="1"/>
    <col min="15361" max="15361" width="12.5" style="267" customWidth="1"/>
    <col min="15362" max="15362" width="11.83203125" style="267" customWidth="1"/>
    <col min="15363" max="15363" width="12.83203125" style="267" customWidth="1"/>
    <col min="15364" max="15364" width="11" style="267" customWidth="1"/>
    <col min="15365" max="15365" width="11.5" style="267" customWidth="1"/>
    <col min="15366" max="15367" width="11.33203125" style="267" customWidth="1"/>
    <col min="15368" max="15368" width="13.5" style="267" customWidth="1"/>
    <col min="15369" max="15615" width="8.83203125" style="267"/>
    <col min="15616" max="15616" width="4.5" style="267" customWidth="1"/>
    <col min="15617" max="15617" width="12.5" style="267" customWidth="1"/>
    <col min="15618" max="15618" width="11.83203125" style="267" customWidth="1"/>
    <col min="15619" max="15619" width="12.83203125" style="267" customWidth="1"/>
    <col min="15620" max="15620" width="11" style="267" customWidth="1"/>
    <col min="15621" max="15621" width="11.5" style="267" customWidth="1"/>
    <col min="15622" max="15623" width="11.33203125" style="267" customWidth="1"/>
    <col min="15624" max="15624" width="13.5" style="267" customWidth="1"/>
    <col min="15625" max="15871" width="8.83203125" style="267"/>
    <col min="15872" max="15872" width="4.5" style="267" customWidth="1"/>
    <col min="15873" max="15873" width="12.5" style="267" customWidth="1"/>
    <col min="15874" max="15874" width="11.83203125" style="267" customWidth="1"/>
    <col min="15875" max="15875" width="12.83203125" style="267" customWidth="1"/>
    <col min="15876" max="15876" width="11" style="267" customWidth="1"/>
    <col min="15877" max="15877" width="11.5" style="267" customWidth="1"/>
    <col min="15878" max="15879" width="11.33203125" style="267" customWidth="1"/>
    <col min="15880" max="15880" width="13.5" style="267" customWidth="1"/>
    <col min="15881" max="16127" width="8.83203125" style="267"/>
    <col min="16128" max="16128" width="4.5" style="267" customWidth="1"/>
    <col min="16129" max="16129" width="12.5" style="267" customWidth="1"/>
    <col min="16130" max="16130" width="11.83203125" style="267" customWidth="1"/>
    <col min="16131" max="16131" width="12.83203125" style="267" customWidth="1"/>
    <col min="16132" max="16132" width="11" style="267" customWidth="1"/>
    <col min="16133" max="16133" width="11.5" style="267" customWidth="1"/>
    <col min="16134" max="16135" width="11.33203125" style="267" customWidth="1"/>
    <col min="16136" max="16136" width="13.5" style="267" customWidth="1"/>
    <col min="16137" max="16384" width="8.83203125" style="267"/>
  </cols>
  <sheetData>
    <row r="1" spans="1:16" ht="33" customHeight="1">
      <c r="A1" s="739" t="s">
        <v>104</v>
      </c>
      <c r="B1" s="740"/>
      <c r="C1" s="740"/>
      <c r="D1" s="740"/>
      <c r="E1" s="740"/>
      <c r="F1" s="740"/>
      <c r="G1" s="740"/>
      <c r="H1" s="740"/>
    </row>
    <row r="2" spans="1:16" ht="22" customHeight="1">
      <c r="A2" s="268" t="str">
        <f>'Summary Schedule'!A53</f>
        <v>4.2.9.c</v>
      </c>
      <c r="B2" s="470" t="str">
        <f>'Summary Schedule'!A54</f>
        <v>02112025</v>
      </c>
      <c r="C2" s="268"/>
      <c r="D2" s="268"/>
      <c r="E2" s="268"/>
      <c r="F2" s="268"/>
      <c r="G2" s="268"/>
      <c r="H2" s="268"/>
    </row>
    <row r="3" spans="1:16" ht="19.5" customHeight="1" thickBot="1">
      <c r="A3" s="269"/>
      <c r="B3" s="269"/>
      <c r="C3" s="269"/>
      <c r="D3" s="270" t="s">
        <v>92</v>
      </c>
      <c r="E3" s="270"/>
      <c r="F3" s="269"/>
      <c r="G3" s="269"/>
      <c r="H3" s="266"/>
      <c r="I3" s="271"/>
      <c r="J3" s="271"/>
      <c r="K3" s="271"/>
      <c r="L3" s="271"/>
    </row>
    <row r="4" spans="1:16">
      <c r="A4" s="738" t="s">
        <v>93</v>
      </c>
      <c r="B4" s="738"/>
      <c r="C4" s="738"/>
      <c r="D4" s="272">
        <f>'Summary Schedule'!G26+'Summary Schedule'!G27+'Summary Schedule'!G28-'Summary Schedule'!G29</f>
        <v>0</v>
      </c>
      <c r="E4" s="269" t="s">
        <v>102</v>
      </c>
      <c r="F4" s="267"/>
      <c r="G4" s="267"/>
      <c r="H4" s="267"/>
      <c r="I4" s="267"/>
    </row>
    <row r="5" spans="1:16">
      <c r="A5" s="738" t="s">
        <v>117</v>
      </c>
      <c r="B5" s="738"/>
      <c r="C5" s="738"/>
      <c r="D5" s="273">
        <f>'Summary Schedule'!C30/12</f>
        <v>0</v>
      </c>
      <c r="E5" s="269" t="s">
        <v>102</v>
      </c>
      <c r="F5" s="267"/>
      <c r="G5" s="267"/>
      <c r="H5" s="274"/>
      <c r="I5" s="267"/>
    </row>
    <row r="6" spans="1:16">
      <c r="A6" s="738" t="s">
        <v>118</v>
      </c>
      <c r="B6" s="738"/>
      <c r="C6" s="738"/>
      <c r="D6" s="275">
        <v>480</v>
      </c>
      <c r="E6" s="269" t="s">
        <v>108</v>
      </c>
      <c r="F6" s="267"/>
      <c r="G6" s="276"/>
      <c r="H6" s="267"/>
      <c r="I6" s="277"/>
    </row>
    <row r="7" spans="1:16" ht="13" thickBot="1">
      <c r="A7" s="738" t="s">
        <v>94</v>
      </c>
      <c r="B7" s="738"/>
      <c r="C7" s="738"/>
      <c r="D7" s="278">
        <f>IF('Summary Schedule'!G32="",1/1/1,'Summary Schedule'!G32)</f>
        <v>1</v>
      </c>
      <c r="E7" s="269" t="s">
        <v>102</v>
      </c>
      <c r="F7" s="267"/>
      <c r="G7" s="267"/>
      <c r="H7" s="267"/>
      <c r="I7" s="267"/>
    </row>
    <row r="8" spans="1:16">
      <c r="A8" s="279"/>
      <c r="B8" s="279"/>
      <c r="C8" s="279"/>
      <c r="D8" s="280"/>
      <c r="E8" s="279"/>
      <c r="F8" s="267"/>
      <c r="G8" s="267"/>
      <c r="H8" s="267"/>
      <c r="I8" s="267" t="str">
        <f>CHAR(COLUMN(J1))</f>
        <v xml:space="preserve">
</v>
      </c>
    </row>
    <row r="9" spans="1:16" ht="14.25" customHeight="1" thickBot="1">
      <c r="A9" s="269"/>
      <c r="B9" s="269"/>
      <c r="C9" s="269"/>
      <c r="D9" s="269"/>
      <c r="E9" s="269"/>
      <c r="F9" s="267"/>
      <c r="G9" s="267"/>
      <c r="H9" s="267"/>
      <c r="I9" s="267"/>
      <c r="K9" s="277"/>
      <c r="M9" s="274"/>
    </row>
    <row r="10" spans="1:16" ht="14.25" customHeight="1" thickBot="1">
      <c r="A10" s="738" t="s">
        <v>129</v>
      </c>
      <c r="B10" s="738"/>
      <c r="C10" s="738"/>
      <c r="D10" s="302">
        <f>IF('Summary Schedule'!C36="Beginning",1,0)</f>
        <v>0</v>
      </c>
      <c r="E10" s="269" t="s">
        <v>103</v>
      </c>
      <c r="F10" s="267"/>
      <c r="G10" s="267"/>
      <c r="H10" s="267"/>
      <c r="I10" s="267"/>
      <c r="K10" s="277"/>
      <c r="L10" s="100"/>
    </row>
    <row r="11" spans="1:16" ht="14.25" customHeight="1">
      <c r="A11" s="738" t="s">
        <v>127</v>
      </c>
      <c r="B11" s="738"/>
      <c r="C11" s="738"/>
      <c r="D11" s="275">
        <f ca="1">M15</f>
        <v>0</v>
      </c>
      <c r="E11" s="269"/>
      <c r="F11" s="267"/>
      <c r="G11" s="459"/>
      <c r="H11" s="267"/>
      <c r="I11" s="267"/>
    </row>
    <row r="12" spans="1:16">
      <c r="A12" s="738" t="s">
        <v>125</v>
      </c>
      <c r="B12" s="738"/>
      <c r="C12" s="738"/>
      <c r="D12" s="283"/>
      <c r="E12" s="284"/>
      <c r="F12" s="83"/>
      <c r="G12" s="83"/>
      <c r="H12" s="267"/>
      <c r="I12" s="267"/>
    </row>
    <row r="13" spans="1:16">
      <c r="A13" s="738" t="s">
        <v>95</v>
      </c>
      <c r="B13" s="738"/>
      <c r="C13" s="738"/>
      <c r="D13" s="285"/>
      <c r="E13" s="284"/>
      <c r="F13" s="267"/>
      <c r="G13" s="267"/>
      <c r="H13" s="267"/>
      <c r="I13" s="267"/>
    </row>
    <row r="14" spans="1:16" ht="14.25" customHeight="1" thickBot="1">
      <c r="A14" s="738" t="s">
        <v>128</v>
      </c>
      <c r="B14" s="738"/>
      <c r="C14" s="738"/>
      <c r="D14" s="286"/>
      <c r="E14" s="269"/>
      <c r="F14" s="287"/>
      <c r="G14" s="287"/>
      <c r="H14" s="287"/>
      <c r="I14" s="267"/>
    </row>
    <row r="15" spans="1:16" ht="15.75" customHeight="1">
      <c r="A15" s="738"/>
      <c r="B15" s="738"/>
      <c r="C15" s="738"/>
      <c r="D15" s="288" t="s">
        <v>122</v>
      </c>
      <c r="E15" s="280"/>
      <c r="F15" s="267"/>
      <c r="G15" s="267"/>
      <c r="H15" s="267"/>
      <c r="I15" s="267"/>
      <c r="M15" s="267">
        <f ca="1">COUNTIF(M17:M56,"&gt;0")</f>
        <v>0</v>
      </c>
    </row>
    <row r="16" spans="1:16" s="294" customFormat="1" ht="28.5" customHeight="1">
      <c r="A16" s="289" t="s">
        <v>96</v>
      </c>
      <c r="B16" s="289" t="s">
        <v>97</v>
      </c>
      <c r="C16" s="289" t="s">
        <v>98</v>
      </c>
      <c r="D16" s="290"/>
      <c r="E16" s="289" t="s">
        <v>126</v>
      </c>
      <c r="F16" s="289" t="s">
        <v>99</v>
      </c>
      <c r="G16" s="289" t="s">
        <v>100</v>
      </c>
      <c r="H16" s="289" t="s">
        <v>101</v>
      </c>
      <c r="I16" s="291"/>
      <c r="J16" s="292" t="s">
        <v>115</v>
      </c>
      <c r="K16" s="292" t="s">
        <v>114</v>
      </c>
      <c r="L16" s="292" t="s">
        <v>124</v>
      </c>
      <c r="M16" s="292" t="s">
        <v>116</v>
      </c>
      <c r="N16" s="292" t="str">
        <f>F16</f>
        <v>Principal</v>
      </c>
      <c r="O16" s="292" t="str">
        <f>G16</f>
        <v>Interest</v>
      </c>
      <c r="P16" s="293"/>
    </row>
    <row r="17" spans="1:22">
      <c r="A17" s="295">
        <v>0</v>
      </c>
      <c r="B17" s="295"/>
      <c r="C17" s="296"/>
      <c r="D17" s="296">
        <f>IF(H17&lt;=0,0,K17-L17)</f>
        <v>0</v>
      </c>
      <c r="E17" s="296"/>
      <c r="F17" s="296"/>
      <c r="G17" s="296"/>
      <c r="H17" s="296">
        <f>D4</f>
        <v>0</v>
      </c>
      <c r="I17" s="460">
        <f>ROUND((D17-H17),0)</f>
        <v>0</v>
      </c>
      <c r="J17" s="298">
        <v>1</v>
      </c>
      <c r="K17" s="299">
        <f ca="1">'Itemized Costs-HIDDEN'!N5</f>
        <v>0</v>
      </c>
      <c r="L17" s="424" cm="1">
        <f t="array" ref="L17:L56">TRANSPOSE('Sch3-Perf Period Cash Flow'!D21:AQ21)</f>
        <v>0</v>
      </c>
      <c r="M17" s="299">
        <f ca="1">N17+O17</f>
        <v>-1</v>
      </c>
      <c r="N17" s="299">
        <f ca="1">ROUND(SUM(INDIRECT(S17):INDIRECT(T17)),0)</f>
        <v>-1</v>
      </c>
      <c r="O17" s="299">
        <f ca="1">IF(N17=0,0,ROUND(SUM(INDIRECT(U17):INDIRECT(V17)),0))</f>
        <v>0</v>
      </c>
      <c r="P17" s="461" t="str">
        <f ca="1">IF(M17&gt;0.005,J17,"")</f>
        <v/>
      </c>
      <c r="Q17" s="267">
        <v>18</v>
      </c>
      <c r="R17" s="267">
        <f t="shared" ref="R17:R34" si="0">Q17+11</f>
        <v>29</v>
      </c>
      <c r="S17" s="267" t="str">
        <f>CONCATENATE("f",Q17)</f>
        <v>f18</v>
      </c>
      <c r="T17" s="267" t="str">
        <f>CONCATENATE("f",R17)</f>
        <v>f29</v>
      </c>
      <c r="U17" s="267" t="str">
        <f t="shared" ref="U17:V32" si="1">CONCATENATE("G",Q17)</f>
        <v>G18</v>
      </c>
      <c r="V17" s="267" t="str">
        <f t="shared" si="1"/>
        <v>G29</v>
      </c>
    </row>
    <row r="18" spans="1:22">
      <c r="A18" s="295">
        <f>IF(A17="","",IF(A17=$D$6,"",A17+1))</f>
        <v>1</v>
      </c>
      <c r="B18" s="300">
        <f>D7</f>
        <v>1</v>
      </c>
      <c r="C18" s="296">
        <f>IF(H17=0,0,H17)</f>
        <v>0</v>
      </c>
      <c r="D18" s="295"/>
      <c r="E18" s="296">
        <f>IF($D$10=1,IF(MONTH(B18)=MONTH($D$7),D17-'Sch3-Perf Period Cash Flow'!D7,0),IF(MONTH(B18)=MONTH(EDATE($D$7,11)),MIN(H17,D17)-'Sch3-Perf Period Cash Flow'!D7,0))</f>
        <v>0</v>
      </c>
      <c r="F18" s="296">
        <f>IF(E18="","",E18-G18)</f>
        <v>0</v>
      </c>
      <c r="G18" s="296">
        <f>ROUND((C18-E18)*$D$5,3)</f>
        <v>0</v>
      </c>
      <c r="H18" s="296">
        <f>IF(E18="","",ROUND(H17-F18,4))</f>
        <v>0</v>
      </c>
      <c r="I18" s="460">
        <f t="shared" ref="I18:I81" si="2">ROUND((D18-H18),0)</f>
        <v>0</v>
      </c>
      <c r="J18" s="298">
        <f>IF(J17="","",IF((J17)*12&lt;$D$6,J17+1,""))</f>
        <v>2</v>
      </c>
      <c r="K18" s="299">
        <f ca="1">'Itemized Costs-HIDDEN'!N6</f>
        <v>0</v>
      </c>
      <c r="L18" s="425">
        <v>0</v>
      </c>
      <c r="M18" s="299">
        <f t="shared" ref="M18:M40" ca="1" si="3">N18+O18</f>
        <v>-1</v>
      </c>
      <c r="N18" s="299">
        <f ca="1">ROUND(SUM(INDIRECT(S18):INDIRECT(T18)),0)</f>
        <v>-1</v>
      </c>
      <c r="O18" s="299">
        <f ca="1">IF(N18=0,0,ROUND(SUM(INDIRECT(U18):INDIRECT(V18)),0))</f>
        <v>0</v>
      </c>
      <c r="P18" s="461" t="str">
        <f t="shared" ref="P18:P72" ca="1" si="4">IF(M18&gt;0.005,J18,"")</f>
        <v/>
      </c>
      <c r="Q18" s="267">
        <f>Q17+12</f>
        <v>30</v>
      </c>
      <c r="R18" s="267">
        <f t="shared" si="0"/>
        <v>41</v>
      </c>
      <c r="S18" s="267" t="str">
        <f t="shared" ref="S18:T72" si="5">CONCATENATE("f",Q18)</f>
        <v>f30</v>
      </c>
      <c r="T18" s="267" t="str">
        <f t="shared" si="5"/>
        <v>f41</v>
      </c>
      <c r="U18" s="267" t="str">
        <f t="shared" si="1"/>
        <v>G30</v>
      </c>
      <c r="V18" s="267" t="str">
        <f t="shared" si="1"/>
        <v>G41</v>
      </c>
    </row>
    <row r="19" spans="1:22">
      <c r="A19" s="295">
        <f t="shared" ref="A19:A82" si="6">IF(A18="","",IF(A18=$D$6,"",A18+1))</f>
        <v>2</v>
      </c>
      <c r="B19" s="300">
        <f>DATE(YEAR(B18),MONTH(B18)+1,1)</f>
        <v>32</v>
      </c>
      <c r="C19" s="296">
        <f t="shared" ref="C19:C82" si="7">IF(H18=0,0,H18)</f>
        <v>0</v>
      </c>
      <c r="D19" s="295"/>
      <c r="E19" s="296">
        <f t="shared" ref="E19:E82" si="8">IF($D$10=1,IF(MONTH(B19)=MONTH($D$7),D18,0),IF(MONTH(B19)=MONTH(EDATE($D$7,11)),MIN(D7,H18),0))</f>
        <v>0</v>
      </c>
      <c r="F19" s="296">
        <f t="shared" ref="F19:F82" si="9">IF(E19="","",E19-G19)</f>
        <v>0</v>
      </c>
      <c r="G19" s="296">
        <f t="shared" ref="G19:G82" si="10">ROUND((C19-E19)*$D$5,3)</f>
        <v>0</v>
      </c>
      <c r="H19" s="296">
        <f t="shared" ref="H19:H82" si="11">IF(E19="","",ROUND(H18-F19,4))</f>
        <v>0</v>
      </c>
      <c r="I19" s="460">
        <f t="shared" si="2"/>
        <v>0</v>
      </c>
      <c r="J19" s="298">
        <f t="shared" ref="J19:J56" si="12">IF(J18="","",IF((J18)*12&lt;$D$6,J18+1,""))</f>
        <v>3</v>
      </c>
      <c r="K19" s="299">
        <f ca="1">'Itemized Costs-HIDDEN'!N7</f>
        <v>0</v>
      </c>
      <c r="L19" s="425">
        <v>0</v>
      </c>
      <c r="M19" s="299">
        <f t="shared" ca="1" si="3"/>
        <v>-1</v>
      </c>
      <c r="N19" s="299">
        <f ca="1">ROUND(SUM(INDIRECT(S19):INDIRECT(T19)),0)</f>
        <v>-1</v>
      </c>
      <c r="O19" s="299">
        <f ca="1">IF(N19=0,0,ROUND(SUM(INDIRECT(U19):INDIRECT(V19)),0))</f>
        <v>0</v>
      </c>
      <c r="P19" s="461" t="str">
        <f t="shared" ca="1" si="4"/>
        <v/>
      </c>
      <c r="Q19" s="267">
        <f t="shared" ref="Q19:Q72" si="13">Q18+12</f>
        <v>42</v>
      </c>
      <c r="R19" s="267">
        <f t="shared" si="0"/>
        <v>53</v>
      </c>
      <c r="S19" s="267" t="str">
        <f t="shared" si="5"/>
        <v>f42</v>
      </c>
      <c r="T19" s="267" t="str">
        <f t="shared" si="5"/>
        <v>f53</v>
      </c>
      <c r="U19" s="267" t="str">
        <f t="shared" si="1"/>
        <v>G42</v>
      </c>
      <c r="V19" s="267" t="str">
        <f t="shared" si="1"/>
        <v>G53</v>
      </c>
    </row>
    <row r="20" spans="1:22">
      <c r="A20" s="295">
        <f t="shared" si="6"/>
        <v>3</v>
      </c>
      <c r="B20" s="300">
        <f t="shared" ref="B20:B83" si="14">DATE(YEAR(B19),MONTH(B19)+1,1)</f>
        <v>61</v>
      </c>
      <c r="C20" s="296">
        <f t="shared" si="7"/>
        <v>0</v>
      </c>
      <c r="D20" s="295"/>
      <c r="E20" s="296">
        <f t="shared" si="8"/>
        <v>0</v>
      </c>
      <c r="F20" s="296">
        <f t="shared" si="9"/>
        <v>0</v>
      </c>
      <c r="G20" s="296">
        <f t="shared" si="10"/>
        <v>0</v>
      </c>
      <c r="H20" s="296">
        <f t="shared" si="11"/>
        <v>0</v>
      </c>
      <c r="I20" s="460">
        <f t="shared" si="2"/>
        <v>0</v>
      </c>
      <c r="J20" s="298">
        <f t="shared" si="12"/>
        <v>4</v>
      </c>
      <c r="K20" s="299">
        <f ca="1">'Itemized Costs-HIDDEN'!N8</f>
        <v>0</v>
      </c>
      <c r="L20" s="425">
        <v>0</v>
      </c>
      <c r="M20" s="299">
        <f t="shared" ca="1" si="3"/>
        <v>-1</v>
      </c>
      <c r="N20" s="299">
        <f ca="1">ROUND(SUM(INDIRECT(S20):INDIRECT(T20)),0)</f>
        <v>-1</v>
      </c>
      <c r="O20" s="299">
        <f ca="1">IF(N20=0,0,ROUND(SUM(INDIRECT(U20):INDIRECT(V20)),0))</f>
        <v>0</v>
      </c>
      <c r="P20" s="461" t="str">
        <f t="shared" ca="1" si="4"/>
        <v/>
      </c>
      <c r="Q20" s="267">
        <f t="shared" si="13"/>
        <v>54</v>
      </c>
      <c r="R20" s="267">
        <f t="shared" si="0"/>
        <v>65</v>
      </c>
      <c r="S20" s="267" t="str">
        <f t="shared" si="5"/>
        <v>f54</v>
      </c>
      <c r="T20" s="267" t="str">
        <f t="shared" si="5"/>
        <v>f65</v>
      </c>
      <c r="U20" s="267" t="str">
        <f t="shared" si="1"/>
        <v>G54</v>
      </c>
      <c r="V20" s="267" t="str">
        <f t="shared" si="1"/>
        <v>G65</v>
      </c>
    </row>
    <row r="21" spans="1:22">
      <c r="A21" s="295">
        <f t="shared" si="6"/>
        <v>4</v>
      </c>
      <c r="B21" s="300">
        <f t="shared" si="14"/>
        <v>92</v>
      </c>
      <c r="C21" s="296">
        <f t="shared" si="7"/>
        <v>0</v>
      </c>
      <c r="D21" s="295"/>
      <c r="E21" s="296">
        <f t="shared" si="8"/>
        <v>0</v>
      </c>
      <c r="F21" s="296">
        <f t="shared" si="9"/>
        <v>0</v>
      </c>
      <c r="G21" s="296">
        <f t="shared" si="10"/>
        <v>0</v>
      </c>
      <c r="H21" s="296">
        <f t="shared" si="11"/>
        <v>0</v>
      </c>
      <c r="I21" s="460">
        <f t="shared" si="2"/>
        <v>0</v>
      </c>
      <c r="J21" s="298">
        <f t="shared" si="12"/>
        <v>5</v>
      </c>
      <c r="K21" s="299">
        <f ca="1">'Itemized Costs-HIDDEN'!N9</f>
        <v>0</v>
      </c>
      <c r="L21" s="425">
        <v>0</v>
      </c>
      <c r="M21" s="299">
        <f t="shared" ca="1" si="3"/>
        <v>-1</v>
      </c>
      <c r="N21" s="299">
        <f ca="1">ROUND(SUM(INDIRECT(S21):INDIRECT(T21)),0)</f>
        <v>-1</v>
      </c>
      <c r="O21" s="299">
        <f ca="1">IF(N21=0,0,ROUND(SUM(INDIRECT(U21):INDIRECT(V21)),0))</f>
        <v>0</v>
      </c>
      <c r="P21" s="461" t="str">
        <f t="shared" ca="1" si="4"/>
        <v/>
      </c>
      <c r="Q21" s="267">
        <f t="shared" si="13"/>
        <v>66</v>
      </c>
      <c r="R21" s="267">
        <f t="shared" si="0"/>
        <v>77</v>
      </c>
      <c r="S21" s="267" t="str">
        <f t="shared" si="5"/>
        <v>f66</v>
      </c>
      <c r="T21" s="267" t="str">
        <f t="shared" si="5"/>
        <v>f77</v>
      </c>
      <c r="U21" s="267" t="str">
        <f t="shared" si="1"/>
        <v>G66</v>
      </c>
      <c r="V21" s="267" t="str">
        <f t="shared" si="1"/>
        <v>G77</v>
      </c>
    </row>
    <row r="22" spans="1:22">
      <c r="A22" s="295">
        <f t="shared" si="6"/>
        <v>5</v>
      </c>
      <c r="B22" s="300">
        <f t="shared" si="14"/>
        <v>122</v>
      </c>
      <c r="C22" s="296">
        <f t="shared" si="7"/>
        <v>0</v>
      </c>
      <c r="D22" s="295"/>
      <c r="E22" s="296">
        <f t="shared" si="8"/>
        <v>0</v>
      </c>
      <c r="F22" s="296">
        <f t="shared" si="9"/>
        <v>0</v>
      </c>
      <c r="G22" s="296">
        <f t="shared" si="10"/>
        <v>0</v>
      </c>
      <c r="H22" s="296">
        <f t="shared" si="11"/>
        <v>0</v>
      </c>
      <c r="I22" s="460">
        <f t="shared" si="2"/>
        <v>0</v>
      </c>
      <c r="J22" s="298">
        <f t="shared" si="12"/>
        <v>6</v>
      </c>
      <c r="K22" s="299">
        <f ca="1">'Itemized Costs-HIDDEN'!N10</f>
        <v>0</v>
      </c>
      <c r="L22" s="425">
        <v>0</v>
      </c>
      <c r="M22" s="299">
        <f t="shared" ca="1" si="3"/>
        <v>-1</v>
      </c>
      <c r="N22" s="299">
        <f ca="1">ROUND(SUM(INDIRECT(S22):INDIRECT(T22)),0)</f>
        <v>-1</v>
      </c>
      <c r="O22" s="299">
        <f ca="1">IF(N22=0,0,ROUND(SUM(INDIRECT(U22):INDIRECT(V22)),0))</f>
        <v>0</v>
      </c>
      <c r="P22" s="461" t="str">
        <f t="shared" ca="1" si="4"/>
        <v/>
      </c>
      <c r="Q22" s="267">
        <f t="shared" si="13"/>
        <v>78</v>
      </c>
      <c r="R22" s="267">
        <f t="shared" si="0"/>
        <v>89</v>
      </c>
      <c r="S22" s="267" t="str">
        <f t="shared" si="5"/>
        <v>f78</v>
      </c>
      <c r="T22" s="267" t="str">
        <f t="shared" si="5"/>
        <v>f89</v>
      </c>
      <c r="U22" s="267" t="str">
        <f t="shared" si="1"/>
        <v>G78</v>
      </c>
      <c r="V22" s="267" t="str">
        <f t="shared" si="1"/>
        <v>G89</v>
      </c>
    </row>
    <row r="23" spans="1:22">
      <c r="A23" s="295">
        <f t="shared" si="6"/>
        <v>6</v>
      </c>
      <c r="B23" s="300">
        <f t="shared" si="14"/>
        <v>153</v>
      </c>
      <c r="C23" s="296">
        <f t="shared" si="7"/>
        <v>0</v>
      </c>
      <c r="D23" s="295"/>
      <c r="E23" s="296">
        <f t="shared" si="8"/>
        <v>0</v>
      </c>
      <c r="F23" s="296">
        <f t="shared" si="9"/>
        <v>0</v>
      </c>
      <c r="G23" s="296">
        <f t="shared" si="10"/>
        <v>0</v>
      </c>
      <c r="H23" s="296">
        <f t="shared" si="11"/>
        <v>0</v>
      </c>
      <c r="I23" s="460">
        <f t="shared" si="2"/>
        <v>0</v>
      </c>
      <c r="J23" s="298">
        <f t="shared" si="12"/>
        <v>7</v>
      </c>
      <c r="K23" s="299">
        <f ca="1">'Itemized Costs-HIDDEN'!N11</f>
        <v>0</v>
      </c>
      <c r="L23" s="425">
        <v>0</v>
      </c>
      <c r="M23" s="299">
        <f t="shared" ca="1" si="3"/>
        <v>-1</v>
      </c>
      <c r="N23" s="299">
        <f ca="1">ROUND(SUM(INDIRECT(S23):INDIRECT(T23)),0)</f>
        <v>-1</v>
      </c>
      <c r="O23" s="299">
        <f ca="1">IF(N23=0,0,ROUND(SUM(INDIRECT(U23):INDIRECT(V23)),0))</f>
        <v>0</v>
      </c>
      <c r="P23" s="461" t="str">
        <f t="shared" ca="1" si="4"/>
        <v/>
      </c>
      <c r="Q23" s="267">
        <f t="shared" si="13"/>
        <v>90</v>
      </c>
      <c r="R23" s="267">
        <f t="shared" si="0"/>
        <v>101</v>
      </c>
      <c r="S23" s="267" t="str">
        <f t="shared" si="5"/>
        <v>f90</v>
      </c>
      <c r="T23" s="267" t="str">
        <f t="shared" si="5"/>
        <v>f101</v>
      </c>
      <c r="U23" s="267" t="str">
        <f t="shared" si="1"/>
        <v>G90</v>
      </c>
      <c r="V23" s="267" t="str">
        <f t="shared" si="1"/>
        <v>G101</v>
      </c>
    </row>
    <row r="24" spans="1:22">
      <c r="A24" s="295">
        <f t="shared" si="6"/>
        <v>7</v>
      </c>
      <c r="B24" s="300">
        <f t="shared" si="14"/>
        <v>183</v>
      </c>
      <c r="C24" s="296">
        <f t="shared" si="7"/>
        <v>0</v>
      </c>
      <c r="D24" s="295"/>
      <c r="E24" s="296">
        <f t="shared" si="8"/>
        <v>0</v>
      </c>
      <c r="F24" s="296">
        <f t="shared" si="9"/>
        <v>0</v>
      </c>
      <c r="G24" s="296">
        <f t="shared" si="10"/>
        <v>0</v>
      </c>
      <c r="H24" s="296">
        <f t="shared" si="11"/>
        <v>0</v>
      </c>
      <c r="I24" s="460">
        <f t="shared" si="2"/>
        <v>0</v>
      </c>
      <c r="J24" s="298">
        <f t="shared" si="12"/>
        <v>8</v>
      </c>
      <c r="K24" s="299">
        <f ca="1">'Itemized Costs-HIDDEN'!N12</f>
        <v>0</v>
      </c>
      <c r="L24" s="425">
        <v>0</v>
      </c>
      <c r="M24" s="299">
        <f t="shared" ca="1" si="3"/>
        <v>-1</v>
      </c>
      <c r="N24" s="299">
        <f ca="1">ROUND(SUM(INDIRECT(S24):INDIRECT(T24)),0)</f>
        <v>-1</v>
      </c>
      <c r="O24" s="299">
        <f ca="1">IF(N24=0,0,ROUND(SUM(INDIRECT(U24):INDIRECT(V24)),0))</f>
        <v>0</v>
      </c>
      <c r="P24" s="461" t="str">
        <f t="shared" ca="1" si="4"/>
        <v/>
      </c>
      <c r="Q24" s="267">
        <f t="shared" si="13"/>
        <v>102</v>
      </c>
      <c r="R24" s="267">
        <f t="shared" si="0"/>
        <v>113</v>
      </c>
      <c r="S24" s="267" t="str">
        <f t="shared" si="5"/>
        <v>f102</v>
      </c>
      <c r="T24" s="267" t="str">
        <f t="shared" si="5"/>
        <v>f113</v>
      </c>
      <c r="U24" s="267" t="str">
        <f t="shared" si="1"/>
        <v>G102</v>
      </c>
      <c r="V24" s="267" t="str">
        <f t="shared" si="1"/>
        <v>G113</v>
      </c>
    </row>
    <row r="25" spans="1:22">
      <c r="A25" s="295">
        <f t="shared" si="6"/>
        <v>8</v>
      </c>
      <c r="B25" s="300">
        <f t="shared" si="14"/>
        <v>214</v>
      </c>
      <c r="C25" s="296">
        <f t="shared" si="7"/>
        <v>0</v>
      </c>
      <c r="D25" s="295"/>
      <c r="E25" s="296">
        <f t="shared" si="8"/>
        <v>0</v>
      </c>
      <c r="F25" s="296">
        <f t="shared" si="9"/>
        <v>0</v>
      </c>
      <c r="G25" s="296">
        <f t="shared" si="10"/>
        <v>0</v>
      </c>
      <c r="H25" s="296">
        <f t="shared" si="11"/>
        <v>0</v>
      </c>
      <c r="I25" s="460">
        <f t="shared" si="2"/>
        <v>0</v>
      </c>
      <c r="J25" s="298">
        <f t="shared" si="12"/>
        <v>9</v>
      </c>
      <c r="K25" s="299">
        <f ca="1">'Itemized Costs-HIDDEN'!N13</f>
        <v>0</v>
      </c>
      <c r="L25" s="425">
        <v>0</v>
      </c>
      <c r="M25" s="299">
        <f t="shared" ca="1" si="3"/>
        <v>-1</v>
      </c>
      <c r="N25" s="299">
        <f ca="1">ROUND(SUM(INDIRECT(S25):INDIRECT(T25)),0)</f>
        <v>-1</v>
      </c>
      <c r="O25" s="299">
        <f ca="1">IF(N25=0,0,ROUND(SUM(INDIRECT(U25):INDIRECT(V25)),0))</f>
        <v>0</v>
      </c>
      <c r="P25" s="461" t="str">
        <f t="shared" ca="1" si="4"/>
        <v/>
      </c>
      <c r="Q25" s="267">
        <f t="shared" si="13"/>
        <v>114</v>
      </c>
      <c r="R25" s="267">
        <f t="shared" si="0"/>
        <v>125</v>
      </c>
      <c r="S25" s="267" t="str">
        <f t="shared" si="5"/>
        <v>f114</v>
      </c>
      <c r="T25" s="267" t="str">
        <f t="shared" si="5"/>
        <v>f125</v>
      </c>
      <c r="U25" s="267" t="str">
        <f t="shared" si="1"/>
        <v>G114</v>
      </c>
      <c r="V25" s="267" t="str">
        <f t="shared" si="1"/>
        <v>G125</v>
      </c>
    </row>
    <row r="26" spans="1:22">
      <c r="A26" s="295">
        <f t="shared" si="6"/>
        <v>9</v>
      </c>
      <c r="B26" s="300">
        <f t="shared" si="14"/>
        <v>245</v>
      </c>
      <c r="C26" s="296">
        <f t="shared" si="7"/>
        <v>0</v>
      </c>
      <c r="D26" s="295"/>
      <c r="E26" s="296">
        <f t="shared" si="8"/>
        <v>0</v>
      </c>
      <c r="F26" s="296">
        <f t="shared" si="9"/>
        <v>0</v>
      </c>
      <c r="G26" s="296">
        <f t="shared" si="10"/>
        <v>0</v>
      </c>
      <c r="H26" s="296">
        <f t="shared" si="11"/>
        <v>0</v>
      </c>
      <c r="I26" s="460">
        <f t="shared" si="2"/>
        <v>0</v>
      </c>
      <c r="J26" s="298">
        <f t="shared" si="12"/>
        <v>10</v>
      </c>
      <c r="K26" s="299">
        <f ca="1">'Itemized Costs-HIDDEN'!N14</f>
        <v>0</v>
      </c>
      <c r="L26" s="425">
        <v>0</v>
      </c>
      <c r="M26" s="299">
        <f t="shared" ca="1" si="3"/>
        <v>-1</v>
      </c>
      <c r="N26" s="299">
        <f ca="1">ROUND(SUM(INDIRECT(S26):INDIRECT(T26)),0)</f>
        <v>-1</v>
      </c>
      <c r="O26" s="299">
        <f ca="1">IF(N26=0,0,ROUND(SUM(INDIRECT(U26):INDIRECT(V26)),0))</f>
        <v>0</v>
      </c>
      <c r="P26" s="461" t="str">
        <f t="shared" ca="1" si="4"/>
        <v/>
      </c>
      <c r="Q26" s="267">
        <f t="shared" si="13"/>
        <v>126</v>
      </c>
      <c r="R26" s="267">
        <f t="shared" si="0"/>
        <v>137</v>
      </c>
      <c r="S26" s="267" t="str">
        <f t="shared" si="5"/>
        <v>f126</v>
      </c>
      <c r="T26" s="267" t="str">
        <f t="shared" si="5"/>
        <v>f137</v>
      </c>
      <c r="U26" s="267" t="str">
        <f t="shared" si="1"/>
        <v>G126</v>
      </c>
      <c r="V26" s="267" t="str">
        <f t="shared" si="1"/>
        <v>G137</v>
      </c>
    </row>
    <row r="27" spans="1:22">
      <c r="A27" s="295">
        <f t="shared" si="6"/>
        <v>10</v>
      </c>
      <c r="B27" s="300">
        <f t="shared" si="14"/>
        <v>275</v>
      </c>
      <c r="C27" s="296">
        <f t="shared" si="7"/>
        <v>0</v>
      </c>
      <c r="D27" s="295"/>
      <c r="E27" s="296">
        <f t="shared" si="8"/>
        <v>0</v>
      </c>
      <c r="F27" s="296">
        <f t="shared" si="9"/>
        <v>0</v>
      </c>
      <c r="G27" s="296">
        <f t="shared" si="10"/>
        <v>0</v>
      </c>
      <c r="H27" s="296">
        <f t="shared" si="11"/>
        <v>0</v>
      </c>
      <c r="I27" s="460">
        <f t="shared" si="2"/>
        <v>0</v>
      </c>
      <c r="J27" s="298">
        <f t="shared" si="12"/>
        <v>11</v>
      </c>
      <c r="K27" s="299">
        <f ca="1">'Itemized Costs-HIDDEN'!N15</f>
        <v>0</v>
      </c>
      <c r="L27" s="425">
        <v>0</v>
      </c>
      <c r="M27" s="299">
        <f t="shared" ca="1" si="3"/>
        <v>-1</v>
      </c>
      <c r="N27" s="299">
        <f ca="1">ROUND(SUM(INDIRECT(S27):INDIRECT(T27)),0)</f>
        <v>-1</v>
      </c>
      <c r="O27" s="299">
        <f ca="1">IF(N27=0,0,ROUND(SUM(INDIRECT(U27):INDIRECT(V27)),0))</f>
        <v>0</v>
      </c>
      <c r="P27" s="461" t="str">
        <f t="shared" ca="1" si="4"/>
        <v/>
      </c>
      <c r="Q27" s="267">
        <f t="shared" si="13"/>
        <v>138</v>
      </c>
      <c r="R27" s="267">
        <f t="shared" si="0"/>
        <v>149</v>
      </c>
      <c r="S27" s="267" t="str">
        <f t="shared" si="5"/>
        <v>f138</v>
      </c>
      <c r="T27" s="267" t="str">
        <f t="shared" si="5"/>
        <v>f149</v>
      </c>
      <c r="U27" s="267" t="str">
        <f t="shared" si="1"/>
        <v>G138</v>
      </c>
      <c r="V27" s="267" t="str">
        <f t="shared" si="1"/>
        <v>G149</v>
      </c>
    </row>
    <row r="28" spans="1:22">
      <c r="A28" s="295">
        <f t="shared" si="6"/>
        <v>11</v>
      </c>
      <c r="B28" s="300">
        <f t="shared" si="14"/>
        <v>306</v>
      </c>
      <c r="C28" s="296">
        <f t="shared" si="7"/>
        <v>0</v>
      </c>
      <c r="D28" s="295"/>
      <c r="E28" s="296">
        <f>IF($D$10=1,IF(MONTH(B28)=MONTH($D$7),D27-'Sch3-Perf Period Cash Flow'!D7,0),IF(MONTH(B28)=MONTH(EDATE($D$7,11)),IF(AND(H27&gt;D17,H27&lt;K17-L17), H27, MIN(D17,H27)-'Sch3-Perf Period Cash Flow'!D7),0))</f>
        <v>0</v>
      </c>
      <c r="F28" s="296">
        <f t="shared" si="9"/>
        <v>0</v>
      </c>
      <c r="G28" s="296">
        <f t="shared" si="10"/>
        <v>0</v>
      </c>
      <c r="H28" s="296">
        <f>IF(E28="","",ROUND(H27-F28,4))</f>
        <v>0</v>
      </c>
      <c r="I28" s="460">
        <f t="shared" si="2"/>
        <v>0</v>
      </c>
      <c r="J28" s="298">
        <f t="shared" si="12"/>
        <v>12</v>
      </c>
      <c r="K28" s="299">
        <f ca="1">'Itemized Costs-HIDDEN'!N16</f>
        <v>0</v>
      </c>
      <c r="L28" s="425">
        <v>0</v>
      </c>
      <c r="M28" s="299">
        <f t="shared" ca="1" si="3"/>
        <v>-1</v>
      </c>
      <c r="N28" s="299">
        <f ca="1">ROUND(SUM(INDIRECT(S28):INDIRECT(T28)),0)</f>
        <v>-1</v>
      </c>
      <c r="O28" s="299">
        <f ca="1">IF(N28=0,0,ROUND(SUM(INDIRECT(U28):INDIRECT(V28)),0))</f>
        <v>0</v>
      </c>
      <c r="P28" s="461" t="str">
        <f t="shared" ca="1" si="4"/>
        <v/>
      </c>
      <c r="Q28" s="267">
        <f t="shared" si="13"/>
        <v>150</v>
      </c>
      <c r="R28" s="267">
        <f t="shared" si="0"/>
        <v>161</v>
      </c>
      <c r="S28" s="267" t="str">
        <f t="shared" si="5"/>
        <v>f150</v>
      </c>
      <c r="T28" s="267" t="str">
        <f t="shared" si="5"/>
        <v>f161</v>
      </c>
      <c r="U28" s="267" t="str">
        <f t="shared" si="1"/>
        <v>G150</v>
      </c>
      <c r="V28" s="267" t="str">
        <f t="shared" si="1"/>
        <v>G161</v>
      </c>
    </row>
    <row r="29" spans="1:22">
      <c r="A29" s="295">
        <f t="shared" si="6"/>
        <v>12</v>
      </c>
      <c r="B29" s="300">
        <f t="shared" si="14"/>
        <v>336</v>
      </c>
      <c r="C29" s="296">
        <f t="shared" si="7"/>
        <v>0</v>
      </c>
      <c r="D29" s="296">
        <f ca="1">IF(H29&lt;0,0,IF((H28+G29)&lt;(K18-L18),H28+G29,K18-L18))</f>
        <v>0</v>
      </c>
      <c r="E29" s="296">
        <f>IF($D$10=1,IF(MONTH(B29)=MONTH($D$7),D28-'Sch3-Perf Period Cash Flow'!D7,0),IF(MONTH(B29)=MONTH(EDATE($D$7,11)),MIN(D17,H28)-'Sch3-Perf Period Cash Flow'!D7,0))</f>
        <v>-1</v>
      </c>
      <c r="F29" s="296">
        <f>IF(E29="","",E29-G29)</f>
        <v>-1</v>
      </c>
      <c r="G29" s="296">
        <f>ROUND((C29-E29)*$D$5,3)</f>
        <v>0</v>
      </c>
      <c r="H29" s="296">
        <f>IF(E29="","",ROUND(H28-F29,4))</f>
        <v>1</v>
      </c>
      <c r="I29" s="460">
        <f t="shared" ca="1" si="2"/>
        <v>-1</v>
      </c>
      <c r="J29" s="298">
        <f t="shared" si="12"/>
        <v>13</v>
      </c>
      <c r="K29" s="299">
        <f ca="1">'Itemized Costs-HIDDEN'!N17</f>
        <v>0</v>
      </c>
      <c r="L29" s="425">
        <v>0</v>
      </c>
      <c r="M29" s="299">
        <f t="shared" ca="1" si="3"/>
        <v>-1</v>
      </c>
      <c r="N29" s="299">
        <f ca="1">ROUND(SUM(INDIRECT(S29):INDIRECT(T29)),0)</f>
        <v>-1</v>
      </c>
      <c r="O29" s="299">
        <f ca="1">IF(N29=0,0,ROUND(SUM(INDIRECT(U29):INDIRECT(V29)),0))</f>
        <v>0</v>
      </c>
      <c r="P29" s="461" t="str">
        <f t="shared" ca="1" si="4"/>
        <v/>
      </c>
      <c r="Q29" s="267">
        <f t="shared" si="13"/>
        <v>162</v>
      </c>
      <c r="R29" s="267">
        <f t="shared" si="0"/>
        <v>173</v>
      </c>
      <c r="S29" s="267" t="str">
        <f t="shared" si="5"/>
        <v>f162</v>
      </c>
      <c r="T29" s="267" t="str">
        <f t="shared" si="5"/>
        <v>f173</v>
      </c>
      <c r="U29" s="267" t="str">
        <f t="shared" si="1"/>
        <v>G162</v>
      </c>
      <c r="V29" s="267" t="str">
        <f t="shared" si="1"/>
        <v>G173</v>
      </c>
    </row>
    <row r="30" spans="1:22">
      <c r="A30" s="295">
        <f t="shared" si="6"/>
        <v>13</v>
      </c>
      <c r="B30" s="300">
        <f t="shared" si="14"/>
        <v>367</v>
      </c>
      <c r="C30" s="296">
        <f t="shared" si="7"/>
        <v>1</v>
      </c>
      <c r="D30" s="295"/>
      <c r="E30" s="296">
        <f>IF($D$10=1,IF(MONTH(B30)=MONTH($D$7),D29-'Sch3-Perf Period Cash Flow'!E7,0),IF(MONTH(B30)=MONTH(EDATE($D$7,11)),MIN(D17,H29)-'Sch3-Perf Period Cash Flow'!E7,0))</f>
        <v>0</v>
      </c>
      <c r="F30" s="296">
        <f t="shared" si="9"/>
        <v>0</v>
      </c>
      <c r="G30" s="296">
        <f t="shared" si="10"/>
        <v>0</v>
      </c>
      <c r="H30" s="296">
        <f t="shared" si="11"/>
        <v>1</v>
      </c>
      <c r="I30" s="460">
        <f t="shared" si="2"/>
        <v>-1</v>
      </c>
      <c r="J30" s="298">
        <f t="shared" si="12"/>
        <v>14</v>
      </c>
      <c r="K30" s="299">
        <f ca="1">'Itemized Costs-HIDDEN'!N18</f>
        <v>0</v>
      </c>
      <c r="L30" s="425">
        <v>0</v>
      </c>
      <c r="M30" s="299">
        <f t="shared" ca="1" si="3"/>
        <v>-1</v>
      </c>
      <c r="N30" s="299">
        <f ca="1">ROUND(SUM(INDIRECT(S30):INDIRECT(T30)),0)</f>
        <v>-1</v>
      </c>
      <c r="O30" s="299">
        <f ca="1">IF(N30=0,0,ROUND(SUM(INDIRECT(U30):INDIRECT(V30)),0))</f>
        <v>0</v>
      </c>
      <c r="P30" s="461" t="str">
        <f t="shared" ca="1" si="4"/>
        <v/>
      </c>
      <c r="Q30" s="267">
        <f t="shared" si="13"/>
        <v>174</v>
      </c>
      <c r="R30" s="267">
        <f t="shared" si="0"/>
        <v>185</v>
      </c>
      <c r="S30" s="267" t="str">
        <f t="shared" si="5"/>
        <v>f174</v>
      </c>
      <c r="T30" s="267" t="str">
        <f t="shared" si="5"/>
        <v>f185</v>
      </c>
      <c r="U30" s="267" t="str">
        <f t="shared" si="1"/>
        <v>G174</v>
      </c>
      <c r="V30" s="267" t="str">
        <f t="shared" si="1"/>
        <v>G185</v>
      </c>
    </row>
    <row r="31" spans="1:22">
      <c r="A31" s="295">
        <f t="shared" si="6"/>
        <v>14</v>
      </c>
      <c r="B31" s="300">
        <f t="shared" si="14"/>
        <v>398</v>
      </c>
      <c r="C31" s="296">
        <f t="shared" si="7"/>
        <v>1</v>
      </c>
      <c r="D31" s="295"/>
      <c r="E31" s="296">
        <f t="shared" si="8"/>
        <v>0</v>
      </c>
      <c r="F31" s="296">
        <f t="shared" si="9"/>
        <v>0</v>
      </c>
      <c r="G31" s="296">
        <f t="shared" si="10"/>
        <v>0</v>
      </c>
      <c r="H31" s="296">
        <f t="shared" si="11"/>
        <v>1</v>
      </c>
      <c r="I31" s="460">
        <f t="shared" si="2"/>
        <v>-1</v>
      </c>
      <c r="J31" s="298">
        <f t="shared" si="12"/>
        <v>15</v>
      </c>
      <c r="K31" s="299">
        <f ca="1">'Itemized Costs-HIDDEN'!N19</f>
        <v>0</v>
      </c>
      <c r="L31" s="425">
        <v>0</v>
      </c>
      <c r="M31" s="299">
        <f t="shared" ca="1" si="3"/>
        <v>-1</v>
      </c>
      <c r="N31" s="299">
        <f ca="1">ROUND(SUM(INDIRECT(S31):INDIRECT(T31)),0)</f>
        <v>-1</v>
      </c>
      <c r="O31" s="299">
        <f ca="1">IF(N31=0,0,ROUND(SUM(INDIRECT(U31):INDIRECT(V31)),0))</f>
        <v>0</v>
      </c>
      <c r="P31" s="461" t="str">
        <f t="shared" ca="1" si="4"/>
        <v/>
      </c>
      <c r="Q31" s="267">
        <f t="shared" si="13"/>
        <v>186</v>
      </c>
      <c r="R31" s="267">
        <f t="shared" si="0"/>
        <v>197</v>
      </c>
      <c r="S31" s="267" t="str">
        <f t="shared" si="5"/>
        <v>f186</v>
      </c>
      <c r="T31" s="267" t="str">
        <f t="shared" si="5"/>
        <v>f197</v>
      </c>
      <c r="U31" s="267" t="str">
        <f t="shared" si="1"/>
        <v>G186</v>
      </c>
      <c r="V31" s="267" t="str">
        <f t="shared" si="1"/>
        <v>G197</v>
      </c>
    </row>
    <row r="32" spans="1:22">
      <c r="A32" s="295">
        <f t="shared" si="6"/>
        <v>15</v>
      </c>
      <c r="B32" s="300">
        <f t="shared" si="14"/>
        <v>426</v>
      </c>
      <c r="C32" s="296">
        <f t="shared" si="7"/>
        <v>1</v>
      </c>
      <c r="D32" s="295"/>
      <c r="E32" s="296">
        <f t="shared" si="8"/>
        <v>0</v>
      </c>
      <c r="F32" s="296">
        <f t="shared" si="9"/>
        <v>0</v>
      </c>
      <c r="G32" s="296">
        <f t="shared" si="10"/>
        <v>0</v>
      </c>
      <c r="H32" s="296">
        <f t="shared" si="11"/>
        <v>1</v>
      </c>
      <c r="I32" s="460">
        <f t="shared" si="2"/>
        <v>-1</v>
      </c>
      <c r="J32" s="298">
        <f t="shared" si="12"/>
        <v>16</v>
      </c>
      <c r="K32" s="299">
        <f ca="1">'Itemized Costs-HIDDEN'!N20</f>
        <v>0</v>
      </c>
      <c r="L32" s="425">
        <v>0</v>
      </c>
      <c r="M32" s="299">
        <f t="shared" ca="1" si="3"/>
        <v>-1</v>
      </c>
      <c r="N32" s="299">
        <f ca="1">ROUND(SUM(INDIRECT(S32):INDIRECT(T32)),0)</f>
        <v>-1</v>
      </c>
      <c r="O32" s="299">
        <f ca="1">IF(N32=0,0,ROUND(SUM(INDIRECT(U32):INDIRECT(V32)),0))</f>
        <v>0</v>
      </c>
      <c r="P32" s="461" t="str">
        <f t="shared" ca="1" si="4"/>
        <v/>
      </c>
      <c r="Q32" s="267">
        <f t="shared" si="13"/>
        <v>198</v>
      </c>
      <c r="R32" s="267">
        <f t="shared" si="0"/>
        <v>209</v>
      </c>
      <c r="S32" s="267" t="str">
        <f t="shared" si="5"/>
        <v>f198</v>
      </c>
      <c r="T32" s="267" t="str">
        <f t="shared" si="5"/>
        <v>f209</v>
      </c>
      <c r="U32" s="267" t="str">
        <f t="shared" si="1"/>
        <v>G198</v>
      </c>
      <c r="V32" s="267" t="str">
        <f t="shared" si="1"/>
        <v>G209</v>
      </c>
    </row>
    <row r="33" spans="1:22">
      <c r="A33" s="295">
        <f t="shared" si="6"/>
        <v>16</v>
      </c>
      <c r="B33" s="300">
        <f t="shared" si="14"/>
        <v>457</v>
      </c>
      <c r="C33" s="296">
        <f t="shared" si="7"/>
        <v>1</v>
      </c>
      <c r="D33" s="295"/>
      <c r="E33" s="296">
        <f t="shared" si="8"/>
        <v>0</v>
      </c>
      <c r="F33" s="296">
        <f t="shared" si="9"/>
        <v>0</v>
      </c>
      <c r="G33" s="296">
        <f t="shared" si="10"/>
        <v>0</v>
      </c>
      <c r="H33" s="296">
        <f t="shared" si="11"/>
        <v>1</v>
      </c>
      <c r="I33" s="460">
        <f t="shared" si="2"/>
        <v>-1</v>
      </c>
      <c r="J33" s="298">
        <f t="shared" si="12"/>
        <v>17</v>
      </c>
      <c r="K33" s="299">
        <f ca="1">'Itemized Costs-HIDDEN'!N21</f>
        <v>0</v>
      </c>
      <c r="L33" s="425">
        <v>0</v>
      </c>
      <c r="M33" s="299">
        <f t="shared" ca="1" si="3"/>
        <v>-1</v>
      </c>
      <c r="N33" s="299">
        <f ca="1">ROUND(SUM(INDIRECT(S33):INDIRECT(T33)),0)</f>
        <v>-1</v>
      </c>
      <c r="O33" s="299">
        <f ca="1">IF(N33=0,0,ROUND(SUM(INDIRECT(U33):INDIRECT(V33)),0))</f>
        <v>0</v>
      </c>
      <c r="P33" s="461" t="str">
        <f t="shared" ca="1" si="4"/>
        <v/>
      </c>
      <c r="Q33" s="267">
        <f t="shared" si="13"/>
        <v>210</v>
      </c>
      <c r="R33" s="267">
        <f t="shared" si="0"/>
        <v>221</v>
      </c>
      <c r="S33" s="267" t="str">
        <f t="shared" si="5"/>
        <v>f210</v>
      </c>
      <c r="T33" s="267" t="str">
        <f t="shared" si="5"/>
        <v>f221</v>
      </c>
      <c r="U33" s="267" t="str">
        <f t="shared" ref="U33:V40" si="15">CONCATENATE("G",Q33)</f>
        <v>G210</v>
      </c>
      <c r="V33" s="267" t="str">
        <f t="shared" si="15"/>
        <v>G221</v>
      </c>
    </row>
    <row r="34" spans="1:22">
      <c r="A34" s="295">
        <f t="shared" si="6"/>
        <v>17</v>
      </c>
      <c r="B34" s="300">
        <f t="shared" si="14"/>
        <v>487</v>
      </c>
      <c r="C34" s="296">
        <f t="shared" si="7"/>
        <v>1</v>
      </c>
      <c r="D34" s="295"/>
      <c r="E34" s="296">
        <f t="shared" si="8"/>
        <v>0</v>
      </c>
      <c r="F34" s="296">
        <f t="shared" si="9"/>
        <v>0</v>
      </c>
      <c r="G34" s="296">
        <f t="shared" si="10"/>
        <v>0</v>
      </c>
      <c r="H34" s="296">
        <f t="shared" si="11"/>
        <v>1</v>
      </c>
      <c r="I34" s="460">
        <f t="shared" si="2"/>
        <v>-1</v>
      </c>
      <c r="J34" s="298">
        <f t="shared" si="12"/>
        <v>18</v>
      </c>
      <c r="K34" s="299">
        <f ca="1">'Itemized Costs-HIDDEN'!N22</f>
        <v>0</v>
      </c>
      <c r="L34" s="425">
        <v>0</v>
      </c>
      <c r="M34" s="299">
        <f t="shared" ca="1" si="3"/>
        <v>-1</v>
      </c>
      <c r="N34" s="299">
        <f ca="1">ROUND(SUM(INDIRECT(S34):INDIRECT(T34)),0)</f>
        <v>-1</v>
      </c>
      <c r="O34" s="299">
        <f ca="1">IF(N34=0,0,ROUND(SUM(INDIRECT(U34):INDIRECT(V34)),0))</f>
        <v>0</v>
      </c>
      <c r="P34" s="461" t="str">
        <f t="shared" ca="1" si="4"/>
        <v/>
      </c>
      <c r="Q34" s="267">
        <f t="shared" si="13"/>
        <v>222</v>
      </c>
      <c r="R34" s="267">
        <f t="shared" si="0"/>
        <v>233</v>
      </c>
      <c r="S34" s="267" t="str">
        <f t="shared" si="5"/>
        <v>f222</v>
      </c>
      <c r="T34" s="267" t="str">
        <f t="shared" si="5"/>
        <v>f233</v>
      </c>
      <c r="U34" s="267" t="str">
        <f t="shared" si="15"/>
        <v>G222</v>
      </c>
      <c r="V34" s="267" t="str">
        <f t="shared" si="15"/>
        <v>G233</v>
      </c>
    </row>
    <row r="35" spans="1:22">
      <c r="A35" s="295">
        <f t="shared" si="6"/>
        <v>18</v>
      </c>
      <c r="B35" s="300">
        <f t="shared" si="14"/>
        <v>518</v>
      </c>
      <c r="C35" s="296">
        <f t="shared" si="7"/>
        <v>1</v>
      </c>
      <c r="D35" s="295"/>
      <c r="E35" s="296">
        <f t="shared" si="8"/>
        <v>0</v>
      </c>
      <c r="F35" s="296">
        <f t="shared" si="9"/>
        <v>0</v>
      </c>
      <c r="G35" s="296">
        <f t="shared" si="10"/>
        <v>0</v>
      </c>
      <c r="H35" s="296">
        <f t="shared" si="11"/>
        <v>1</v>
      </c>
      <c r="I35" s="460">
        <f t="shared" si="2"/>
        <v>-1</v>
      </c>
      <c r="J35" s="298">
        <f t="shared" si="12"/>
        <v>19</v>
      </c>
      <c r="K35" s="299">
        <f ca="1">'Itemized Costs-HIDDEN'!N23</f>
        <v>0</v>
      </c>
      <c r="L35" s="425">
        <v>0</v>
      </c>
      <c r="M35" s="299">
        <f t="shared" ca="1" si="3"/>
        <v>-1</v>
      </c>
      <c r="N35" s="299">
        <f ca="1">ROUND(SUM(INDIRECT(S35):INDIRECT(T35)),0)</f>
        <v>-1</v>
      </c>
      <c r="O35" s="299">
        <f ca="1">IF(N35=0,0,ROUND(SUM(INDIRECT(U35):INDIRECT(V35)),0))</f>
        <v>0</v>
      </c>
      <c r="P35" s="461" t="str">
        <f t="shared" ca="1" si="4"/>
        <v/>
      </c>
      <c r="Q35" s="267">
        <f t="shared" si="13"/>
        <v>234</v>
      </c>
      <c r="R35" s="267">
        <f>Q35+11</f>
        <v>245</v>
      </c>
      <c r="S35" s="267" t="str">
        <f t="shared" si="5"/>
        <v>f234</v>
      </c>
      <c r="T35" s="267" t="str">
        <f t="shared" si="5"/>
        <v>f245</v>
      </c>
      <c r="U35" s="267" t="str">
        <f t="shared" si="15"/>
        <v>G234</v>
      </c>
      <c r="V35" s="267" t="str">
        <f t="shared" si="15"/>
        <v>G245</v>
      </c>
    </row>
    <row r="36" spans="1:22">
      <c r="A36" s="295">
        <f t="shared" si="6"/>
        <v>19</v>
      </c>
      <c r="B36" s="300">
        <f t="shared" si="14"/>
        <v>548</v>
      </c>
      <c r="C36" s="296">
        <f t="shared" si="7"/>
        <v>1</v>
      </c>
      <c r="D36" s="295"/>
      <c r="E36" s="296">
        <f t="shared" si="8"/>
        <v>0</v>
      </c>
      <c r="F36" s="296">
        <f t="shared" si="9"/>
        <v>0</v>
      </c>
      <c r="G36" s="296">
        <f t="shared" si="10"/>
        <v>0</v>
      </c>
      <c r="H36" s="296">
        <f t="shared" si="11"/>
        <v>1</v>
      </c>
      <c r="I36" s="460">
        <f t="shared" si="2"/>
        <v>-1</v>
      </c>
      <c r="J36" s="298">
        <f t="shared" si="12"/>
        <v>20</v>
      </c>
      <c r="K36" s="299">
        <f ca="1">'Itemized Costs-HIDDEN'!N24</f>
        <v>0</v>
      </c>
      <c r="L36" s="425">
        <v>0</v>
      </c>
      <c r="M36" s="299">
        <f t="shared" ca="1" si="3"/>
        <v>-1</v>
      </c>
      <c r="N36" s="299">
        <f ca="1">ROUND(SUM(INDIRECT(S36):INDIRECT(T36)),0)</f>
        <v>-1</v>
      </c>
      <c r="O36" s="299">
        <f ca="1">IF(N36=0,0,ROUND(SUM(INDIRECT(U36):INDIRECT(V36)),0))</f>
        <v>0</v>
      </c>
      <c r="P36" s="461" t="str">
        <f t="shared" ca="1" si="4"/>
        <v/>
      </c>
      <c r="Q36" s="267">
        <f t="shared" si="13"/>
        <v>246</v>
      </c>
      <c r="R36" s="267">
        <f t="shared" ref="R36:R72" si="16">Q36+11</f>
        <v>257</v>
      </c>
      <c r="S36" s="267" t="str">
        <f t="shared" si="5"/>
        <v>f246</v>
      </c>
      <c r="T36" s="267" t="str">
        <f t="shared" si="5"/>
        <v>f257</v>
      </c>
      <c r="U36" s="267" t="str">
        <f t="shared" si="15"/>
        <v>G246</v>
      </c>
      <c r="V36" s="267" t="str">
        <f t="shared" si="15"/>
        <v>G257</v>
      </c>
    </row>
    <row r="37" spans="1:22">
      <c r="A37" s="295">
        <f t="shared" si="6"/>
        <v>20</v>
      </c>
      <c r="B37" s="300">
        <f t="shared" si="14"/>
        <v>579</v>
      </c>
      <c r="C37" s="296">
        <f t="shared" si="7"/>
        <v>1</v>
      </c>
      <c r="D37" s="295"/>
      <c r="E37" s="296">
        <f t="shared" si="8"/>
        <v>0</v>
      </c>
      <c r="F37" s="296">
        <f t="shared" si="9"/>
        <v>0</v>
      </c>
      <c r="G37" s="296">
        <f t="shared" si="10"/>
        <v>0</v>
      </c>
      <c r="H37" s="296">
        <f t="shared" si="11"/>
        <v>1</v>
      </c>
      <c r="I37" s="460">
        <f t="shared" si="2"/>
        <v>-1</v>
      </c>
      <c r="J37" s="298">
        <f t="shared" si="12"/>
        <v>21</v>
      </c>
      <c r="K37" s="299">
        <f ca="1">'Itemized Costs-HIDDEN'!N25</f>
        <v>0</v>
      </c>
      <c r="L37" s="425">
        <v>0</v>
      </c>
      <c r="M37" s="299">
        <f ca="1">N37+O37</f>
        <v>-1</v>
      </c>
      <c r="N37" s="299">
        <f ca="1">ROUND(SUM(INDIRECT(S37):INDIRECT(T37)),0)</f>
        <v>-1</v>
      </c>
      <c r="O37" s="299">
        <f ca="1">IF(N37=0,0,ROUND(SUM(INDIRECT(U37):INDIRECT(V37)),0))</f>
        <v>0</v>
      </c>
      <c r="P37" s="461" t="str">
        <f t="shared" ca="1" si="4"/>
        <v/>
      </c>
      <c r="Q37" s="267">
        <f t="shared" si="13"/>
        <v>258</v>
      </c>
      <c r="R37" s="267">
        <f t="shared" si="16"/>
        <v>269</v>
      </c>
      <c r="S37" s="267" t="str">
        <f t="shared" si="5"/>
        <v>f258</v>
      </c>
      <c r="T37" s="267" t="str">
        <f t="shared" si="5"/>
        <v>f269</v>
      </c>
      <c r="U37" s="267" t="str">
        <f t="shared" si="15"/>
        <v>G258</v>
      </c>
      <c r="V37" s="267" t="str">
        <f t="shared" si="15"/>
        <v>G269</v>
      </c>
    </row>
    <row r="38" spans="1:22">
      <c r="A38" s="295">
        <f t="shared" si="6"/>
        <v>21</v>
      </c>
      <c r="B38" s="300">
        <f t="shared" si="14"/>
        <v>610</v>
      </c>
      <c r="C38" s="296">
        <f t="shared" si="7"/>
        <v>1</v>
      </c>
      <c r="D38" s="295"/>
      <c r="E38" s="296">
        <f t="shared" si="8"/>
        <v>0</v>
      </c>
      <c r="F38" s="296">
        <f t="shared" si="9"/>
        <v>0</v>
      </c>
      <c r="G38" s="296">
        <f t="shared" si="10"/>
        <v>0</v>
      </c>
      <c r="H38" s="296">
        <f t="shared" si="11"/>
        <v>1</v>
      </c>
      <c r="I38" s="460">
        <f t="shared" si="2"/>
        <v>-1</v>
      </c>
      <c r="J38" s="298">
        <f t="shared" si="12"/>
        <v>22</v>
      </c>
      <c r="K38" s="299">
        <f ca="1">'Itemized Costs-HIDDEN'!N26</f>
        <v>0</v>
      </c>
      <c r="L38" s="425">
        <v>0</v>
      </c>
      <c r="M38" s="299">
        <f t="shared" ca="1" si="3"/>
        <v>-1</v>
      </c>
      <c r="N38" s="299">
        <f ca="1">ROUND(SUM(INDIRECT(S38):INDIRECT(T38)),0)</f>
        <v>-1</v>
      </c>
      <c r="O38" s="299">
        <f ca="1">IF(N38=0,0,ROUND(SUM(INDIRECT(U38):INDIRECT(V38)),0))</f>
        <v>0</v>
      </c>
      <c r="P38" s="461" t="str">
        <f t="shared" ca="1" si="4"/>
        <v/>
      </c>
      <c r="Q38" s="267">
        <f t="shared" si="13"/>
        <v>270</v>
      </c>
      <c r="R38" s="267">
        <f t="shared" si="16"/>
        <v>281</v>
      </c>
      <c r="S38" s="267" t="str">
        <f t="shared" si="5"/>
        <v>f270</v>
      </c>
      <c r="T38" s="267" t="str">
        <f t="shared" si="5"/>
        <v>f281</v>
      </c>
      <c r="U38" s="267" t="str">
        <f t="shared" si="15"/>
        <v>G270</v>
      </c>
      <c r="V38" s="267" t="str">
        <f t="shared" si="15"/>
        <v>G281</v>
      </c>
    </row>
    <row r="39" spans="1:22">
      <c r="A39" s="295">
        <f t="shared" si="6"/>
        <v>22</v>
      </c>
      <c r="B39" s="300">
        <f t="shared" si="14"/>
        <v>640</v>
      </c>
      <c r="C39" s="296">
        <f t="shared" si="7"/>
        <v>1</v>
      </c>
      <c r="D39" s="295"/>
      <c r="E39" s="296">
        <f t="shared" si="8"/>
        <v>0</v>
      </c>
      <c r="F39" s="296">
        <f t="shared" si="9"/>
        <v>0</v>
      </c>
      <c r="G39" s="296">
        <f t="shared" si="10"/>
        <v>0</v>
      </c>
      <c r="H39" s="296">
        <f t="shared" si="11"/>
        <v>1</v>
      </c>
      <c r="I39" s="460">
        <f t="shared" si="2"/>
        <v>-1</v>
      </c>
      <c r="J39" s="298">
        <f t="shared" si="12"/>
        <v>23</v>
      </c>
      <c r="K39" s="299">
        <f ca="1">'Itemized Costs-HIDDEN'!N27</f>
        <v>0</v>
      </c>
      <c r="L39" s="425">
        <v>0</v>
      </c>
      <c r="M39" s="299">
        <f ca="1">N39+O39</f>
        <v>-1</v>
      </c>
      <c r="N39" s="299">
        <f ca="1">ROUND(SUM(INDIRECT(S39):INDIRECT(T39)),0)</f>
        <v>-1</v>
      </c>
      <c r="O39" s="299">
        <f ca="1">IF(N39=0,0,ROUND(SUM(INDIRECT(U39):INDIRECT(V39)),0))</f>
        <v>0</v>
      </c>
      <c r="P39" s="461" t="str">
        <f t="shared" ca="1" si="4"/>
        <v/>
      </c>
      <c r="Q39" s="267">
        <f t="shared" si="13"/>
        <v>282</v>
      </c>
      <c r="R39" s="267">
        <f t="shared" si="16"/>
        <v>293</v>
      </c>
      <c r="S39" s="267" t="str">
        <f t="shared" si="5"/>
        <v>f282</v>
      </c>
      <c r="T39" s="267" t="str">
        <f t="shared" si="5"/>
        <v>f293</v>
      </c>
      <c r="U39" s="267" t="str">
        <f t="shared" si="15"/>
        <v>G282</v>
      </c>
      <c r="V39" s="267" t="str">
        <f t="shared" si="15"/>
        <v>G293</v>
      </c>
    </row>
    <row r="40" spans="1:22">
      <c r="A40" s="295">
        <f t="shared" si="6"/>
        <v>23</v>
      </c>
      <c r="B40" s="300">
        <f t="shared" si="14"/>
        <v>671</v>
      </c>
      <c r="C40" s="296">
        <f t="shared" si="7"/>
        <v>1</v>
      </c>
      <c r="D40" s="295"/>
      <c r="E40" s="296">
        <f>IF($D$10=1,IF(MONTH(B40)=MONTH($D$7),D39-'Sch3-Perf Period Cash Flow'!E7,0),IF(MONTH(B40)=MONTH(EDATE($D$7,11)),IF(AND(H39&gt;D29,H39&lt;K18-L18), H39, MIN(D29,H39))-'Sch3-Perf Period Cash Flow'!E7,0))</f>
        <v>0</v>
      </c>
      <c r="F40" s="296">
        <f t="shared" si="9"/>
        <v>0</v>
      </c>
      <c r="G40" s="296">
        <f t="shared" si="10"/>
        <v>0</v>
      </c>
      <c r="H40" s="296">
        <f t="shared" si="11"/>
        <v>1</v>
      </c>
      <c r="I40" s="460">
        <f t="shared" si="2"/>
        <v>-1</v>
      </c>
      <c r="J40" s="298">
        <f t="shared" si="12"/>
        <v>24</v>
      </c>
      <c r="K40" s="299">
        <f ca="1">'Itemized Costs-HIDDEN'!N28</f>
        <v>0</v>
      </c>
      <c r="L40" s="425">
        <v>0</v>
      </c>
      <c r="M40" s="299">
        <f t="shared" ca="1" si="3"/>
        <v>-1</v>
      </c>
      <c r="N40" s="299">
        <f ca="1">ROUND(SUM(INDIRECT(S40):INDIRECT(T40)),0)</f>
        <v>-1</v>
      </c>
      <c r="O40" s="299">
        <f ca="1">IF(N40=0,0,ROUND(SUM(INDIRECT(U40):INDIRECT(V40)),0))</f>
        <v>0</v>
      </c>
      <c r="P40" s="461" t="str">
        <f t="shared" ca="1" si="4"/>
        <v/>
      </c>
      <c r="Q40" s="267">
        <f t="shared" si="13"/>
        <v>294</v>
      </c>
      <c r="R40" s="267">
        <f t="shared" si="16"/>
        <v>305</v>
      </c>
      <c r="S40" s="267" t="str">
        <f t="shared" si="5"/>
        <v>f294</v>
      </c>
      <c r="T40" s="267" t="str">
        <f t="shared" si="5"/>
        <v>f305</v>
      </c>
      <c r="U40" s="267" t="str">
        <f t="shared" si="15"/>
        <v>G294</v>
      </c>
      <c r="V40" s="267" t="str">
        <f t="shared" si="15"/>
        <v>G305</v>
      </c>
    </row>
    <row r="41" spans="1:22">
      <c r="A41" s="295">
        <f t="shared" si="6"/>
        <v>24</v>
      </c>
      <c r="B41" s="300">
        <f t="shared" si="14"/>
        <v>701</v>
      </c>
      <c r="C41" s="296">
        <f t="shared" si="7"/>
        <v>1</v>
      </c>
      <c r="D41" s="296">
        <f ca="1">IF(H41&lt;0,0,IF((H40+G41)&lt;(K19-L19),H40+G41,K19-L19))</f>
        <v>0</v>
      </c>
      <c r="E41" s="296">
        <f ca="1">IF($D$10=1,IF(MONTH(B41)=MONTH($D$7),D40-'Sch3-Perf Period Cash Flow'!E7,0),IF(MONTH(B41)=MONTH(EDATE($D$7,11)),MIN(D29,H40)-'Sch3-Perf Period Cash Flow'!E7,0))</f>
        <v>-1</v>
      </c>
      <c r="F41" s="296">
        <f t="shared" ca="1" si="9"/>
        <v>-1</v>
      </c>
      <c r="G41" s="296">
        <f t="shared" ca="1" si="10"/>
        <v>0</v>
      </c>
      <c r="H41" s="296">
        <f t="shared" ca="1" si="11"/>
        <v>2</v>
      </c>
      <c r="I41" s="460">
        <f t="shared" ca="1" si="2"/>
        <v>-2</v>
      </c>
      <c r="J41" s="298">
        <f t="shared" si="12"/>
        <v>25</v>
      </c>
      <c r="K41" s="299">
        <f ca="1">'Itemized Costs-HIDDEN'!N29</f>
        <v>0</v>
      </c>
      <c r="L41" s="425">
        <v>0</v>
      </c>
      <c r="M41" s="299">
        <f ca="1">N41+O41</f>
        <v>-1</v>
      </c>
      <c r="N41" s="299">
        <f ca="1">ROUND(SUM(INDIRECT(S41):INDIRECT(T41)),0)</f>
        <v>-1</v>
      </c>
      <c r="O41" s="299">
        <f ca="1">IF(N41=0,0,ROUND(SUM(INDIRECT(U41):INDIRECT(V41)),0))</f>
        <v>0</v>
      </c>
      <c r="P41" s="461" t="str">
        <f t="shared" ca="1" si="4"/>
        <v/>
      </c>
      <c r="Q41" s="267">
        <f t="shared" si="13"/>
        <v>306</v>
      </c>
      <c r="R41" s="267">
        <f t="shared" si="16"/>
        <v>317</v>
      </c>
      <c r="S41" s="267" t="str">
        <f t="shared" si="5"/>
        <v>f306</v>
      </c>
      <c r="T41" s="267" t="str">
        <f t="shared" si="5"/>
        <v>f317</v>
      </c>
      <c r="U41" s="267" t="str">
        <f>CONCATENATE("G",Q41)</f>
        <v>G306</v>
      </c>
      <c r="V41" s="267" t="str">
        <f>CONCATENATE("G",R41)</f>
        <v>G317</v>
      </c>
    </row>
    <row r="42" spans="1:22">
      <c r="A42" s="295">
        <f t="shared" si="6"/>
        <v>25</v>
      </c>
      <c r="B42" s="300">
        <f t="shared" si="14"/>
        <v>732</v>
      </c>
      <c r="C42" s="296">
        <f t="shared" ca="1" si="7"/>
        <v>2</v>
      </c>
      <c r="D42" s="296"/>
      <c r="E42" s="296">
        <f>IF($D$10=1,IF(MONTH(B42)=MONTH($D$7),D41-'Sch3-Perf Period Cash Flow'!F7,0),IF(MONTH(B42)=MONTH(EDATE($D$7,11)),MIN(D30,H41)-'Sch3-Perf Period Cash Flow'!F7,0))</f>
        <v>0</v>
      </c>
      <c r="F42" s="296">
        <f t="shared" ca="1" si="9"/>
        <v>0</v>
      </c>
      <c r="G42" s="296">
        <f t="shared" ca="1" si="10"/>
        <v>0</v>
      </c>
      <c r="H42" s="296">
        <f t="shared" ca="1" si="11"/>
        <v>2</v>
      </c>
      <c r="I42" s="460">
        <f t="shared" ca="1" si="2"/>
        <v>-2</v>
      </c>
      <c r="J42" s="298">
        <f t="shared" si="12"/>
        <v>26</v>
      </c>
      <c r="K42" s="299">
        <f ca="1">'Itemized Costs-HIDDEN'!N30</f>
        <v>0</v>
      </c>
      <c r="L42" s="299">
        <v>0</v>
      </c>
      <c r="M42" s="299">
        <f ca="1">N42+O42</f>
        <v>-1</v>
      </c>
      <c r="N42" s="299">
        <f ca="1">ROUND(SUM(INDIRECT(S42):INDIRECT(T42)),0)</f>
        <v>-1</v>
      </c>
      <c r="O42" s="299">
        <f ca="1">IF(N42=0,0,ROUND(SUM(INDIRECT(U42):INDIRECT(V42)),0))</f>
        <v>0</v>
      </c>
      <c r="P42" s="461" t="str">
        <f t="shared" ca="1" si="4"/>
        <v/>
      </c>
      <c r="Q42" s="267">
        <f t="shared" si="13"/>
        <v>318</v>
      </c>
      <c r="R42" s="267">
        <f t="shared" si="16"/>
        <v>329</v>
      </c>
      <c r="S42" s="267" t="str">
        <f t="shared" si="5"/>
        <v>f318</v>
      </c>
      <c r="T42" s="267" t="str">
        <f t="shared" si="5"/>
        <v>f329</v>
      </c>
      <c r="U42" s="267" t="str">
        <f>CONCATENATE("G",Q42)</f>
        <v>G318</v>
      </c>
      <c r="V42" s="267" t="str">
        <f>CONCATENATE("G",R42)</f>
        <v>G329</v>
      </c>
    </row>
    <row r="43" spans="1:22">
      <c r="A43" s="295">
        <f t="shared" si="6"/>
        <v>26</v>
      </c>
      <c r="B43" s="300">
        <f t="shared" si="14"/>
        <v>763</v>
      </c>
      <c r="C43" s="296">
        <f t="shared" ca="1" si="7"/>
        <v>2</v>
      </c>
      <c r="D43" s="295"/>
      <c r="E43" s="296">
        <f t="shared" si="8"/>
        <v>0</v>
      </c>
      <c r="F43" s="296">
        <f t="shared" ca="1" si="9"/>
        <v>0</v>
      </c>
      <c r="G43" s="296">
        <f t="shared" ca="1" si="10"/>
        <v>0</v>
      </c>
      <c r="H43" s="296">
        <f t="shared" ca="1" si="11"/>
        <v>2</v>
      </c>
      <c r="I43" s="460">
        <f t="shared" ca="1" si="2"/>
        <v>-2</v>
      </c>
      <c r="J43" s="298">
        <f t="shared" si="12"/>
        <v>27</v>
      </c>
      <c r="K43" s="299">
        <f ca="1">'Itemized Costs-HIDDEN'!N31</f>
        <v>0</v>
      </c>
      <c r="L43" s="299">
        <v>0</v>
      </c>
      <c r="M43" s="299">
        <f ca="1">N43+O43</f>
        <v>-1</v>
      </c>
      <c r="N43" s="299">
        <f ca="1">ROUND(SUM(INDIRECT(S43):INDIRECT(T43)),0)</f>
        <v>-1</v>
      </c>
      <c r="O43" s="299">
        <f ca="1">IF(N43=0,0,ROUND(SUM(INDIRECT(U43):INDIRECT(V43)),0))</f>
        <v>0</v>
      </c>
      <c r="P43" s="461" t="str">
        <f t="shared" ca="1" si="4"/>
        <v/>
      </c>
      <c r="Q43" s="267">
        <f t="shared" si="13"/>
        <v>330</v>
      </c>
      <c r="R43" s="267">
        <f t="shared" si="16"/>
        <v>341</v>
      </c>
      <c r="S43" s="267" t="str">
        <f t="shared" si="5"/>
        <v>f330</v>
      </c>
      <c r="T43" s="267" t="str">
        <f t="shared" si="5"/>
        <v>f341</v>
      </c>
      <c r="U43" s="267" t="str">
        <f t="shared" ref="U43:V58" si="17">CONCATENATE("G",Q43)</f>
        <v>G330</v>
      </c>
      <c r="V43" s="267" t="str">
        <f t="shared" si="17"/>
        <v>G341</v>
      </c>
    </row>
    <row r="44" spans="1:22">
      <c r="A44" s="295">
        <f t="shared" si="6"/>
        <v>27</v>
      </c>
      <c r="B44" s="300">
        <f t="shared" si="14"/>
        <v>791</v>
      </c>
      <c r="C44" s="296">
        <f t="shared" ca="1" si="7"/>
        <v>2</v>
      </c>
      <c r="D44" s="295"/>
      <c r="E44" s="296">
        <f t="shared" si="8"/>
        <v>0</v>
      </c>
      <c r="F44" s="296">
        <f t="shared" ca="1" si="9"/>
        <v>0</v>
      </c>
      <c r="G44" s="296">
        <f t="shared" ca="1" si="10"/>
        <v>0</v>
      </c>
      <c r="H44" s="296">
        <f t="shared" ca="1" si="11"/>
        <v>2</v>
      </c>
      <c r="I44" s="460">
        <f t="shared" ca="1" si="2"/>
        <v>-2</v>
      </c>
      <c r="J44" s="298">
        <f t="shared" si="12"/>
        <v>28</v>
      </c>
      <c r="K44" s="299">
        <f ca="1">'Itemized Costs-HIDDEN'!N32</f>
        <v>0</v>
      </c>
      <c r="L44" s="299">
        <v>0</v>
      </c>
      <c r="M44" s="299">
        <f t="shared" ref="M44:M56" ca="1" si="18">N44+O44</f>
        <v>-1</v>
      </c>
      <c r="N44" s="299">
        <f ca="1">ROUND(SUM(INDIRECT(S44):INDIRECT(T44)),0)</f>
        <v>-1</v>
      </c>
      <c r="O44" s="299">
        <f ca="1">IF(N44=0,0,ROUND(SUM(INDIRECT(U44):INDIRECT(V44)),0))</f>
        <v>0</v>
      </c>
      <c r="P44" s="461" t="str">
        <f t="shared" ca="1" si="4"/>
        <v/>
      </c>
      <c r="Q44" s="267">
        <f t="shared" si="13"/>
        <v>342</v>
      </c>
      <c r="R44" s="267">
        <f t="shared" si="16"/>
        <v>353</v>
      </c>
      <c r="S44" s="267" t="str">
        <f t="shared" si="5"/>
        <v>f342</v>
      </c>
      <c r="T44" s="267" t="str">
        <f t="shared" si="5"/>
        <v>f353</v>
      </c>
      <c r="U44" s="267" t="str">
        <f t="shared" si="17"/>
        <v>G342</v>
      </c>
      <c r="V44" s="267" t="str">
        <f t="shared" si="17"/>
        <v>G353</v>
      </c>
    </row>
    <row r="45" spans="1:22">
      <c r="A45" s="295">
        <f t="shared" si="6"/>
        <v>28</v>
      </c>
      <c r="B45" s="300">
        <f t="shared" si="14"/>
        <v>822</v>
      </c>
      <c r="C45" s="296">
        <f t="shared" ca="1" si="7"/>
        <v>2</v>
      </c>
      <c r="D45" s="295"/>
      <c r="E45" s="296">
        <f t="shared" si="8"/>
        <v>0</v>
      </c>
      <c r="F45" s="296">
        <f t="shared" ca="1" si="9"/>
        <v>0</v>
      </c>
      <c r="G45" s="296">
        <f t="shared" ca="1" si="10"/>
        <v>0</v>
      </c>
      <c r="H45" s="296">
        <f t="shared" ca="1" si="11"/>
        <v>2</v>
      </c>
      <c r="I45" s="460">
        <f t="shared" ca="1" si="2"/>
        <v>-2</v>
      </c>
      <c r="J45" s="298">
        <f t="shared" si="12"/>
        <v>29</v>
      </c>
      <c r="K45" s="299">
        <f ca="1">'Itemized Costs-HIDDEN'!N33</f>
        <v>0</v>
      </c>
      <c r="L45" s="299">
        <v>0</v>
      </c>
      <c r="M45" s="299">
        <f t="shared" ca="1" si="18"/>
        <v>-1</v>
      </c>
      <c r="N45" s="299">
        <f ca="1">ROUND(SUM(INDIRECT(S45):INDIRECT(T45)),0)</f>
        <v>-1</v>
      </c>
      <c r="O45" s="299">
        <f ca="1">IF(N45=0,0,ROUND(SUM(INDIRECT(U45):INDIRECT(V45)),0))</f>
        <v>0</v>
      </c>
      <c r="P45" s="461" t="str">
        <f t="shared" ca="1" si="4"/>
        <v/>
      </c>
      <c r="Q45" s="267">
        <f t="shared" si="13"/>
        <v>354</v>
      </c>
      <c r="R45" s="267">
        <f t="shared" si="16"/>
        <v>365</v>
      </c>
      <c r="S45" s="267" t="str">
        <f t="shared" si="5"/>
        <v>f354</v>
      </c>
      <c r="T45" s="267" t="str">
        <f t="shared" si="5"/>
        <v>f365</v>
      </c>
      <c r="U45" s="267" t="str">
        <f t="shared" si="17"/>
        <v>G354</v>
      </c>
      <c r="V45" s="267" t="str">
        <f t="shared" si="17"/>
        <v>G365</v>
      </c>
    </row>
    <row r="46" spans="1:22">
      <c r="A46" s="295">
        <f t="shared" si="6"/>
        <v>29</v>
      </c>
      <c r="B46" s="300">
        <f t="shared" si="14"/>
        <v>852</v>
      </c>
      <c r="C46" s="296">
        <f t="shared" ca="1" si="7"/>
        <v>2</v>
      </c>
      <c r="D46" s="295"/>
      <c r="E46" s="296">
        <f t="shared" si="8"/>
        <v>0</v>
      </c>
      <c r="F46" s="296">
        <f t="shared" ca="1" si="9"/>
        <v>0</v>
      </c>
      <c r="G46" s="296">
        <f t="shared" ca="1" si="10"/>
        <v>0</v>
      </c>
      <c r="H46" s="296">
        <f t="shared" ca="1" si="11"/>
        <v>2</v>
      </c>
      <c r="I46" s="460">
        <f t="shared" ca="1" si="2"/>
        <v>-2</v>
      </c>
      <c r="J46" s="298">
        <f t="shared" si="12"/>
        <v>30</v>
      </c>
      <c r="K46" s="299">
        <f ca="1">'Itemized Costs-HIDDEN'!N34</f>
        <v>0</v>
      </c>
      <c r="L46" s="299">
        <v>0</v>
      </c>
      <c r="M46" s="299">
        <f t="shared" ca="1" si="18"/>
        <v>-1</v>
      </c>
      <c r="N46" s="299">
        <f ca="1">ROUND(SUM(INDIRECT(S46):INDIRECT(T46)),0)</f>
        <v>-1</v>
      </c>
      <c r="O46" s="299">
        <f ca="1">IF(N46=0,0,ROUND(SUM(INDIRECT(U46):INDIRECT(V46)),0))</f>
        <v>0</v>
      </c>
      <c r="P46" s="461" t="str">
        <f t="shared" ca="1" si="4"/>
        <v/>
      </c>
      <c r="Q46" s="267">
        <f t="shared" si="13"/>
        <v>366</v>
      </c>
      <c r="R46" s="267">
        <f t="shared" si="16"/>
        <v>377</v>
      </c>
      <c r="S46" s="267" t="str">
        <f t="shared" si="5"/>
        <v>f366</v>
      </c>
      <c r="T46" s="267" t="str">
        <f t="shared" si="5"/>
        <v>f377</v>
      </c>
      <c r="U46" s="267" t="str">
        <f t="shared" si="17"/>
        <v>G366</v>
      </c>
      <c r="V46" s="267" t="str">
        <f t="shared" si="17"/>
        <v>G377</v>
      </c>
    </row>
    <row r="47" spans="1:22">
      <c r="A47" s="295">
        <f t="shared" si="6"/>
        <v>30</v>
      </c>
      <c r="B47" s="300">
        <f t="shared" si="14"/>
        <v>883</v>
      </c>
      <c r="C47" s="296">
        <f t="shared" ca="1" si="7"/>
        <v>2</v>
      </c>
      <c r="D47" s="295"/>
      <c r="E47" s="296">
        <f t="shared" si="8"/>
        <v>0</v>
      </c>
      <c r="F47" s="296">
        <f t="shared" ca="1" si="9"/>
        <v>0</v>
      </c>
      <c r="G47" s="296">
        <f t="shared" ca="1" si="10"/>
        <v>0</v>
      </c>
      <c r="H47" s="296">
        <f t="shared" ca="1" si="11"/>
        <v>2</v>
      </c>
      <c r="I47" s="460">
        <f t="shared" ca="1" si="2"/>
        <v>-2</v>
      </c>
      <c r="J47" s="298">
        <f t="shared" si="12"/>
        <v>31</v>
      </c>
      <c r="K47" s="299">
        <f ca="1">'Itemized Costs-HIDDEN'!N35</f>
        <v>0</v>
      </c>
      <c r="L47" s="299">
        <v>0</v>
      </c>
      <c r="M47" s="299">
        <f t="shared" ca="1" si="18"/>
        <v>-1</v>
      </c>
      <c r="N47" s="299">
        <f ca="1">ROUND(SUM(INDIRECT(S47):INDIRECT(T47)),0)</f>
        <v>-1</v>
      </c>
      <c r="O47" s="299">
        <f ca="1">IF(N47=0,0,ROUND(SUM(INDIRECT(U47):INDIRECT(V47)),0))</f>
        <v>0</v>
      </c>
      <c r="P47" s="461" t="str">
        <f t="shared" ca="1" si="4"/>
        <v/>
      </c>
      <c r="Q47" s="267">
        <f t="shared" si="13"/>
        <v>378</v>
      </c>
      <c r="R47" s="267">
        <f t="shared" si="16"/>
        <v>389</v>
      </c>
      <c r="S47" s="267" t="str">
        <f t="shared" si="5"/>
        <v>f378</v>
      </c>
      <c r="T47" s="267" t="str">
        <f t="shared" si="5"/>
        <v>f389</v>
      </c>
      <c r="U47" s="267" t="str">
        <f t="shared" si="17"/>
        <v>G378</v>
      </c>
      <c r="V47" s="267" t="str">
        <f t="shared" si="17"/>
        <v>G389</v>
      </c>
    </row>
    <row r="48" spans="1:22">
      <c r="A48" s="295">
        <f t="shared" si="6"/>
        <v>31</v>
      </c>
      <c r="B48" s="300">
        <f t="shared" si="14"/>
        <v>913</v>
      </c>
      <c r="C48" s="296">
        <f t="shared" ca="1" si="7"/>
        <v>2</v>
      </c>
      <c r="D48" s="295"/>
      <c r="E48" s="296">
        <f t="shared" si="8"/>
        <v>0</v>
      </c>
      <c r="F48" s="296">
        <f t="shared" ca="1" si="9"/>
        <v>0</v>
      </c>
      <c r="G48" s="296">
        <f t="shared" ca="1" si="10"/>
        <v>0</v>
      </c>
      <c r="H48" s="296">
        <f t="shared" ca="1" si="11"/>
        <v>2</v>
      </c>
      <c r="I48" s="460">
        <f t="shared" ca="1" si="2"/>
        <v>-2</v>
      </c>
      <c r="J48" s="298">
        <f t="shared" si="12"/>
        <v>32</v>
      </c>
      <c r="K48" s="299">
        <f ca="1">'Itemized Costs-HIDDEN'!N36</f>
        <v>0</v>
      </c>
      <c r="L48" s="299">
        <v>0</v>
      </c>
      <c r="M48" s="299">
        <f t="shared" ca="1" si="18"/>
        <v>-1</v>
      </c>
      <c r="N48" s="299">
        <f ca="1">ROUND(SUM(INDIRECT(S48):INDIRECT(T48)),0)</f>
        <v>-1</v>
      </c>
      <c r="O48" s="299">
        <f ca="1">IF(N48=0,0,ROUND(SUM(INDIRECT(U48):INDIRECT(V48)),0))</f>
        <v>0</v>
      </c>
      <c r="P48" s="461" t="str">
        <f t="shared" ca="1" si="4"/>
        <v/>
      </c>
      <c r="Q48" s="267">
        <f t="shared" si="13"/>
        <v>390</v>
      </c>
      <c r="R48" s="267">
        <f t="shared" si="16"/>
        <v>401</v>
      </c>
      <c r="S48" s="267" t="str">
        <f t="shared" si="5"/>
        <v>f390</v>
      </c>
      <c r="T48" s="267" t="str">
        <f t="shared" si="5"/>
        <v>f401</v>
      </c>
      <c r="U48" s="267" t="str">
        <f t="shared" si="17"/>
        <v>G390</v>
      </c>
      <c r="V48" s="267" t="str">
        <f t="shared" si="17"/>
        <v>G401</v>
      </c>
    </row>
    <row r="49" spans="1:22">
      <c r="A49" s="295">
        <f t="shared" si="6"/>
        <v>32</v>
      </c>
      <c r="B49" s="300">
        <f t="shared" si="14"/>
        <v>944</v>
      </c>
      <c r="C49" s="296">
        <f t="shared" ca="1" si="7"/>
        <v>2</v>
      </c>
      <c r="D49" s="295"/>
      <c r="E49" s="296">
        <f t="shared" si="8"/>
        <v>0</v>
      </c>
      <c r="F49" s="296">
        <f t="shared" ca="1" si="9"/>
        <v>0</v>
      </c>
      <c r="G49" s="296">
        <f t="shared" ca="1" si="10"/>
        <v>0</v>
      </c>
      <c r="H49" s="296">
        <f t="shared" ca="1" si="11"/>
        <v>2</v>
      </c>
      <c r="I49" s="460">
        <f t="shared" ca="1" si="2"/>
        <v>-2</v>
      </c>
      <c r="J49" s="298">
        <f t="shared" si="12"/>
        <v>33</v>
      </c>
      <c r="K49" s="299">
        <f ca="1">'Itemized Costs-HIDDEN'!N37</f>
        <v>0</v>
      </c>
      <c r="L49" s="299">
        <v>0</v>
      </c>
      <c r="M49" s="299">
        <f t="shared" ca="1" si="18"/>
        <v>-1</v>
      </c>
      <c r="N49" s="299">
        <f ca="1">ROUND(SUM(INDIRECT(S49):INDIRECT(T49)),0)</f>
        <v>-1</v>
      </c>
      <c r="O49" s="299">
        <f ca="1">IF(N49=0,0,ROUND(SUM(INDIRECT(U49):INDIRECT(V49)),0))</f>
        <v>0</v>
      </c>
      <c r="P49" s="461" t="str">
        <f t="shared" ca="1" si="4"/>
        <v/>
      </c>
      <c r="Q49" s="267">
        <f t="shared" si="13"/>
        <v>402</v>
      </c>
      <c r="R49" s="267">
        <f t="shared" si="16"/>
        <v>413</v>
      </c>
      <c r="S49" s="267" t="str">
        <f t="shared" si="5"/>
        <v>f402</v>
      </c>
      <c r="T49" s="267" t="str">
        <f t="shared" si="5"/>
        <v>f413</v>
      </c>
      <c r="U49" s="267" t="str">
        <f t="shared" si="17"/>
        <v>G402</v>
      </c>
      <c r="V49" s="267" t="str">
        <f t="shared" si="17"/>
        <v>G413</v>
      </c>
    </row>
    <row r="50" spans="1:22">
      <c r="A50" s="295">
        <f t="shared" si="6"/>
        <v>33</v>
      </c>
      <c r="B50" s="300">
        <f t="shared" si="14"/>
        <v>975</v>
      </c>
      <c r="C50" s="296">
        <f t="shared" ca="1" si="7"/>
        <v>2</v>
      </c>
      <c r="D50" s="295"/>
      <c r="E50" s="296">
        <f t="shared" si="8"/>
        <v>0</v>
      </c>
      <c r="F50" s="296">
        <f t="shared" ca="1" si="9"/>
        <v>0</v>
      </c>
      <c r="G50" s="296">
        <f t="shared" ca="1" si="10"/>
        <v>0</v>
      </c>
      <c r="H50" s="296">
        <f t="shared" ca="1" si="11"/>
        <v>2</v>
      </c>
      <c r="I50" s="460">
        <f t="shared" ca="1" si="2"/>
        <v>-2</v>
      </c>
      <c r="J50" s="298">
        <f t="shared" si="12"/>
        <v>34</v>
      </c>
      <c r="K50" s="299">
        <f ca="1">'Itemized Costs-HIDDEN'!N38</f>
        <v>0</v>
      </c>
      <c r="L50" s="299">
        <v>0</v>
      </c>
      <c r="M50" s="299">
        <f t="shared" ca="1" si="18"/>
        <v>-1</v>
      </c>
      <c r="N50" s="299">
        <f ca="1">ROUND(SUM(INDIRECT(S50):INDIRECT(T50)),0)</f>
        <v>-1</v>
      </c>
      <c r="O50" s="299">
        <f ca="1">IF(N50=0,0,ROUND(SUM(INDIRECT(U50):INDIRECT(V50)),0))</f>
        <v>0</v>
      </c>
      <c r="P50" s="461" t="str">
        <f t="shared" ca="1" si="4"/>
        <v/>
      </c>
      <c r="Q50" s="267">
        <f t="shared" si="13"/>
        <v>414</v>
      </c>
      <c r="R50" s="267">
        <f t="shared" si="16"/>
        <v>425</v>
      </c>
      <c r="S50" s="267" t="str">
        <f t="shared" si="5"/>
        <v>f414</v>
      </c>
      <c r="T50" s="267" t="str">
        <f t="shared" si="5"/>
        <v>f425</v>
      </c>
      <c r="U50" s="267" t="str">
        <f t="shared" si="17"/>
        <v>G414</v>
      </c>
      <c r="V50" s="267" t="str">
        <f t="shared" si="17"/>
        <v>G425</v>
      </c>
    </row>
    <row r="51" spans="1:22">
      <c r="A51" s="295">
        <f t="shared" si="6"/>
        <v>34</v>
      </c>
      <c r="B51" s="300">
        <f t="shared" si="14"/>
        <v>1005</v>
      </c>
      <c r="C51" s="296">
        <f t="shared" ca="1" si="7"/>
        <v>2</v>
      </c>
      <c r="D51" s="295"/>
      <c r="E51" s="296">
        <f t="shared" si="8"/>
        <v>0</v>
      </c>
      <c r="F51" s="296">
        <f t="shared" ca="1" si="9"/>
        <v>0</v>
      </c>
      <c r="G51" s="296">
        <f t="shared" ca="1" si="10"/>
        <v>0</v>
      </c>
      <c r="H51" s="296">
        <f t="shared" ca="1" si="11"/>
        <v>2</v>
      </c>
      <c r="I51" s="460">
        <f t="shared" ca="1" si="2"/>
        <v>-2</v>
      </c>
      <c r="J51" s="298">
        <f t="shared" si="12"/>
        <v>35</v>
      </c>
      <c r="K51" s="299">
        <f ca="1">'Itemized Costs-HIDDEN'!N39</f>
        <v>0</v>
      </c>
      <c r="L51" s="299">
        <v>0</v>
      </c>
      <c r="M51" s="299">
        <f t="shared" ca="1" si="18"/>
        <v>-1</v>
      </c>
      <c r="N51" s="299">
        <f ca="1">ROUND(SUM(INDIRECT(S51):INDIRECT(T51)),0)</f>
        <v>-1</v>
      </c>
      <c r="O51" s="299">
        <f ca="1">IF(N51=0,0,ROUND(SUM(INDIRECT(U51):INDIRECT(V51)),0))</f>
        <v>0</v>
      </c>
      <c r="P51" s="461" t="str">
        <f t="shared" ca="1" si="4"/>
        <v/>
      </c>
      <c r="Q51" s="267">
        <f t="shared" si="13"/>
        <v>426</v>
      </c>
      <c r="R51" s="267">
        <f t="shared" si="16"/>
        <v>437</v>
      </c>
      <c r="S51" s="267" t="str">
        <f t="shared" si="5"/>
        <v>f426</v>
      </c>
      <c r="T51" s="267" t="str">
        <f t="shared" si="5"/>
        <v>f437</v>
      </c>
      <c r="U51" s="267" t="str">
        <f t="shared" si="17"/>
        <v>G426</v>
      </c>
      <c r="V51" s="267" t="str">
        <f t="shared" si="17"/>
        <v>G437</v>
      </c>
    </row>
    <row r="52" spans="1:22">
      <c r="A52" s="295">
        <f t="shared" si="6"/>
        <v>35</v>
      </c>
      <c r="B52" s="300">
        <f t="shared" si="14"/>
        <v>1036</v>
      </c>
      <c r="C52" s="296">
        <f t="shared" ca="1" si="7"/>
        <v>2</v>
      </c>
      <c r="D52" s="295"/>
      <c r="E52" s="296">
        <f>IF($D$10=1,IF(MONTH(B52)=MONTH($D$7),D51-'Sch3-Perf Period Cash Flow'!F7,0),IF(MONTH(B52)=MONTH(EDATE($D$7,11)),IF(AND(H51&gt;D41,H51&lt;K19-L19), H51, MIN(D41,H51))-'Sch3-Perf Period Cash Flow'!F7,0))</f>
        <v>0</v>
      </c>
      <c r="F52" s="296">
        <f t="shared" ca="1" si="9"/>
        <v>0</v>
      </c>
      <c r="G52" s="296">
        <f t="shared" ca="1" si="10"/>
        <v>0</v>
      </c>
      <c r="H52" s="296">
        <f t="shared" ca="1" si="11"/>
        <v>2</v>
      </c>
      <c r="I52" s="460">
        <f t="shared" ca="1" si="2"/>
        <v>-2</v>
      </c>
      <c r="J52" s="298">
        <f t="shared" si="12"/>
        <v>36</v>
      </c>
      <c r="K52" s="299">
        <f ca="1">'Itemized Costs-HIDDEN'!N40</f>
        <v>0</v>
      </c>
      <c r="L52" s="299">
        <v>0</v>
      </c>
      <c r="M52" s="299">
        <f t="shared" ca="1" si="18"/>
        <v>-1</v>
      </c>
      <c r="N52" s="299">
        <f ca="1">ROUND(SUM(INDIRECT(S52):INDIRECT(T52)),0)</f>
        <v>-1</v>
      </c>
      <c r="O52" s="299">
        <f ca="1">IF(N52=0,0,ROUND(SUM(INDIRECT(U52):INDIRECT(V52)),0))</f>
        <v>0</v>
      </c>
      <c r="P52" s="461" t="str">
        <f t="shared" ca="1" si="4"/>
        <v/>
      </c>
      <c r="Q52" s="267">
        <f t="shared" si="13"/>
        <v>438</v>
      </c>
      <c r="R52" s="267">
        <f t="shared" si="16"/>
        <v>449</v>
      </c>
      <c r="S52" s="267" t="str">
        <f t="shared" si="5"/>
        <v>f438</v>
      </c>
      <c r="T52" s="267" t="str">
        <f t="shared" si="5"/>
        <v>f449</v>
      </c>
      <c r="U52" s="267" t="str">
        <f t="shared" si="17"/>
        <v>G438</v>
      </c>
      <c r="V52" s="267" t="str">
        <f t="shared" si="17"/>
        <v>G449</v>
      </c>
    </row>
    <row r="53" spans="1:22">
      <c r="A53" s="295">
        <f t="shared" si="6"/>
        <v>36</v>
      </c>
      <c r="B53" s="300">
        <f t="shared" si="14"/>
        <v>1066</v>
      </c>
      <c r="C53" s="296">
        <f t="shared" ca="1" si="7"/>
        <v>2</v>
      </c>
      <c r="D53" s="296">
        <f ca="1">IF(H53&lt;0,0,IF((H52+G53)&lt;(K20-L20),H52+G53,K20-L20))</f>
        <v>0</v>
      </c>
      <c r="E53" s="296">
        <f ca="1">IF($D$10=1,IF(MONTH(B53)=MONTH($D$7),D52-'Sch3-Perf Period Cash Flow'!F7,0),IF(MONTH(B53)=MONTH(EDATE($D$7,11)),MIN(D41,H52)-'Sch3-Perf Period Cash Flow'!F7,0))</f>
        <v>-1</v>
      </c>
      <c r="F53" s="296">
        <f t="shared" ca="1" si="9"/>
        <v>-1</v>
      </c>
      <c r="G53" s="296">
        <f t="shared" ca="1" si="10"/>
        <v>0</v>
      </c>
      <c r="H53" s="296">
        <f t="shared" ca="1" si="11"/>
        <v>3</v>
      </c>
      <c r="I53" s="460">
        <f t="shared" ca="1" si="2"/>
        <v>-3</v>
      </c>
      <c r="J53" s="298">
        <f t="shared" si="12"/>
        <v>37</v>
      </c>
      <c r="K53" s="299">
        <f ca="1">'Itemized Costs-HIDDEN'!N41</f>
        <v>0</v>
      </c>
      <c r="L53" s="299">
        <v>0</v>
      </c>
      <c r="M53" s="299">
        <f t="shared" ca="1" si="18"/>
        <v>-1</v>
      </c>
      <c r="N53" s="299">
        <f ca="1">ROUND(SUM(INDIRECT(S53):INDIRECT(T53)),0)</f>
        <v>-1</v>
      </c>
      <c r="O53" s="299">
        <f ca="1">IF(N53=0,0,ROUND(SUM(INDIRECT(U53):INDIRECT(V53)),0))</f>
        <v>0</v>
      </c>
      <c r="P53" s="461" t="str">
        <f t="shared" ca="1" si="4"/>
        <v/>
      </c>
      <c r="Q53" s="267">
        <f t="shared" si="13"/>
        <v>450</v>
      </c>
      <c r="R53" s="267">
        <f t="shared" si="16"/>
        <v>461</v>
      </c>
      <c r="S53" s="267" t="str">
        <f t="shared" si="5"/>
        <v>f450</v>
      </c>
      <c r="T53" s="267" t="str">
        <f t="shared" si="5"/>
        <v>f461</v>
      </c>
      <c r="U53" s="267" t="str">
        <f t="shared" si="17"/>
        <v>G450</v>
      </c>
      <c r="V53" s="267" t="str">
        <f t="shared" si="17"/>
        <v>G461</v>
      </c>
    </row>
    <row r="54" spans="1:22">
      <c r="A54" s="295">
        <f t="shared" si="6"/>
        <v>37</v>
      </c>
      <c r="B54" s="300">
        <f t="shared" si="14"/>
        <v>1097</v>
      </c>
      <c r="C54" s="296">
        <f t="shared" ca="1" si="7"/>
        <v>3</v>
      </c>
      <c r="D54" s="296"/>
      <c r="E54" s="296">
        <f>IF($D$10=1,IF(MONTH(B54)=MONTH($D$7),D53-'Sch3-Perf Period Cash Flow'!G7,0),IF(MONTH(B54)=MONTH(EDATE($D$7,11)),MIN(D42,H53)-'Sch3-Perf Period Cash Flow'!G7,0))</f>
        <v>0</v>
      </c>
      <c r="F54" s="296">
        <f t="shared" ca="1" si="9"/>
        <v>0</v>
      </c>
      <c r="G54" s="296">
        <f t="shared" ca="1" si="10"/>
        <v>0</v>
      </c>
      <c r="H54" s="296">
        <f t="shared" ca="1" si="11"/>
        <v>3</v>
      </c>
      <c r="I54" s="460">
        <f t="shared" ca="1" si="2"/>
        <v>-3</v>
      </c>
      <c r="J54" s="298">
        <f t="shared" si="12"/>
        <v>38</v>
      </c>
      <c r="K54" s="299">
        <f ca="1">'Itemized Costs-HIDDEN'!N42</f>
        <v>0</v>
      </c>
      <c r="L54" s="299">
        <v>0</v>
      </c>
      <c r="M54" s="299">
        <f t="shared" ca="1" si="18"/>
        <v>-1</v>
      </c>
      <c r="N54" s="299">
        <f ca="1">ROUND(SUM(INDIRECT(S54):INDIRECT(T54)),0)</f>
        <v>-1</v>
      </c>
      <c r="O54" s="299">
        <f ca="1">IF(N54=0,0,ROUND(SUM(INDIRECT(U54):INDIRECT(V54)),0))</f>
        <v>0</v>
      </c>
      <c r="P54" s="461" t="str">
        <f t="shared" ca="1" si="4"/>
        <v/>
      </c>
      <c r="Q54" s="267">
        <f t="shared" si="13"/>
        <v>462</v>
      </c>
      <c r="R54" s="267">
        <f t="shared" si="16"/>
        <v>473</v>
      </c>
      <c r="S54" s="267" t="str">
        <f t="shared" si="5"/>
        <v>f462</v>
      </c>
      <c r="T54" s="267" t="str">
        <f t="shared" si="5"/>
        <v>f473</v>
      </c>
      <c r="U54" s="267" t="str">
        <f t="shared" si="17"/>
        <v>G462</v>
      </c>
      <c r="V54" s="267" t="str">
        <f t="shared" si="17"/>
        <v>G473</v>
      </c>
    </row>
    <row r="55" spans="1:22">
      <c r="A55" s="295">
        <f t="shared" si="6"/>
        <v>38</v>
      </c>
      <c r="B55" s="300">
        <f t="shared" si="14"/>
        <v>1128</v>
      </c>
      <c r="C55" s="296">
        <f t="shared" ca="1" si="7"/>
        <v>3</v>
      </c>
      <c r="D55" s="295"/>
      <c r="E55" s="296">
        <f t="shared" si="8"/>
        <v>0</v>
      </c>
      <c r="F55" s="296">
        <f t="shared" ca="1" si="9"/>
        <v>0</v>
      </c>
      <c r="G55" s="296">
        <f t="shared" ca="1" si="10"/>
        <v>0</v>
      </c>
      <c r="H55" s="296">
        <f t="shared" ca="1" si="11"/>
        <v>3</v>
      </c>
      <c r="I55" s="460">
        <f t="shared" ca="1" si="2"/>
        <v>-3</v>
      </c>
      <c r="J55" s="298">
        <f t="shared" si="12"/>
        <v>39</v>
      </c>
      <c r="K55" s="299">
        <f ca="1">'Itemized Costs-HIDDEN'!N43</f>
        <v>0</v>
      </c>
      <c r="L55" s="299">
        <v>0</v>
      </c>
      <c r="M55" s="299">
        <f t="shared" ca="1" si="18"/>
        <v>-1</v>
      </c>
      <c r="N55" s="299">
        <f ca="1">ROUND(SUM(INDIRECT(S55):INDIRECT(T55)),0)</f>
        <v>-1</v>
      </c>
      <c r="O55" s="299">
        <f ca="1">IF(N55=0,0,ROUND(SUM(INDIRECT(U55):INDIRECT(V55)),0))</f>
        <v>0</v>
      </c>
      <c r="P55" s="461" t="str">
        <f t="shared" ca="1" si="4"/>
        <v/>
      </c>
      <c r="Q55" s="267">
        <f t="shared" si="13"/>
        <v>474</v>
      </c>
      <c r="R55" s="267">
        <f t="shared" si="16"/>
        <v>485</v>
      </c>
      <c r="S55" s="267" t="str">
        <f t="shared" si="5"/>
        <v>f474</v>
      </c>
      <c r="T55" s="267" t="str">
        <f t="shared" si="5"/>
        <v>f485</v>
      </c>
      <c r="U55" s="267" t="str">
        <f t="shared" si="17"/>
        <v>G474</v>
      </c>
      <c r="V55" s="267" t="str">
        <f t="shared" si="17"/>
        <v>G485</v>
      </c>
    </row>
    <row r="56" spans="1:22">
      <c r="A56" s="295">
        <f t="shared" si="6"/>
        <v>39</v>
      </c>
      <c r="B56" s="300">
        <f t="shared" si="14"/>
        <v>1156</v>
      </c>
      <c r="C56" s="296">
        <f t="shared" ca="1" si="7"/>
        <v>3</v>
      </c>
      <c r="D56" s="295"/>
      <c r="E56" s="296">
        <f t="shared" si="8"/>
        <v>0</v>
      </c>
      <c r="F56" s="296">
        <f t="shared" ca="1" si="9"/>
        <v>0</v>
      </c>
      <c r="G56" s="296">
        <f t="shared" ca="1" si="10"/>
        <v>0</v>
      </c>
      <c r="H56" s="296">
        <f t="shared" ca="1" si="11"/>
        <v>3</v>
      </c>
      <c r="I56" s="460">
        <f t="shared" ca="1" si="2"/>
        <v>-3</v>
      </c>
      <c r="J56" s="298">
        <f t="shared" si="12"/>
        <v>40</v>
      </c>
      <c r="K56" s="299">
        <f ca="1">'Itemized Costs-HIDDEN'!N44</f>
        <v>0</v>
      </c>
      <c r="L56" s="299">
        <v>0</v>
      </c>
      <c r="M56" s="299">
        <f t="shared" ca="1" si="18"/>
        <v>-1</v>
      </c>
      <c r="N56" s="299">
        <f ca="1">ROUND(SUM(INDIRECT(S56):INDIRECT(T56)),0)</f>
        <v>-1</v>
      </c>
      <c r="O56" s="299">
        <f ca="1">IF(N56=0,0,ROUND(SUM(INDIRECT(U56):INDIRECT(V56)),0))</f>
        <v>0</v>
      </c>
      <c r="P56" s="461" t="str">
        <f t="shared" ca="1" si="4"/>
        <v/>
      </c>
      <c r="Q56" s="267">
        <f t="shared" si="13"/>
        <v>486</v>
      </c>
      <c r="R56" s="267">
        <f t="shared" si="16"/>
        <v>497</v>
      </c>
      <c r="S56" s="267" t="str">
        <f t="shared" si="5"/>
        <v>f486</v>
      </c>
      <c r="T56" s="267" t="str">
        <f t="shared" si="5"/>
        <v>f497</v>
      </c>
      <c r="U56" s="267" t="str">
        <f t="shared" si="17"/>
        <v>G486</v>
      </c>
      <c r="V56" s="267" t="str">
        <f t="shared" si="17"/>
        <v>G497</v>
      </c>
    </row>
    <row r="57" spans="1:22">
      <c r="A57" s="295">
        <f t="shared" si="6"/>
        <v>40</v>
      </c>
      <c r="B57" s="300">
        <f t="shared" si="14"/>
        <v>1187</v>
      </c>
      <c r="C57" s="296">
        <f t="shared" ca="1" si="7"/>
        <v>3</v>
      </c>
      <c r="D57" s="295"/>
      <c r="E57" s="296">
        <f t="shared" si="8"/>
        <v>0</v>
      </c>
      <c r="F57" s="296">
        <f t="shared" ca="1" si="9"/>
        <v>0</v>
      </c>
      <c r="G57" s="296">
        <f t="shared" ca="1" si="10"/>
        <v>0</v>
      </c>
      <c r="H57" s="296">
        <f t="shared" ca="1" si="11"/>
        <v>3</v>
      </c>
      <c r="I57" s="460">
        <f t="shared" ca="1" si="2"/>
        <v>-3</v>
      </c>
      <c r="J57" s="298"/>
      <c r="K57" s="299"/>
      <c r="L57" s="299"/>
      <c r="M57" s="299"/>
      <c r="N57" s="299"/>
      <c r="O57" s="299"/>
      <c r="P57" s="461" t="str">
        <f t="shared" si="4"/>
        <v/>
      </c>
      <c r="Q57" s="267">
        <f t="shared" si="13"/>
        <v>498</v>
      </c>
      <c r="R57" s="267">
        <f t="shared" si="16"/>
        <v>509</v>
      </c>
      <c r="S57" s="267" t="str">
        <f t="shared" si="5"/>
        <v>f498</v>
      </c>
      <c r="T57" s="267" t="str">
        <f t="shared" si="5"/>
        <v>f509</v>
      </c>
      <c r="U57" s="267" t="str">
        <f t="shared" si="17"/>
        <v>G498</v>
      </c>
      <c r="V57" s="267" t="str">
        <f t="shared" si="17"/>
        <v>G509</v>
      </c>
    </row>
    <row r="58" spans="1:22">
      <c r="A58" s="295">
        <f t="shared" si="6"/>
        <v>41</v>
      </c>
      <c r="B58" s="300">
        <f t="shared" si="14"/>
        <v>1217</v>
      </c>
      <c r="C58" s="296">
        <f t="shared" ca="1" si="7"/>
        <v>3</v>
      </c>
      <c r="D58" s="295"/>
      <c r="E58" s="296">
        <f t="shared" si="8"/>
        <v>0</v>
      </c>
      <c r="F58" s="296">
        <f t="shared" ca="1" si="9"/>
        <v>0</v>
      </c>
      <c r="G58" s="296">
        <f t="shared" ca="1" si="10"/>
        <v>0</v>
      </c>
      <c r="H58" s="296">
        <f t="shared" ca="1" si="11"/>
        <v>3</v>
      </c>
      <c r="I58" s="460">
        <f t="shared" ca="1" si="2"/>
        <v>-3</v>
      </c>
      <c r="J58" s="298"/>
      <c r="K58" s="299"/>
      <c r="L58" s="299"/>
      <c r="M58" s="299"/>
      <c r="N58" s="299"/>
      <c r="O58" s="299"/>
      <c r="P58" s="461" t="str">
        <f t="shared" si="4"/>
        <v/>
      </c>
      <c r="Q58" s="267">
        <f t="shared" si="13"/>
        <v>510</v>
      </c>
      <c r="R58" s="267">
        <f t="shared" si="16"/>
        <v>521</v>
      </c>
      <c r="S58" s="267" t="str">
        <f t="shared" si="5"/>
        <v>f510</v>
      </c>
      <c r="T58" s="267" t="str">
        <f t="shared" si="5"/>
        <v>f521</v>
      </c>
      <c r="U58" s="267" t="str">
        <f t="shared" si="17"/>
        <v>G510</v>
      </c>
      <c r="V58" s="267" t="str">
        <f t="shared" si="17"/>
        <v>G521</v>
      </c>
    </row>
    <row r="59" spans="1:22">
      <c r="A59" s="295">
        <f t="shared" si="6"/>
        <v>42</v>
      </c>
      <c r="B59" s="300">
        <f t="shared" si="14"/>
        <v>1248</v>
      </c>
      <c r="C59" s="296">
        <f t="shared" ca="1" si="7"/>
        <v>3</v>
      </c>
      <c r="D59" s="295"/>
      <c r="E59" s="296">
        <f t="shared" si="8"/>
        <v>0</v>
      </c>
      <c r="F59" s="296">
        <f t="shared" ca="1" si="9"/>
        <v>0</v>
      </c>
      <c r="G59" s="296">
        <f t="shared" ca="1" si="10"/>
        <v>0</v>
      </c>
      <c r="H59" s="296">
        <f t="shared" ca="1" si="11"/>
        <v>3</v>
      </c>
      <c r="I59" s="460">
        <f t="shared" ca="1" si="2"/>
        <v>-3</v>
      </c>
      <c r="J59" s="298"/>
      <c r="K59" s="299"/>
      <c r="L59" s="299"/>
      <c r="M59" s="299"/>
      <c r="N59" s="299"/>
      <c r="O59" s="299"/>
      <c r="P59" s="461" t="str">
        <f t="shared" si="4"/>
        <v/>
      </c>
      <c r="Q59" s="267">
        <f t="shared" si="13"/>
        <v>522</v>
      </c>
      <c r="R59" s="267">
        <f t="shared" si="16"/>
        <v>533</v>
      </c>
      <c r="S59" s="267" t="str">
        <f t="shared" si="5"/>
        <v>f522</v>
      </c>
      <c r="T59" s="267" t="str">
        <f t="shared" si="5"/>
        <v>f533</v>
      </c>
      <c r="U59" s="267" t="str">
        <f t="shared" ref="U59:V72" si="19">CONCATENATE("G",Q59)</f>
        <v>G522</v>
      </c>
      <c r="V59" s="267" t="str">
        <f t="shared" si="19"/>
        <v>G533</v>
      </c>
    </row>
    <row r="60" spans="1:22">
      <c r="A60" s="295">
        <f t="shared" si="6"/>
        <v>43</v>
      </c>
      <c r="B60" s="300">
        <f t="shared" si="14"/>
        <v>1278</v>
      </c>
      <c r="C60" s="296">
        <f t="shared" ca="1" si="7"/>
        <v>3</v>
      </c>
      <c r="D60" s="295"/>
      <c r="E60" s="296">
        <f t="shared" si="8"/>
        <v>0</v>
      </c>
      <c r="F60" s="296">
        <f t="shared" ca="1" si="9"/>
        <v>0</v>
      </c>
      <c r="G60" s="296">
        <f t="shared" ca="1" si="10"/>
        <v>0</v>
      </c>
      <c r="H60" s="296">
        <f t="shared" ca="1" si="11"/>
        <v>3</v>
      </c>
      <c r="I60" s="460">
        <f t="shared" ca="1" si="2"/>
        <v>-3</v>
      </c>
      <c r="J60" s="298"/>
      <c r="K60" s="299"/>
      <c r="L60" s="299"/>
      <c r="M60" s="299"/>
      <c r="N60" s="299"/>
      <c r="O60" s="299"/>
      <c r="P60" s="461" t="str">
        <f t="shared" si="4"/>
        <v/>
      </c>
      <c r="Q60" s="267">
        <f t="shared" si="13"/>
        <v>534</v>
      </c>
      <c r="R60" s="267">
        <f t="shared" si="16"/>
        <v>545</v>
      </c>
      <c r="S60" s="267" t="str">
        <f t="shared" si="5"/>
        <v>f534</v>
      </c>
      <c r="T60" s="267" t="str">
        <f t="shared" si="5"/>
        <v>f545</v>
      </c>
      <c r="U60" s="267" t="str">
        <f t="shared" si="19"/>
        <v>G534</v>
      </c>
      <c r="V60" s="267" t="str">
        <f t="shared" si="19"/>
        <v>G545</v>
      </c>
    </row>
    <row r="61" spans="1:22">
      <c r="A61" s="295">
        <f t="shared" si="6"/>
        <v>44</v>
      </c>
      <c r="B61" s="300">
        <f t="shared" si="14"/>
        <v>1309</v>
      </c>
      <c r="C61" s="296">
        <f t="shared" ca="1" si="7"/>
        <v>3</v>
      </c>
      <c r="D61" s="295"/>
      <c r="E61" s="296">
        <f t="shared" si="8"/>
        <v>0</v>
      </c>
      <c r="F61" s="296">
        <f t="shared" ca="1" si="9"/>
        <v>0</v>
      </c>
      <c r="G61" s="296">
        <f t="shared" ca="1" si="10"/>
        <v>0</v>
      </c>
      <c r="H61" s="296">
        <f t="shared" ca="1" si="11"/>
        <v>3</v>
      </c>
      <c r="I61" s="460">
        <f t="shared" ca="1" si="2"/>
        <v>-3</v>
      </c>
      <c r="J61" s="298"/>
      <c r="K61" s="299"/>
      <c r="L61" s="299"/>
      <c r="M61" s="299"/>
      <c r="N61" s="299"/>
      <c r="O61" s="299"/>
      <c r="P61" s="461" t="str">
        <f t="shared" si="4"/>
        <v/>
      </c>
      <c r="Q61" s="267">
        <f t="shared" si="13"/>
        <v>546</v>
      </c>
      <c r="R61" s="267">
        <f t="shared" si="16"/>
        <v>557</v>
      </c>
      <c r="S61" s="267" t="str">
        <f t="shared" si="5"/>
        <v>f546</v>
      </c>
      <c r="T61" s="267" t="str">
        <f t="shared" si="5"/>
        <v>f557</v>
      </c>
      <c r="U61" s="267" t="str">
        <f t="shared" si="19"/>
        <v>G546</v>
      </c>
      <c r="V61" s="267" t="str">
        <f t="shared" si="19"/>
        <v>G557</v>
      </c>
    </row>
    <row r="62" spans="1:22">
      <c r="A62" s="295">
        <f t="shared" si="6"/>
        <v>45</v>
      </c>
      <c r="B62" s="300">
        <f t="shared" si="14"/>
        <v>1340</v>
      </c>
      <c r="C62" s="296">
        <f t="shared" ca="1" si="7"/>
        <v>3</v>
      </c>
      <c r="D62" s="295"/>
      <c r="E62" s="296">
        <f t="shared" si="8"/>
        <v>0</v>
      </c>
      <c r="F62" s="296">
        <f t="shared" ca="1" si="9"/>
        <v>0</v>
      </c>
      <c r="G62" s="296">
        <f t="shared" ca="1" si="10"/>
        <v>0</v>
      </c>
      <c r="H62" s="296">
        <f t="shared" ca="1" si="11"/>
        <v>3</v>
      </c>
      <c r="I62" s="460">
        <f t="shared" ca="1" si="2"/>
        <v>-3</v>
      </c>
      <c r="J62" s="298"/>
      <c r="K62" s="299"/>
      <c r="L62" s="299"/>
      <c r="M62" s="299"/>
      <c r="N62" s="299"/>
      <c r="O62" s="299"/>
      <c r="P62" s="461" t="str">
        <f t="shared" si="4"/>
        <v/>
      </c>
      <c r="Q62" s="267">
        <f t="shared" si="13"/>
        <v>558</v>
      </c>
      <c r="R62" s="267">
        <f t="shared" si="16"/>
        <v>569</v>
      </c>
      <c r="S62" s="267" t="str">
        <f t="shared" si="5"/>
        <v>f558</v>
      </c>
      <c r="T62" s="267" t="str">
        <f t="shared" si="5"/>
        <v>f569</v>
      </c>
      <c r="U62" s="267" t="str">
        <f t="shared" si="19"/>
        <v>G558</v>
      </c>
      <c r="V62" s="267" t="str">
        <f t="shared" si="19"/>
        <v>G569</v>
      </c>
    </row>
    <row r="63" spans="1:22">
      <c r="A63" s="295">
        <f t="shared" si="6"/>
        <v>46</v>
      </c>
      <c r="B63" s="300">
        <f t="shared" si="14"/>
        <v>1370</v>
      </c>
      <c r="C63" s="296">
        <f t="shared" ca="1" si="7"/>
        <v>3</v>
      </c>
      <c r="D63" s="295"/>
      <c r="E63" s="296">
        <f t="shared" si="8"/>
        <v>0</v>
      </c>
      <c r="F63" s="296">
        <f t="shared" ca="1" si="9"/>
        <v>0</v>
      </c>
      <c r="G63" s="296">
        <f t="shared" ca="1" si="10"/>
        <v>0</v>
      </c>
      <c r="H63" s="296">
        <f t="shared" ca="1" si="11"/>
        <v>3</v>
      </c>
      <c r="I63" s="460">
        <f t="shared" ca="1" si="2"/>
        <v>-3</v>
      </c>
      <c r="J63" s="298"/>
      <c r="K63" s="299"/>
      <c r="L63" s="299"/>
      <c r="M63" s="299"/>
      <c r="N63" s="299"/>
      <c r="O63" s="299"/>
      <c r="P63" s="461" t="str">
        <f t="shared" si="4"/>
        <v/>
      </c>
      <c r="Q63" s="267">
        <f t="shared" si="13"/>
        <v>570</v>
      </c>
      <c r="R63" s="267">
        <f t="shared" si="16"/>
        <v>581</v>
      </c>
      <c r="S63" s="267" t="str">
        <f t="shared" si="5"/>
        <v>f570</v>
      </c>
      <c r="T63" s="267" t="str">
        <f t="shared" si="5"/>
        <v>f581</v>
      </c>
      <c r="U63" s="267" t="str">
        <f t="shared" si="19"/>
        <v>G570</v>
      </c>
      <c r="V63" s="267" t="str">
        <f t="shared" si="19"/>
        <v>G581</v>
      </c>
    </row>
    <row r="64" spans="1:22">
      <c r="A64" s="295">
        <f t="shared" si="6"/>
        <v>47</v>
      </c>
      <c r="B64" s="300">
        <f t="shared" si="14"/>
        <v>1401</v>
      </c>
      <c r="C64" s="296">
        <f t="shared" ca="1" si="7"/>
        <v>3</v>
      </c>
      <c r="D64" s="295"/>
      <c r="E64" s="296">
        <f>IF($D$10=1,IF(MONTH(B64)=MONTH($D$7),D63-'Sch3-Perf Period Cash Flow'!G7,0),IF(MONTH(B64)=MONTH(EDATE($D$7,11)),IF(AND(H63&gt;D53,H63&lt;K20-L20), H63, MIN(D53,H63))-'Sch3-Perf Period Cash Flow'!G7,0))</f>
        <v>0</v>
      </c>
      <c r="F64" s="296">
        <f t="shared" ca="1" si="9"/>
        <v>0</v>
      </c>
      <c r="G64" s="296">
        <f t="shared" ca="1" si="10"/>
        <v>0</v>
      </c>
      <c r="H64" s="296">
        <f t="shared" ca="1" si="11"/>
        <v>3</v>
      </c>
      <c r="I64" s="460">
        <f t="shared" ca="1" si="2"/>
        <v>-3</v>
      </c>
      <c r="J64" s="298"/>
      <c r="K64" s="299"/>
      <c r="L64" s="299"/>
      <c r="M64" s="299"/>
      <c r="N64" s="299"/>
      <c r="O64" s="299"/>
      <c r="P64" s="461" t="str">
        <f t="shared" si="4"/>
        <v/>
      </c>
      <c r="Q64" s="267">
        <f t="shared" si="13"/>
        <v>582</v>
      </c>
      <c r="R64" s="267">
        <f t="shared" si="16"/>
        <v>593</v>
      </c>
      <c r="S64" s="267" t="str">
        <f t="shared" si="5"/>
        <v>f582</v>
      </c>
      <c r="T64" s="267" t="str">
        <f t="shared" si="5"/>
        <v>f593</v>
      </c>
      <c r="U64" s="267" t="str">
        <f t="shared" si="19"/>
        <v>G582</v>
      </c>
      <c r="V64" s="267" t="str">
        <f t="shared" si="19"/>
        <v>G593</v>
      </c>
    </row>
    <row r="65" spans="1:22">
      <c r="A65" s="295">
        <f t="shared" si="6"/>
        <v>48</v>
      </c>
      <c r="B65" s="300">
        <f t="shared" si="14"/>
        <v>1431</v>
      </c>
      <c r="C65" s="296">
        <f t="shared" ca="1" si="7"/>
        <v>3</v>
      </c>
      <c r="D65" s="296">
        <f ca="1">IF(H65&lt;0,0,IF((H64+G65)&lt;(K21-L21),H64+G65,K21-L21))</f>
        <v>0</v>
      </c>
      <c r="E65" s="296">
        <f ca="1">IF($D$10=1,IF(MONTH(B65)=MONTH($D$7),D64-'Sch3-Perf Period Cash Flow'!G7,0),IF(MONTH(B65)=MONTH(EDATE($D$7,11)),MIN(D53,H64)-'Sch3-Perf Period Cash Flow'!G7,0))</f>
        <v>-1</v>
      </c>
      <c r="F65" s="296">
        <f t="shared" ca="1" si="9"/>
        <v>-1</v>
      </c>
      <c r="G65" s="296">
        <f t="shared" ca="1" si="10"/>
        <v>0</v>
      </c>
      <c r="H65" s="296">
        <f t="shared" ca="1" si="11"/>
        <v>4</v>
      </c>
      <c r="I65" s="460">
        <f t="shared" ca="1" si="2"/>
        <v>-4</v>
      </c>
      <c r="J65" s="298"/>
      <c r="K65" s="299"/>
      <c r="L65" s="299"/>
      <c r="M65" s="299"/>
      <c r="N65" s="299"/>
      <c r="O65" s="299"/>
      <c r="P65" s="461" t="str">
        <f t="shared" si="4"/>
        <v/>
      </c>
      <c r="Q65" s="267">
        <f t="shared" si="13"/>
        <v>594</v>
      </c>
      <c r="R65" s="267">
        <f t="shared" si="16"/>
        <v>605</v>
      </c>
      <c r="S65" s="267" t="str">
        <f t="shared" si="5"/>
        <v>f594</v>
      </c>
      <c r="T65" s="267" t="str">
        <f t="shared" si="5"/>
        <v>f605</v>
      </c>
      <c r="U65" s="267" t="str">
        <f t="shared" si="19"/>
        <v>G594</v>
      </c>
      <c r="V65" s="267" t="str">
        <f t="shared" si="19"/>
        <v>G605</v>
      </c>
    </row>
    <row r="66" spans="1:22">
      <c r="A66" s="295">
        <f t="shared" si="6"/>
        <v>49</v>
      </c>
      <c r="B66" s="300">
        <f t="shared" si="14"/>
        <v>1462</v>
      </c>
      <c r="C66" s="296">
        <f t="shared" ca="1" si="7"/>
        <v>4</v>
      </c>
      <c r="D66" s="295"/>
      <c r="E66" s="296">
        <f>IF($D$10=1,IF(MONTH(B66)=MONTH($D$7),D65-'Sch3-Perf Period Cash Flow'!H7,0),IF(MONTH(B66)=MONTH(EDATE($D$7,11)),MIN(D54,H65)-'Sch3-Perf Period Cash Flow'!H7,0))</f>
        <v>0</v>
      </c>
      <c r="F66" s="296">
        <f t="shared" ca="1" si="9"/>
        <v>0</v>
      </c>
      <c r="G66" s="296">
        <f t="shared" ca="1" si="10"/>
        <v>0</v>
      </c>
      <c r="H66" s="296">
        <f t="shared" ca="1" si="11"/>
        <v>4</v>
      </c>
      <c r="I66" s="460">
        <f t="shared" ca="1" si="2"/>
        <v>-4</v>
      </c>
      <c r="J66" s="298"/>
      <c r="K66" s="299"/>
      <c r="L66" s="299"/>
      <c r="M66" s="299"/>
      <c r="N66" s="299"/>
      <c r="O66" s="299"/>
      <c r="P66" s="461" t="str">
        <f t="shared" si="4"/>
        <v/>
      </c>
      <c r="Q66" s="267">
        <f t="shared" si="13"/>
        <v>606</v>
      </c>
      <c r="R66" s="267">
        <f t="shared" si="16"/>
        <v>617</v>
      </c>
      <c r="S66" s="267" t="str">
        <f t="shared" si="5"/>
        <v>f606</v>
      </c>
      <c r="T66" s="267" t="str">
        <f t="shared" si="5"/>
        <v>f617</v>
      </c>
      <c r="U66" s="267" t="str">
        <f t="shared" si="19"/>
        <v>G606</v>
      </c>
      <c r="V66" s="267" t="str">
        <f t="shared" si="19"/>
        <v>G617</v>
      </c>
    </row>
    <row r="67" spans="1:22">
      <c r="A67" s="295">
        <f t="shared" si="6"/>
        <v>50</v>
      </c>
      <c r="B67" s="300">
        <f t="shared" si="14"/>
        <v>1493</v>
      </c>
      <c r="C67" s="296">
        <f t="shared" ca="1" si="7"/>
        <v>4</v>
      </c>
      <c r="D67" s="296"/>
      <c r="E67" s="296">
        <f t="shared" si="8"/>
        <v>0</v>
      </c>
      <c r="F67" s="296">
        <f t="shared" ca="1" si="9"/>
        <v>0</v>
      </c>
      <c r="G67" s="296">
        <f t="shared" ca="1" si="10"/>
        <v>0</v>
      </c>
      <c r="H67" s="296">
        <f t="shared" ca="1" si="11"/>
        <v>4</v>
      </c>
      <c r="I67" s="460">
        <f t="shared" ca="1" si="2"/>
        <v>-4</v>
      </c>
      <c r="J67" s="298"/>
      <c r="K67" s="299"/>
      <c r="L67" s="299"/>
      <c r="M67" s="299"/>
      <c r="N67" s="299"/>
      <c r="O67" s="299"/>
      <c r="P67" s="461" t="str">
        <f t="shared" si="4"/>
        <v/>
      </c>
      <c r="Q67" s="267">
        <f t="shared" si="13"/>
        <v>618</v>
      </c>
      <c r="R67" s="267">
        <f t="shared" si="16"/>
        <v>629</v>
      </c>
      <c r="S67" s="267" t="str">
        <f t="shared" si="5"/>
        <v>f618</v>
      </c>
      <c r="T67" s="267" t="str">
        <f t="shared" si="5"/>
        <v>f629</v>
      </c>
      <c r="U67" s="267" t="str">
        <f t="shared" si="19"/>
        <v>G618</v>
      </c>
      <c r="V67" s="267" t="str">
        <f t="shared" si="19"/>
        <v>G629</v>
      </c>
    </row>
    <row r="68" spans="1:22">
      <c r="A68" s="295">
        <f t="shared" si="6"/>
        <v>51</v>
      </c>
      <c r="B68" s="300">
        <f t="shared" si="14"/>
        <v>1522</v>
      </c>
      <c r="C68" s="296">
        <f t="shared" ca="1" si="7"/>
        <v>4</v>
      </c>
      <c r="D68" s="295"/>
      <c r="E68" s="296">
        <f t="shared" si="8"/>
        <v>0</v>
      </c>
      <c r="F68" s="296">
        <f t="shared" ca="1" si="9"/>
        <v>0</v>
      </c>
      <c r="G68" s="296">
        <f t="shared" ca="1" si="10"/>
        <v>0</v>
      </c>
      <c r="H68" s="296">
        <f t="shared" ca="1" si="11"/>
        <v>4</v>
      </c>
      <c r="I68" s="460">
        <f t="shared" ca="1" si="2"/>
        <v>-4</v>
      </c>
      <c r="J68" s="298"/>
      <c r="K68" s="299"/>
      <c r="L68" s="299"/>
      <c r="M68" s="299"/>
      <c r="N68" s="299"/>
      <c r="O68" s="299"/>
      <c r="P68" s="461" t="str">
        <f t="shared" si="4"/>
        <v/>
      </c>
      <c r="Q68" s="267">
        <f t="shared" si="13"/>
        <v>630</v>
      </c>
      <c r="R68" s="267">
        <f t="shared" si="16"/>
        <v>641</v>
      </c>
      <c r="S68" s="267" t="str">
        <f t="shared" si="5"/>
        <v>f630</v>
      </c>
      <c r="T68" s="267" t="str">
        <f t="shared" si="5"/>
        <v>f641</v>
      </c>
      <c r="U68" s="267" t="str">
        <f t="shared" si="19"/>
        <v>G630</v>
      </c>
      <c r="V68" s="267" t="str">
        <f t="shared" si="19"/>
        <v>G641</v>
      </c>
    </row>
    <row r="69" spans="1:22">
      <c r="A69" s="295">
        <f t="shared" si="6"/>
        <v>52</v>
      </c>
      <c r="B69" s="300">
        <f t="shared" si="14"/>
        <v>1553</v>
      </c>
      <c r="C69" s="296">
        <f t="shared" ca="1" si="7"/>
        <v>4</v>
      </c>
      <c r="D69" s="295"/>
      <c r="E69" s="296">
        <f t="shared" si="8"/>
        <v>0</v>
      </c>
      <c r="F69" s="296">
        <f t="shared" ca="1" si="9"/>
        <v>0</v>
      </c>
      <c r="G69" s="296">
        <f t="shared" ca="1" si="10"/>
        <v>0</v>
      </c>
      <c r="H69" s="296">
        <f t="shared" ca="1" si="11"/>
        <v>4</v>
      </c>
      <c r="I69" s="460">
        <f t="shared" ca="1" si="2"/>
        <v>-4</v>
      </c>
      <c r="J69" s="298"/>
      <c r="K69" s="299"/>
      <c r="L69" s="299"/>
      <c r="M69" s="299"/>
      <c r="N69" s="299"/>
      <c r="O69" s="299"/>
      <c r="P69" s="461" t="str">
        <f t="shared" si="4"/>
        <v/>
      </c>
      <c r="Q69" s="267">
        <f t="shared" si="13"/>
        <v>642</v>
      </c>
      <c r="R69" s="267">
        <f t="shared" si="16"/>
        <v>653</v>
      </c>
      <c r="S69" s="267" t="str">
        <f t="shared" si="5"/>
        <v>f642</v>
      </c>
      <c r="T69" s="267" t="str">
        <f t="shared" si="5"/>
        <v>f653</v>
      </c>
      <c r="U69" s="267" t="str">
        <f t="shared" si="19"/>
        <v>G642</v>
      </c>
      <c r="V69" s="267" t="str">
        <f t="shared" si="19"/>
        <v>G653</v>
      </c>
    </row>
    <row r="70" spans="1:22">
      <c r="A70" s="295">
        <f t="shared" si="6"/>
        <v>53</v>
      </c>
      <c r="B70" s="300">
        <f t="shared" si="14"/>
        <v>1583</v>
      </c>
      <c r="C70" s="296">
        <f t="shared" ca="1" si="7"/>
        <v>4</v>
      </c>
      <c r="D70" s="295"/>
      <c r="E70" s="296">
        <f t="shared" si="8"/>
        <v>0</v>
      </c>
      <c r="F70" s="296">
        <f t="shared" ca="1" si="9"/>
        <v>0</v>
      </c>
      <c r="G70" s="296">
        <f t="shared" ca="1" si="10"/>
        <v>0</v>
      </c>
      <c r="H70" s="296">
        <f t="shared" ca="1" si="11"/>
        <v>4</v>
      </c>
      <c r="I70" s="460">
        <f t="shared" ca="1" si="2"/>
        <v>-4</v>
      </c>
      <c r="J70" s="298"/>
      <c r="K70" s="299"/>
      <c r="L70" s="299"/>
      <c r="M70" s="299"/>
      <c r="N70" s="299"/>
      <c r="O70" s="299"/>
      <c r="P70" s="461" t="str">
        <f t="shared" si="4"/>
        <v/>
      </c>
      <c r="Q70" s="267">
        <f t="shared" si="13"/>
        <v>654</v>
      </c>
      <c r="R70" s="267">
        <f t="shared" si="16"/>
        <v>665</v>
      </c>
      <c r="S70" s="267" t="str">
        <f t="shared" si="5"/>
        <v>f654</v>
      </c>
      <c r="T70" s="267" t="str">
        <f t="shared" si="5"/>
        <v>f665</v>
      </c>
      <c r="U70" s="267" t="str">
        <f t="shared" si="19"/>
        <v>G654</v>
      </c>
      <c r="V70" s="267" t="str">
        <f t="shared" si="19"/>
        <v>G665</v>
      </c>
    </row>
    <row r="71" spans="1:22">
      <c r="A71" s="295">
        <f t="shared" si="6"/>
        <v>54</v>
      </c>
      <c r="B71" s="300">
        <f t="shared" si="14"/>
        <v>1614</v>
      </c>
      <c r="C71" s="296">
        <f t="shared" ca="1" si="7"/>
        <v>4</v>
      </c>
      <c r="D71" s="295"/>
      <c r="E71" s="296">
        <f t="shared" si="8"/>
        <v>0</v>
      </c>
      <c r="F71" s="296">
        <f t="shared" ca="1" si="9"/>
        <v>0</v>
      </c>
      <c r="G71" s="296">
        <f t="shared" ca="1" si="10"/>
        <v>0</v>
      </c>
      <c r="H71" s="296">
        <f t="shared" ca="1" si="11"/>
        <v>4</v>
      </c>
      <c r="I71" s="460">
        <f t="shared" ca="1" si="2"/>
        <v>-4</v>
      </c>
      <c r="J71" s="298"/>
      <c r="K71" s="299"/>
      <c r="L71" s="299"/>
      <c r="M71" s="299"/>
      <c r="N71" s="299"/>
      <c r="O71" s="299"/>
      <c r="P71" s="461" t="str">
        <f t="shared" si="4"/>
        <v/>
      </c>
      <c r="Q71" s="267">
        <f t="shared" si="13"/>
        <v>666</v>
      </c>
      <c r="R71" s="267">
        <f t="shared" si="16"/>
        <v>677</v>
      </c>
      <c r="S71" s="267" t="str">
        <f t="shared" si="5"/>
        <v>f666</v>
      </c>
      <c r="T71" s="267" t="str">
        <f t="shared" si="5"/>
        <v>f677</v>
      </c>
      <c r="U71" s="267" t="str">
        <f t="shared" si="19"/>
        <v>G666</v>
      </c>
      <c r="V71" s="267" t="str">
        <f t="shared" si="19"/>
        <v>G677</v>
      </c>
    </row>
    <row r="72" spans="1:22">
      <c r="A72" s="295">
        <f t="shared" si="6"/>
        <v>55</v>
      </c>
      <c r="B72" s="300">
        <f t="shared" si="14"/>
        <v>1644</v>
      </c>
      <c r="C72" s="296">
        <f t="shared" ca="1" si="7"/>
        <v>4</v>
      </c>
      <c r="D72" s="295"/>
      <c r="E72" s="296">
        <f t="shared" si="8"/>
        <v>0</v>
      </c>
      <c r="F72" s="296">
        <f t="shared" ca="1" si="9"/>
        <v>0</v>
      </c>
      <c r="G72" s="296">
        <f t="shared" ca="1" si="10"/>
        <v>0</v>
      </c>
      <c r="H72" s="296">
        <f t="shared" ca="1" si="11"/>
        <v>4</v>
      </c>
      <c r="I72" s="460">
        <f t="shared" ca="1" si="2"/>
        <v>-4</v>
      </c>
      <c r="J72" s="298"/>
      <c r="K72" s="299"/>
      <c r="L72" s="299"/>
      <c r="M72" s="299"/>
      <c r="N72" s="299"/>
      <c r="O72" s="299"/>
      <c r="P72" s="461" t="str">
        <f t="shared" si="4"/>
        <v/>
      </c>
      <c r="Q72" s="267">
        <f t="shared" si="13"/>
        <v>678</v>
      </c>
      <c r="R72" s="267">
        <f t="shared" si="16"/>
        <v>689</v>
      </c>
      <c r="S72" s="267" t="str">
        <f t="shared" si="5"/>
        <v>f678</v>
      </c>
      <c r="T72" s="267" t="str">
        <f t="shared" si="5"/>
        <v>f689</v>
      </c>
      <c r="U72" s="267" t="str">
        <f t="shared" si="19"/>
        <v>G678</v>
      </c>
      <c r="V72" s="267" t="str">
        <f t="shared" si="19"/>
        <v>G689</v>
      </c>
    </row>
    <row r="73" spans="1:22">
      <c r="A73" s="295">
        <f t="shared" si="6"/>
        <v>56</v>
      </c>
      <c r="B73" s="300">
        <f t="shared" si="14"/>
        <v>1675</v>
      </c>
      <c r="C73" s="296">
        <f t="shared" ca="1" si="7"/>
        <v>4</v>
      </c>
      <c r="D73" s="295"/>
      <c r="E73" s="296">
        <f t="shared" si="8"/>
        <v>0</v>
      </c>
      <c r="F73" s="296">
        <f t="shared" ca="1" si="9"/>
        <v>0</v>
      </c>
      <c r="G73" s="296">
        <f t="shared" ca="1" si="10"/>
        <v>0</v>
      </c>
      <c r="H73" s="296">
        <f t="shared" ca="1" si="11"/>
        <v>4</v>
      </c>
      <c r="I73" s="460">
        <f t="shared" ca="1" si="2"/>
        <v>-4</v>
      </c>
    </row>
    <row r="74" spans="1:22">
      <c r="A74" s="295">
        <f t="shared" si="6"/>
        <v>57</v>
      </c>
      <c r="B74" s="300">
        <f t="shared" si="14"/>
        <v>1706</v>
      </c>
      <c r="C74" s="296">
        <f t="shared" ca="1" si="7"/>
        <v>4</v>
      </c>
      <c r="D74" s="295"/>
      <c r="E74" s="296">
        <f t="shared" si="8"/>
        <v>0</v>
      </c>
      <c r="F74" s="296">
        <f t="shared" ca="1" si="9"/>
        <v>0</v>
      </c>
      <c r="G74" s="296">
        <f t="shared" ca="1" si="10"/>
        <v>0</v>
      </c>
      <c r="H74" s="296">
        <f t="shared" ca="1" si="11"/>
        <v>4</v>
      </c>
      <c r="I74" s="460">
        <f t="shared" ca="1" si="2"/>
        <v>-4</v>
      </c>
    </row>
    <row r="75" spans="1:22">
      <c r="A75" s="295">
        <f t="shared" si="6"/>
        <v>58</v>
      </c>
      <c r="B75" s="300">
        <f t="shared" si="14"/>
        <v>1736</v>
      </c>
      <c r="C75" s="296">
        <f t="shared" ca="1" si="7"/>
        <v>4</v>
      </c>
      <c r="D75" s="295"/>
      <c r="E75" s="296">
        <f t="shared" si="8"/>
        <v>0</v>
      </c>
      <c r="F75" s="296">
        <f t="shared" ca="1" si="9"/>
        <v>0</v>
      </c>
      <c r="G75" s="296">
        <f t="shared" ca="1" si="10"/>
        <v>0</v>
      </c>
      <c r="H75" s="296">
        <f t="shared" ca="1" si="11"/>
        <v>4</v>
      </c>
      <c r="I75" s="460">
        <f t="shared" ca="1" si="2"/>
        <v>-4</v>
      </c>
    </row>
    <row r="76" spans="1:22">
      <c r="A76" s="295">
        <f t="shared" si="6"/>
        <v>59</v>
      </c>
      <c r="B76" s="300">
        <f t="shared" si="14"/>
        <v>1767</v>
      </c>
      <c r="C76" s="296">
        <f t="shared" ca="1" si="7"/>
        <v>4</v>
      </c>
      <c r="D76" s="295"/>
      <c r="E76" s="296">
        <f>IF($D$10=1,IF(MONTH(B76)=MONTH($D$7),D75-'Sch3-Perf Period Cash Flow'!H7,0),IF(MONTH(B76)=MONTH(EDATE($D$7,11)),IF(AND(H75&gt;D65,H75&lt;K21-L21), H75, MIN(D65,H75))-'Sch3-Perf Period Cash Flow'!H7,0))</f>
        <v>0</v>
      </c>
      <c r="F76" s="296">
        <f t="shared" ca="1" si="9"/>
        <v>0</v>
      </c>
      <c r="G76" s="296">
        <f t="shared" ca="1" si="10"/>
        <v>0</v>
      </c>
      <c r="H76" s="296">
        <f t="shared" ca="1" si="11"/>
        <v>4</v>
      </c>
      <c r="I76" s="460">
        <f t="shared" ca="1" si="2"/>
        <v>-4</v>
      </c>
    </row>
    <row r="77" spans="1:22">
      <c r="A77" s="295">
        <f t="shared" si="6"/>
        <v>60</v>
      </c>
      <c r="B77" s="300">
        <f t="shared" si="14"/>
        <v>1797</v>
      </c>
      <c r="C77" s="296">
        <f t="shared" ca="1" si="7"/>
        <v>4</v>
      </c>
      <c r="D77" s="296">
        <f ca="1">IF(H77&lt;0,0,IF((H76+G77)&lt;(K22-L22),H76+G77,K22-L22))</f>
        <v>0</v>
      </c>
      <c r="E77" s="296">
        <f ca="1">IF($D$10=1,IF(MONTH(B77)=MONTH($D$7),D76-'Sch3-Perf Period Cash Flow'!H7,0),IF(MONTH(B77)=MONTH(EDATE($D$7,11)),MIN(D65,H76)-'Sch3-Perf Period Cash Flow'!H7,0))</f>
        <v>-1</v>
      </c>
      <c r="F77" s="296">
        <f t="shared" ca="1" si="9"/>
        <v>-1</v>
      </c>
      <c r="G77" s="296">
        <f t="shared" ca="1" si="10"/>
        <v>0</v>
      </c>
      <c r="H77" s="296">
        <f t="shared" ca="1" si="11"/>
        <v>5</v>
      </c>
      <c r="I77" s="460">
        <f t="shared" ca="1" si="2"/>
        <v>-5</v>
      </c>
    </row>
    <row r="78" spans="1:22">
      <c r="A78" s="295">
        <f t="shared" si="6"/>
        <v>61</v>
      </c>
      <c r="B78" s="300">
        <f t="shared" si="14"/>
        <v>1828</v>
      </c>
      <c r="C78" s="296">
        <f t="shared" ca="1" si="7"/>
        <v>5</v>
      </c>
      <c r="D78" s="296"/>
      <c r="E78" s="296">
        <f>IF($D$10=1,IF(MONTH(B78)=MONTH($D$7),D77-'Sch3-Perf Period Cash Flow'!I7,0),IF(MONTH(B78)=MONTH(EDATE($D$7,11)),MIN(D66,H77)-'Sch3-Perf Period Cash Flow'!I7,0))</f>
        <v>0</v>
      </c>
      <c r="F78" s="296">
        <f t="shared" ca="1" si="9"/>
        <v>0</v>
      </c>
      <c r="G78" s="296">
        <f t="shared" ca="1" si="10"/>
        <v>0</v>
      </c>
      <c r="H78" s="296">
        <f t="shared" ca="1" si="11"/>
        <v>5</v>
      </c>
      <c r="I78" s="460">
        <f t="shared" ca="1" si="2"/>
        <v>-5</v>
      </c>
    </row>
    <row r="79" spans="1:22">
      <c r="A79" s="295">
        <f t="shared" si="6"/>
        <v>62</v>
      </c>
      <c r="B79" s="300">
        <f t="shared" si="14"/>
        <v>1859</v>
      </c>
      <c r="C79" s="296">
        <f t="shared" ca="1" si="7"/>
        <v>5</v>
      </c>
      <c r="D79" s="296"/>
      <c r="E79" s="296">
        <f t="shared" si="8"/>
        <v>0</v>
      </c>
      <c r="F79" s="296">
        <f t="shared" ca="1" si="9"/>
        <v>0</v>
      </c>
      <c r="G79" s="296">
        <f t="shared" ca="1" si="10"/>
        <v>0</v>
      </c>
      <c r="H79" s="296">
        <f t="shared" ca="1" si="11"/>
        <v>5</v>
      </c>
      <c r="I79" s="460">
        <f t="shared" ca="1" si="2"/>
        <v>-5</v>
      </c>
    </row>
    <row r="80" spans="1:22">
      <c r="A80" s="295">
        <f t="shared" si="6"/>
        <v>63</v>
      </c>
      <c r="B80" s="300">
        <f t="shared" si="14"/>
        <v>1887</v>
      </c>
      <c r="C80" s="296">
        <f t="shared" ca="1" si="7"/>
        <v>5</v>
      </c>
      <c r="D80" s="295"/>
      <c r="E80" s="296">
        <f t="shared" si="8"/>
        <v>0</v>
      </c>
      <c r="F80" s="296">
        <f t="shared" ca="1" si="9"/>
        <v>0</v>
      </c>
      <c r="G80" s="296">
        <f t="shared" ca="1" si="10"/>
        <v>0</v>
      </c>
      <c r="H80" s="296">
        <f t="shared" ca="1" si="11"/>
        <v>5</v>
      </c>
      <c r="I80" s="460">
        <f t="shared" ca="1" si="2"/>
        <v>-5</v>
      </c>
    </row>
    <row r="81" spans="1:9">
      <c r="A81" s="295">
        <f t="shared" si="6"/>
        <v>64</v>
      </c>
      <c r="B81" s="300">
        <f t="shared" si="14"/>
        <v>1918</v>
      </c>
      <c r="C81" s="296">
        <f t="shared" ca="1" si="7"/>
        <v>5</v>
      </c>
      <c r="D81" s="295"/>
      <c r="E81" s="296">
        <f t="shared" si="8"/>
        <v>0</v>
      </c>
      <c r="F81" s="296">
        <f t="shared" ca="1" si="9"/>
        <v>0</v>
      </c>
      <c r="G81" s="296">
        <f t="shared" ca="1" si="10"/>
        <v>0</v>
      </c>
      <c r="H81" s="296">
        <f t="shared" ca="1" si="11"/>
        <v>5</v>
      </c>
      <c r="I81" s="460">
        <f t="shared" ca="1" si="2"/>
        <v>-5</v>
      </c>
    </row>
    <row r="82" spans="1:9">
      <c r="A82" s="295">
        <f t="shared" si="6"/>
        <v>65</v>
      </c>
      <c r="B82" s="300">
        <f t="shared" si="14"/>
        <v>1948</v>
      </c>
      <c r="C82" s="296">
        <f t="shared" ca="1" si="7"/>
        <v>5</v>
      </c>
      <c r="D82" s="295"/>
      <c r="E82" s="296">
        <f t="shared" si="8"/>
        <v>0</v>
      </c>
      <c r="F82" s="296">
        <f t="shared" ca="1" si="9"/>
        <v>0</v>
      </c>
      <c r="G82" s="296">
        <f t="shared" ca="1" si="10"/>
        <v>0</v>
      </c>
      <c r="H82" s="296">
        <f t="shared" ca="1" si="11"/>
        <v>5</v>
      </c>
      <c r="I82" s="460">
        <f t="shared" ref="I82:I145" ca="1" si="20">ROUND((D82-H82),0)</f>
        <v>-5</v>
      </c>
    </row>
    <row r="83" spans="1:9">
      <c r="A83" s="295">
        <f t="shared" ref="A83:A146" si="21">IF(A82="","",IF(A82=$D$6,"",A82+1))</f>
        <v>66</v>
      </c>
      <c r="B83" s="300">
        <f t="shared" si="14"/>
        <v>1979</v>
      </c>
      <c r="C83" s="296">
        <f t="shared" ref="C83:C146" ca="1" si="22">IF(H82=0,0,H82)</f>
        <v>5</v>
      </c>
      <c r="D83" s="295"/>
      <c r="E83" s="296">
        <f t="shared" ref="E83:E123" si="23">IF($D$10=1,IF(MONTH(B83)=MONTH($D$7),D82,0),IF(MONTH(B83)=MONTH(EDATE($D$7,11)),MIN(D71,H82),0))</f>
        <v>0</v>
      </c>
      <c r="F83" s="296">
        <f t="shared" ref="F83:F146" ca="1" si="24">IF(E83="","",E83-G83)</f>
        <v>0</v>
      </c>
      <c r="G83" s="296">
        <f t="shared" ref="G83:G146" ca="1" si="25">ROUND((C83-E83)*$D$5,3)</f>
        <v>0</v>
      </c>
      <c r="H83" s="296">
        <f t="shared" ref="H83:H146" ca="1" si="26">IF(E83="","",ROUND(H82-F83,4))</f>
        <v>5</v>
      </c>
      <c r="I83" s="460">
        <f t="shared" ca="1" si="20"/>
        <v>-5</v>
      </c>
    </row>
    <row r="84" spans="1:9">
      <c r="A84" s="295">
        <f t="shared" si="21"/>
        <v>67</v>
      </c>
      <c r="B84" s="300">
        <f t="shared" ref="B84:B147" si="27">DATE(YEAR(B83),MONTH(B83)+1,1)</f>
        <v>2009</v>
      </c>
      <c r="C84" s="296">
        <f t="shared" ca="1" si="22"/>
        <v>5</v>
      </c>
      <c r="D84" s="295"/>
      <c r="E84" s="296">
        <f t="shared" si="23"/>
        <v>0</v>
      </c>
      <c r="F84" s="296">
        <f t="shared" ca="1" si="24"/>
        <v>0</v>
      </c>
      <c r="G84" s="296">
        <f t="shared" ca="1" si="25"/>
        <v>0</v>
      </c>
      <c r="H84" s="296">
        <f t="shared" ca="1" si="26"/>
        <v>5</v>
      </c>
      <c r="I84" s="460">
        <f t="shared" ca="1" si="20"/>
        <v>-5</v>
      </c>
    </row>
    <row r="85" spans="1:9">
      <c r="A85" s="295">
        <f t="shared" si="21"/>
        <v>68</v>
      </c>
      <c r="B85" s="300">
        <f t="shared" si="27"/>
        <v>2040</v>
      </c>
      <c r="C85" s="296">
        <f t="shared" ca="1" si="22"/>
        <v>5</v>
      </c>
      <c r="D85" s="295"/>
      <c r="E85" s="296">
        <f t="shared" si="23"/>
        <v>0</v>
      </c>
      <c r="F85" s="296">
        <f t="shared" ca="1" si="24"/>
        <v>0</v>
      </c>
      <c r="G85" s="296">
        <f t="shared" ca="1" si="25"/>
        <v>0</v>
      </c>
      <c r="H85" s="296">
        <f t="shared" ca="1" si="26"/>
        <v>5</v>
      </c>
      <c r="I85" s="460">
        <f t="shared" ca="1" si="20"/>
        <v>-5</v>
      </c>
    </row>
    <row r="86" spans="1:9">
      <c r="A86" s="295">
        <f t="shared" si="21"/>
        <v>69</v>
      </c>
      <c r="B86" s="300">
        <f t="shared" si="27"/>
        <v>2071</v>
      </c>
      <c r="C86" s="296">
        <f t="shared" ca="1" si="22"/>
        <v>5</v>
      </c>
      <c r="D86" s="295"/>
      <c r="E86" s="296">
        <f t="shared" si="23"/>
        <v>0</v>
      </c>
      <c r="F86" s="296">
        <f t="shared" ca="1" si="24"/>
        <v>0</v>
      </c>
      <c r="G86" s="296">
        <f t="shared" ca="1" si="25"/>
        <v>0</v>
      </c>
      <c r="H86" s="296">
        <f t="shared" ca="1" si="26"/>
        <v>5</v>
      </c>
      <c r="I86" s="460">
        <f t="shared" ca="1" si="20"/>
        <v>-5</v>
      </c>
    </row>
    <row r="87" spans="1:9">
      <c r="A87" s="295">
        <f t="shared" si="21"/>
        <v>70</v>
      </c>
      <c r="B87" s="300">
        <f t="shared" si="27"/>
        <v>2101</v>
      </c>
      <c r="C87" s="296">
        <f t="shared" ca="1" si="22"/>
        <v>5</v>
      </c>
      <c r="D87" s="295"/>
      <c r="E87" s="296">
        <f t="shared" si="23"/>
        <v>0</v>
      </c>
      <c r="F87" s="296">
        <f t="shared" ca="1" si="24"/>
        <v>0</v>
      </c>
      <c r="G87" s="296">
        <f t="shared" ca="1" si="25"/>
        <v>0</v>
      </c>
      <c r="H87" s="296">
        <f t="shared" ca="1" si="26"/>
        <v>5</v>
      </c>
      <c r="I87" s="460">
        <f t="shared" ca="1" si="20"/>
        <v>-5</v>
      </c>
    </row>
    <row r="88" spans="1:9">
      <c r="A88" s="295">
        <f t="shared" si="21"/>
        <v>71</v>
      </c>
      <c r="B88" s="300">
        <f t="shared" si="27"/>
        <v>2132</v>
      </c>
      <c r="C88" s="296">
        <f t="shared" ca="1" si="22"/>
        <v>5</v>
      </c>
      <c r="D88" s="295"/>
      <c r="E88" s="296">
        <f>IF($D$10=1,IF(MONTH(B88)=MONTH($D$7),D87-'Sch3-Perf Period Cash Flow'!I7,0),IF(MONTH(B88)=MONTH(EDATE($D$7,11)),IF(AND(H87&gt;D77,H87&lt;K22-L22), H87, MIN(D77,H87))-'Sch3-Perf Period Cash Flow'!I7,0))</f>
        <v>0</v>
      </c>
      <c r="F88" s="296">
        <f t="shared" ca="1" si="24"/>
        <v>0</v>
      </c>
      <c r="G88" s="296">
        <f t="shared" ca="1" si="25"/>
        <v>0</v>
      </c>
      <c r="H88" s="296">
        <f t="shared" ca="1" si="26"/>
        <v>5</v>
      </c>
      <c r="I88" s="460">
        <f t="shared" ca="1" si="20"/>
        <v>-5</v>
      </c>
    </row>
    <row r="89" spans="1:9">
      <c r="A89" s="295">
        <f t="shared" si="21"/>
        <v>72</v>
      </c>
      <c r="B89" s="300">
        <f t="shared" si="27"/>
        <v>2162</v>
      </c>
      <c r="C89" s="296">
        <f t="shared" ca="1" si="22"/>
        <v>5</v>
      </c>
      <c r="D89" s="296">
        <f ca="1">IF(H89&lt;0,0,IF((H88+G89)&lt;(K23-L23),H88+G89,K23-L23))</f>
        <v>0</v>
      </c>
      <c r="E89" s="296">
        <f ca="1">IF($D$10=1,IF(MONTH(B89)=MONTH($D$7),D88-'Sch3-Perf Period Cash Flow'!I7,0),IF(MONTH(B89)=MONTH(EDATE($D$7,11)),MIN(D77,H88)-'Sch3-Perf Period Cash Flow'!I7,0))</f>
        <v>-1</v>
      </c>
      <c r="F89" s="296">
        <f t="shared" ca="1" si="24"/>
        <v>-1</v>
      </c>
      <c r="G89" s="296">
        <f t="shared" ca="1" si="25"/>
        <v>0</v>
      </c>
      <c r="H89" s="296">
        <f ca="1">IF(E89="","",ROUND(H88-F89,4))</f>
        <v>6</v>
      </c>
      <c r="I89" s="460">
        <f t="shared" ca="1" si="20"/>
        <v>-6</v>
      </c>
    </row>
    <row r="90" spans="1:9">
      <c r="A90" s="295">
        <f t="shared" si="21"/>
        <v>73</v>
      </c>
      <c r="B90" s="300">
        <f t="shared" si="27"/>
        <v>2193</v>
      </c>
      <c r="C90" s="296">
        <f t="shared" ca="1" si="22"/>
        <v>6</v>
      </c>
      <c r="D90" s="296"/>
      <c r="E90" s="296">
        <f>IF($D$10=1,IF(MONTH(B90)=MONTH($D$7),D89-'Sch3-Perf Period Cash Flow'!J7,0),IF(MONTH(B90)=MONTH(EDATE($D$7,11)),MIN(D78,H89)-'Sch3-Perf Period Cash Flow'!J7,0))</f>
        <v>0</v>
      </c>
      <c r="F90" s="296">
        <f t="shared" ca="1" si="24"/>
        <v>0</v>
      </c>
      <c r="G90" s="296">
        <f t="shared" ca="1" si="25"/>
        <v>0</v>
      </c>
      <c r="H90" s="296">
        <f t="shared" ca="1" si="26"/>
        <v>6</v>
      </c>
      <c r="I90" s="460">
        <f t="shared" ca="1" si="20"/>
        <v>-6</v>
      </c>
    </row>
    <row r="91" spans="1:9">
      <c r="A91" s="295">
        <f t="shared" si="21"/>
        <v>74</v>
      </c>
      <c r="B91" s="300">
        <f t="shared" si="27"/>
        <v>2224</v>
      </c>
      <c r="C91" s="296">
        <f t="shared" ca="1" si="22"/>
        <v>6</v>
      </c>
      <c r="D91" s="296"/>
      <c r="E91" s="296">
        <f t="shared" si="23"/>
        <v>0</v>
      </c>
      <c r="F91" s="296">
        <f t="shared" ca="1" si="24"/>
        <v>0</v>
      </c>
      <c r="G91" s="296">
        <f t="shared" ca="1" si="25"/>
        <v>0</v>
      </c>
      <c r="H91" s="296">
        <f t="shared" ca="1" si="26"/>
        <v>6</v>
      </c>
      <c r="I91" s="460">
        <f t="shared" ca="1" si="20"/>
        <v>-6</v>
      </c>
    </row>
    <row r="92" spans="1:9">
      <c r="A92" s="295">
        <f t="shared" si="21"/>
        <v>75</v>
      </c>
      <c r="B92" s="300">
        <f t="shared" si="27"/>
        <v>2252</v>
      </c>
      <c r="C92" s="296">
        <f t="shared" ca="1" si="22"/>
        <v>6</v>
      </c>
      <c r="D92" s="295"/>
      <c r="E92" s="296">
        <f t="shared" si="23"/>
        <v>0</v>
      </c>
      <c r="F92" s="296">
        <f t="shared" ca="1" si="24"/>
        <v>0</v>
      </c>
      <c r="G92" s="296">
        <f t="shared" ca="1" si="25"/>
        <v>0</v>
      </c>
      <c r="H92" s="296">
        <f t="shared" ca="1" si="26"/>
        <v>6</v>
      </c>
      <c r="I92" s="460">
        <f t="shared" ca="1" si="20"/>
        <v>-6</v>
      </c>
    </row>
    <row r="93" spans="1:9">
      <c r="A93" s="295">
        <f t="shared" si="21"/>
        <v>76</v>
      </c>
      <c r="B93" s="300">
        <f t="shared" si="27"/>
        <v>2283</v>
      </c>
      <c r="C93" s="296">
        <f t="shared" ca="1" si="22"/>
        <v>6</v>
      </c>
      <c r="D93" s="295"/>
      <c r="E93" s="296">
        <f t="shared" si="23"/>
        <v>0</v>
      </c>
      <c r="F93" s="296">
        <f t="shared" ca="1" si="24"/>
        <v>0</v>
      </c>
      <c r="G93" s="296">
        <f t="shared" ca="1" si="25"/>
        <v>0</v>
      </c>
      <c r="H93" s="296">
        <f t="shared" ca="1" si="26"/>
        <v>6</v>
      </c>
      <c r="I93" s="460">
        <f t="shared" ca="1" si="20"/>
        <v>-6</v>
      </c>
    </row>
    <row r="94" spans="1:9">
      <c r="A94" s="295">
        <f t="shared" si="21"/>
        <v>77</v>
      </c>
      <c r="B94" s="300">
        <f t="shared" si="27"/>
        <v>2313</v>
      </c>
      <c r="C94" s="296">
        <f t="shared" ca="1" si="22"/>
        <v>6</v>
      </c>
      <c r="D94" s="295"/>
      <c r="E94" s="296">
        <f t="shared" si="23"/>
        <v>0</v>
      </c>
      <c r="F94" s="296">
        <f t="shared" ca="1" si="24"/>
        <v>0</v>
      </c>
      <c r="G94" s="296">
        <f t="shared" ca="1" si="25"/>
        <v>0</v>
      </c>
      <c r="H94" s="296">
        <f t="shared" ca="1" si="26"/>
        <v>6</v>
      </c>
      <c r="I94" s="460">
        <f t="shared" ca="1" si="20"/>
        <v>-6</v>
      </c>
    </row>
    <row r="95" spans="1:9">
      <c r="A95" s="295">
        <f t="shared" si="21"/>
        <v>78</v>
      </c>
      <c r="B95" s="300">
        <f t="shared" si="27"/>
        <v>2344</v>
      </c>
      <c r="C95" s="296">
        <f t="shared" ca="1" si="22"/>
        <v>6</v>
      </c>
      <c r="D95" s="295"/>
      <c r="E95" s="296">
        <f t="shared" si="23"/>
        <v>0</v>
      </c>
      <c r="F95" s="296">
        <f t="shared" ca="1" si="24"/>
        <v>0</v>
      </c>
      <c r="G95" s="296">
        <f t="shared" ca="1" si="25"/>
        <v>0</v>
      </c>
      <c r="H95" s="296">
        <f t="shared" ca="1" si="26"/>
        <v>6</v>
      </c>
      <c r="I95" s="460">
        <f t="shared" ca="1" si="20"/>
        <v>-6</v>
      </c>
    </row>
    <row r="96" spans="1:9">
      <c r="A96" s="295">
        <f t="shared" si="21"/>
        <v>79</v>
      </c>
      <c r="B96" s="300">
        <f t="shared" si="27"/>
        <v>2374</v>
      </c>
      <c r="C96" s="296">
        <f t="shared" ca="1" si="22"/>
        <v>6</v>
      </c>
      <c r="D96" s="295"/>
      <c r="E96" s="296">
        <f t="shared" si="23"/>
        <v>0</v>
      </c>
      <c r="F96" s="296">
        <f t="shared" ca="1" si="24"/>
        <v>0</v>
      </c>
      <c r="G96" s="296">
        <f t="shared" ca="1" si="25"/>
        <v>0</v>
      </c>
      <c r="H96" s="296">
        <f t="shared" ca="1" si="26"/>
        <v>6</v>
      </c>
      <c r="I96" s="460">
        <f t="shared" ca="1" si="20"/>
        <v>-6</v>
      </c>
    </row>
    <row r="97" spans="1:9">
      <c r="A97" s="295">
        <f t="shared" si="21"/>
        <v>80</v>
      </c>
      <c r="B97" s="300">
        <f t="shared" si="27"/>
        <v>2405</v>
      </c>
      <c r="C97" s="296">
        <f t="shared" ca="1" si="22"/>
        <v>6</v>
      </c>
      <c r="D97" s="295"/>
      <c r="E97" s="296">
        <f t="shared" si="23"/>
        <v>0</v>
      </c>
      <c r="F97" s="296">
        <f t="shared" ca="1" si="24"/>
        <v>0</v>
      </c>
      <c r="G97" s="296">
        <f t="shared" ca="1" si="25"/>
        <v>0</v>
      </c>
      <c r="H97" s="296">
        <f t="shared" ca="1" si="26"/>
        <v>6</v>
      </c>
      <c r="I97" s="460">
        <f t="shared" ca="1" si="20"/>
        <v>-6</v>
      </c>
    </row>
    <row r="98" spans="1:9">
      <c r="A98" s="295">
        <f t="shared" si="21"/>
        <v>81</v>
      </c>
      <c r="B98" s="300">
        <f t="shared" si="27"/>
        <v>2436</v>
      </c>
      <c r="C98" s="296">
        <f t="shared" ca="1" si="22"/>
        <v>6</v>
      </c>
      <c r="D98" s="295"/>
      <c r="E98" s="296">
        <f t="shared" si="23"/>
        <v>0</v>
      </c>
      <c r="F98" s="296">
        <f t="shared" ca="1" si="24"/>
        <v>0</v>
      </c>
      <c r="G98" s="296">
        <f t="shared" ca="1" si="25"/>
        <v>0</v>
      </c>
      <c r="H98" s="296">
        <f t="shared" ca="1" si="26"/>
        <v>6</v>
      </c>
      <c r="I98" s="460">
        <f t="shared" ca="1" si="20"/>
        <v>-6</v>
      </c>
    </row>
    <row r="99" spans="1:9">
      <c r="A99" s="295">
        <f t="shared" si="21"/>
        <v>82</v>
      </c>
      <c r="B99" s="300">
        <f t="shared" si="27"/>
        <v>2466</v>
      </c>
      <c r="C99" s="296">
        <f t="shared" ca="1" si="22"/>
        <v>6</v>
      </c>
      <c r="D99" s="295"/>
      <c r="E99" s="296">
        <f t="shared" si="23"/>
        <v>0</v>
      </c>
      <c r="F99" s="296">
        <f t="shared" ca="1" si="24"/>
        <v>0</v>
      </c>
      <c r="G99" s="296">
        <f t="shared" ca="1" si="25"/>
        <v>0</v>
      </c>
      <c r="H99" s="296">
        <f t="shared" ca="1" si="26"/>
        <v>6</v>
      </c>
      <c r="I99" s="460">
        <f t="shared" ca="1" si="20"/>
        <v>-6</v>
      </c>
    </row>
    <row r="100" spans="1:9">
      <c r="A100" s="295">
        <f t="shared" si="21"/>
        <v>83</v>
      </c>
      <c r="B100" s="300">
        <f t="shared" si="27"/>
        <v>2497</v>
      </c>
      <c r="C100" s="296">
        <f t="shared" ca="1" si="22"/>
        <v>6</v>
      </c>
      <c r="D100" s="295"/>
      <c r="E100" s="296">
        <f>IF($D$10=1,IF(MONTH(B100)=MONTH($D$7),D99-'Sch3-Perf Period Cash Flow'!J7,0),IF(MONTH(B100)=MONTH(EDATE($D$7,11)),IF(AND(H99&gt;D89,H99&lt;K23-L23), H99, MIN(D89,H99))-'Sch3-Perf Period Cash Flow'!J7,0))</f>
        <v>0</v>
      </c>
      <c r="F100" s="296">
        <f t="shared" ca="1" si="24"/>
        <v>0</v>
      </c>
      <c r="G100" s="296">
        <f t="shared" ca="1" si="25"/>
        <v>0</v>
      </c>
      <c r="H100" s="296">
        <f t="shared" ca="1" si="26"/>
        <v>6</v>
      </c>
      <c r="I100" s="460">
        <f t="shared" ca="1" si="20"/>
        <v>-6</v>
      </c>
    </row>
    <row r="101" spans="1:9">
      <c r="A101" s="295">
        <f t="shared" si="21"/>
        <v>84</v>
      </c>
      <c r="B101" s="300">
        <f t="shared" si="27"/>
        <v>2527</v>
      </c>
      <c r="C101" s="296">
        <f t="shared" ca="1" si="22"/>
        <v>6</v>
      </c>
      <c r="D101" s="296">
        <f ca="1">IF(H101&lt;0,0,IF((H100+G101)&lt;(K24-L24),H100+G101,K24-L24))</f>
        <v>0</v>
      </c>
      <c r="E101" s="296">
        <f ca="1">IF($D$10=1,IF(MONTH(B101)=MONTH($D$7),D100-'Sch3-Perf Period Cash Flow'!J7,0),IF(MONTH(B101)=MONTH(EDATE($D$7,11)),MIN(D89,H100)-'Sch3-Perf Period Cash Flow'!J7,0))</f>
        <v>-1</v>
      </c>
      <c r="F101" s="296">
        <f t="shared" ca="1" si="24"/>
        <v>-1</v>
      </c>
      <c r="G101" s="296">
        <f t="shared" ca="1" si="25"/>
        <v>0</v>
      </c>
      <c r="H101" s="296">
        <f t="shared" ca="1" si="26"/>
        <v>7</v>
      </c>
      <c r="I101" s="460">
        <f t="shared" ca="1" si="20"/>
        <v>-7</v>
      </c>
    </row>
    <row r="102" spans="1:9">
      <c r="A102" s="295">
        <f t="shared" si="21"/>
        <v>85</v>
      </c>
      <c r="B102" s="300">
        <f t="shared" si="27"/>
        <v>2558</v>
      </c>
      <c r="C102" s="296">
        <f t="shared" ca="1" si="22"/>
        <v>7</v>
      </c>
      <c r="D102" s="296"/>
      <c r="E102" s="296">
        <f>IF($D$10=1,IF(MONTH(B102)=MONTH($D$7),D101-'Sch3-Perf Period Cash Flow'!K7,0),IF(MONTH(B102)=MONTH(EDATE($D$7,11)),MIN(D90,H101)-'Sch3-Perf Period Cash Flow'!K7,0))</f>
        <v>0</v>
      </c>
      <c r="F102" s="296">
        <f t="shared" ca="1" si="24"/>
        <v>0</v>
      </c>
      <c r="G102" s="296">
        <f t="shared" ca="1" si="25"/>
        <v>0</v>
      </c>
      <c r="H102" s="296">
        <f t="shared" ca="1" si="26"/>
        <v>7</v>
      </c>
      <c r="I102" s="460">
        <f t="shared" ca="1" si="20"/>
        <v>-7</v>
      </c>
    </row>
    <row r="103" spans="1:9">
      <c r="A103" s="295">
        <f t="shared" si="21"/>
        <v>86</v>
      </c>
      <c r="B103" s="300">
        <f t="shared" si="27"/>
        <v>2589</v>
      </c>
      <c r="C103" s="296">
        <f t="shared" ca="1" si="22"/>
        <v>7</v>
      </c>
      <c r="D103" s="295"/>
      <c r="E103" s="296">
        <f t="shared" si="23"/>
        <v>0</v>
      </c>
      <c r="F103" s="296">
        <f t="shared" ca="1" si="24"/>
        <v>0</v>
      </c>
      <c r="G103" s="296">
        <f t="shared" ca="1" si="25"/>
        <v>0</v>
      </c>
      <c r="H103" s="296">
        <f t="shared" ca="1" si="26"/>
        <v>7</v>
      </c>
      <c r="I103" s="460">
        <f t="shared" ca="1" si="20"/>
        <v>-7</v>
      </c>
    </row>
    <row r="104" spans="1:9">
      <c r="A104" s="295">
        <f t="shared" si="21"/>
        <v>87</v>
      </c>
      <c r="B104" s="300">
        <f t="shared" si="27"/>
        <v>2617</v>
      </c>
      <c r="C104" s="296">
        <f t="shared" ca="1" si="22"/>
        <v>7</v>
      </c>
      <c r="D104" s="295"/>
      <c r="E104" s="296">
        <f t="shared" si="23"/>
        <v>0</v>
      </c>
      <c r="F104" s="296">
        <f t="shared" ca="1" si="24"/>
        <v>0</v>
      </c>
      <c r="G104" s="296">
        <f t="shared" ca="1" si="25"/>
        <v>0</v>
      </c>
      <c r="H104" s="296">
        <f t="shared" ca="1" si="26"/>
        <v>7</v>
      </c>
      <c r="I104" s="460">
        <f t="shared" ca="1" si="20"/>
        <v>-7</v>
      </c>
    </row>
    <row r="105" spans="1:9">
      <c r="A105" s="295">
        <f t="shared" si="21"/>
        <v>88</v>
      </c>
      <c r="B105" s="300">
        <f t="shared" si="27"/>
        <v>2648</v>
      </c>
      <c r="C105" s="296">
        <f t="shared" ca="1" si="22"/>
        <v>7</v>
      </c>
      <c r="D105" s="295"/>
      <c r="E105" s="296">
        <f t="shared" si="23"/>
        <v>0</v>
      </c>
      <c r="F105" s="296">
        <f t="shared" ca="1" si="24"/>
        <v>0</v>
      </c>
      <c r="G105" s="296">
        <f t="shared" ca="1" si="25"/>
        <v>0</v>
      </c>
      <c r="H105" s="296">
        <f t="shared" ca="1" si="26"/>
        <v>7</v>
      </c>
      <c r="I105" s="460">
        <f t="shared" ca="1" si="20"/>
        <v>-7</v>
      </c>
    </row>
    <row r="106" spans="1:9">
      <c r="A106" s="295">
        <f t="shared" si="21"/>
        <v>89</v>
      </c>
      <c r="B106" s="300">
        <f t="shared" si="27"/>
        <v>2678</v>
      </c>
      <c r="C106" s="296">
        <f t="shared" ca="1" si="22"/>
        <v>7</v>
      </c>
      <c r="D106" s="295"/>
      <c r="E106" s="296">
        <f t="shared" si="23"/>
        <v>0</v>
      </c>
      <c r="F106" s="296">
        <f t="shared" ca="1" si="24"/>
        <v>0</v>
      </c>
      <c r="G106" s="296">
        <f t="shared" ca="1" si="25"/>
        <v>0</v>
      </c>
      <c r="H106" s="296">
        <f t="shared" ca="1" si="26"/>
        <v>7</v>
      </c>
      <c r="I106" s="460">
        <f t="shared" ca="1" si="20"/>
        <v>-7</v>
      </c>
    </row>
    <row r="107" spans="1:9">
      <c r="A107" s="295">
        <f t="shared" si="21"/>
        <v>90</v>
      </c>
      <c r="B107" s="300">
        <f t="shared" si="27"/>
        <v>2709</v>
      </c>
      <c r="C107" s="296">
        <f t="shared" ca="1" si="22"/>
        <v>7</v>
      </c>
      <c r="D107" s="295"/>
      <c r="E107" s="296">
        <f t="shared" si="23"/>
        <v>0</v>
      </c>
      <c r="F107" s="296">
        <f t="shared" ca="1" si="24"/>
        <v>0</v>
      </c>
      <c r="G107" s="296">
        <f t="shared" ca="1" si="25"/>
        <v>0</v>
      </c>
      <c r="H107" s="296">
        <f t="shared" ca="1" si="26"/>
        <v>7</v>
      </c>
      <c r="I107" s="460">
        <f t="shared" ca="1" si="20"/>
        <v>-7</v>
      </c>
    </row>
    <row r="108" spans="1:9">
      <c r="A108" s="295">
        <f t="shared" si="21"/>
        <v>91</v>
      </c>
      <c r="B108" s="300">
        <f t="shared" si="27"/>
        <v>2739</v>
      </c>
      <c r="C108" s="296">
        <f t="shared" ca="1" si="22"/>
        <v>7</v>
      </c>
      <c r="D108" s="295"/>
      <c r="E108" s="296">
        <f t="shared" si="23"/>
        <v>0</v>
      </c>
      <c r="F108" s="296">
        <f t="shared" ca="1" si="24"/>
        <v>0</v>
      </c>
      <c r="G108" s="296">
        <f t="shared" ca="1" si="25"/>
        <v>0</v>
      </c>
      <c r="H108" s="296">
        <f t="shared" ca="1" si="26"/>
        <v>7</v>
      </c>
      <c r="I108" s="460">
        <f t="shared" ca="1" si="20"/>
        <v>-7</v>
      </c>
    </row>
    <row r="109" spans="1:9">
      <c r="A109" s="295">
        <f t="shared" si="21"/>
        <v>92</v>
      </c>
      <c r="B109" s="300">
        <f t="shared" si="27"/>
        <v>2770</v>
      </c>
      <c r="C109" s="296">
        <f t="shared" ca="1" si="22"/>
        <v>7</v>
      </c>
      <c r="D109" s="295"/>
      <c r="E109" s="296">
        <f t="shared" si="23"/>
        <v>0</v>
      </c>
      <c r="F109" s="296">
        <f t="shared" ca="1" si="24"/>
        <v>0</v>
      </c>
      <c r="G109" s="296">
        <f t="shared" ca="1" si="25"/>
        <v>0</v>
      </c>
      <c r="H109" s="296">
        <f t="shared" ca="1" si="26"/>
        <v>7</v>
      </c>
      <c r="I109" s="460">
        <f t="shared" ca="1" si="20"/>
        <v>-7</v>
      </c>
    </row>
    <row r="110" spans="1:9">
      <c r="A110" s="295">
        <f t="shared" si="21"/>
        <v>93</v>
      </c>
      <c r="B110" s="300">
        <f t="shared" si="27"/>
        <v>2801</v>
      </c>
      <c r="C110" s="296">
        <f t="shared" ca="1" si="22"/>
        <v>7</v>
      </c>
      <c r="D110" s="295"/>
      <c r="E110" s="296">
        <f t="shared" si="23"/>
        <v>0</v>
      </c>
      <c r="F110" s="296">
        <f t="shared" ca="1" si="24"/>
        <v>0</v>
      </c>
      <c r="G110" s="296">
        <f t="shared" ca="1" si="25"/>
        <v>0</v>
      </c>
      <c r="H110" s="296">
        <f t="shared" ca="1" si="26"/>
        <v>7</v>
      </c>
      <c r="I110" s="460">
        <f t="shared" ca="1" si="20"/>
        <v>-7</v>
      </c>
    </row>
    <row r="111" spans="1:9">
      <c r="A111" s="295">
        <f t="shared" si="21"/>
        <v>94</v>
      </c>
      <c r="B111" s="300">
        <f t="shared" si="27"/>
        <v>2831</v>
      </c>
      <c r="C111" s="296">
        <f t="shared" ca="1" si="22"/>
        <v>7</v>
      </c>
      <c r="D111" s="295"/>
      <c r="E111" s="296">
        <f t="shared" si="23"/>
        <v>0</v>
      </c>
      <c r="F111" s="296">
        <f t="shared" ca="1" si="24"/>
        <v>0</v>
      </c>
      <c r="G111" s="296">
        <f t="shared" ca="1" si="25"/>
        <v>0</v>
      </c>
      <c r="H111" s="296">
        <f t="shared" ca="1" si="26"/>
        <v>7</v>
      </c>
      <c r="I111" s="460">
        <f t="shared" ca="1" si="20"/>
        <v>-7</v>
      </c>
    </row>
    <row r="112" spans="1:9">
      <c r="A112" s="295">
        <f t="shared" si="21"/>
        <v>95</v>
      </c>
      <c r="B112" s="300">
        <f t="shared" si="27"/>
        <v>2862</v>
      </c>
      <c r="C112" s="296">
        <f t="shared" ca="1" si="22"/>
        <v>7</v>
      </c>
      <c r="D112" s="295"/>
      <c r="E112" s="296">
        <f>IF($D$10=1,IF(MONTH(B112)=MONTH($D$7),D111-'Sch3-Perf Period Cash Flow'!K7,0),IF(MONTH(B112)=MONTH(EDATE($D$7,11)),IF(AND(H111&gt;D101,H111&lt;K24-L24), H111, MIN(D101,H111))-'Sch3-Perf Period Cash Flow'!K7,0))</f>
        <v>0</v>
      </c>
      <c r="F112" s="296">
        <f t="shared" ca="1" si="24"/>
        <v>0</v>
      </c>
      <c r="G112" s="296">
        <f t="shared" ca="1" si="25"/>
        <v>0</v>
      </c>
      <c r="H112" s="296">
        <f t="shared" ca="1" si="26"/>
        <v>7</v>
      </c>
      <c r="I112" s="460">
        <f t="shared" ca="1" si="20"/>
        <v>-7</v>
      </c>
    </row>
    <row r="113" spans="1:9">
      <c r="A113" s="295">
        <f t="shared" si="21"/>
        <v>96</v>
      </c>
      <c r="B113" s="300">
        <f t="shared" si="27"/>
        <v>2892</v>
      </c>
      <c r="C113" s="296">
        <f t="shared" ca="1" si="22"/>
        <v>7</v>
      </c>
      <c r="D113" s="296">
        <f ca="1">IF(H113&lt;0,0,IF((H112+G113)&lt;(K25-L25),H112+G113,K25-L25))</f>
        <v>0</v>
      </c>
      <c r="E113" s="296">
        <f ca="1">IF($D$10=1,IF(MONTH(B113)=MONTH($D$7),D112-'Sch3-Perf Period Cash Flow'!K7,0),IF(MONTH(B113)=MONTH(EDATE($D$7,11)),MIN(D101,H112)-'Sch3-Perf Period Cash Flow'!K7,0))</f>
        <v>-1</v>
      </c>
      <c r="F113" s="296">
        <f t="shared" ca="1" si="24"/>
        <v>-1</v>
      </c>
      <c r="G113" s="296">
        <f t="shared" ca="1" si="25"/>
        <v>0</v>
      </c>
      <c r="H113" s="296">
        <f ca="1">IF(E113="","",ROUND(H112-F113,4))</f>
        <v>8</v>
      </c>
      <c r="I113" s="460">
        <f t="shared" ca="1" si="20"/>
        <v>-8</v>
      </c>
    </row>
    <row r="114" spans="1:9">
      <c r="A114" s="295">
        <f t="shared" si="21"/>
        <v>97</v>
      </c>
      <c r="B114" s="300">
        <f t="shared" si="27"/>
        <v>2923</v>
      </c>
      <c r="C114" s="296">
        <f t="shared" ca="1" si="22"/>
        <v>8</v>
      </c>
      <c r="D114" s="296"/>
      <c r="E114" s="296">
        <f>IF($D$10=1,IF(MONTH(B114)=MONTH($D$7),D113-'Sch3-Perf Period Cash Flow'!L7,0),IF(MONTH(B114)=MONTH(EDATE($D$7,11)),MIN(D102,H113)-'Sch3-Perf Period Cash Flow'!L7,0))</f>
        <v>0</v>
      </c>
      <c r="F114" s="296">
        <f t="shared" ca="1" si="24"/>
        <v>0</v>
      </c>
      <c r="G114" s="296">
        <f t="shared" ca="1" si="25"/>
        <v>0</v>
      </c>
      <c r="H114" s="296">
        <f ca="1">IF(E114="","",ROUND(H113-F114,4))</f>
        <v>8</v>
      </c>
      <c r="I114" s="460">
        <f t="shared" ca="1" si="20"/>
        <v>-8</v>
      </c>
    </row>
    <row r="115" spans="1:9">
      <c r="A115" s="295">
        <f t="shared" si="21"/>
        <v>98</v>
      </c>
      <c r="B115" s="300">
        <f t="shared" si="27"/>
        <v>2954</v>
      </c>
      <c r="C115" s="296">
        <f t="shared" ca="1" si="22"/>
        <v>8</v>
      </c>
      <c r="D115" s="295"/>
      <c r="E115" s="296">
        <f t="shared" si="23"/>
        <v>0</v>
      </c>
      <c r="F115" s="296">
        <f t="shared" ca="1" si="24"/>
        <v>0</v>
      </c>
      <c r="G115" s="296">
        <f t="shared" ca="1" si="25"/>
        <v>0</v>
      </c>
      <c r="H115" s="296">
        <f t="shared" ca="1" si="26"/>
        <v>8</v>
      </c>
      <c r="I115" s="460">
        <f t="shared" ca="1" si="20"/>
        <v>-8</v>
      </c>
    </row>
    <row r="116" spans="1:9">
      <c r="A116" s="295">
        <f t="shared" si="21"/>
        <v>99</v>
      </c>
      <c r="B116" s="300">
        <f t="shared" si="27"/>
        <v>2983</v>
      </c>
      <c r="C116" s="296">
        <f t="shared" ca="1" si="22"/>
        <v>8</v>
      </c>
      <c r="D116" s="295"/>
      <c r="E116" s="296">
        <f t="shared" si="23"/>
        <v>0</v>
      </c>
      <c r="F116" s="296">
        <f t="shared" ca="1" si="24"/>
        <v>0</v>
      </c>
      <c r="G116" s="296">
        <f t="shared" ca="1" si="25"/>
        <v>0</v>
      </c>
      <c r="H116" s="296">
        <f t="shared" ca="1" si="26"/>
        <v>8</v>
      </c>
      <c r="I116" s="460">
        <f t="shared" ca="1" si="20"/>
        <v>-8</v>
      </c>
    </row>
    <row r="117" spans="1:9">
      <c r="A117" s="295">
        <f t="shared" si="21"/>
        <v>100</v>
      </c>
      <c r="B117" s="300">
        <f t="shared" si="27"/>
        <v>3014</v>
      </c>
      <c r="C117" s="296">
        <f t="shared" ca="1" si="22"/>
        <v>8</v>
      </c>
      <c r="D117" s="295"/>
      <c r="E117" s="296">
        <f t="shared" si="23"/>
        <v>0</v>
      </c>
      <c r="F117" s="296">
        <f t="shared" ca="1" si="24"/>
        <v>0</v>
      </c>
      <c r="G117" s="296">
        <f t="shared" ca="1" si="25"/>
        <v>0</v>
      </c>
      <c r="H117" s="296">
        <f t="shared" ca="1" si="26"/>
        <v>8</v>
      </c>
      <c r="I117" s="460">
        <f t="shared" ca="1" si="20"/>
        <v>-8</v>
      </c>
    </row>
    <row r="118" spans="1:9">
      <c r="A118" s="295">
        <f t="shared" si="21"/>
        <v>101</v>
      </c>
      <c r="B118" s="300">
        <f t="shared" si="27"/>
        <v>3044</v>
      </c>
      <c r="C118" s="296">
        <f t="shared" ca="1" si="22"/>
        <v>8</v>
      </c>
      <c r="D118" s="295"/>
      <c r="E118" s="296">
        <f t="shared" si="23"/>
        <v>0</v>
      </c>
      <c r="F118" s="296">
        <f t="shared" ca="1" si="24"/>
        <v>0</v>
      </c>
      <c r="G118" s="296">
        <f t="shared" ca="1" si="25"/>
        <v>0</v>
      </c>
      <c r="H118" s="296">
        <f t="shared" ca="1" si="26"/>
        <v>8</v>
      </c>
      <c r="I118" s="460">
        <f t="shared" ca="1" si="20"/>
        <v>-8</v>
      </c>
    </row>
    <row r="119" spans="1:9">
      <c r="A119" s="295">
        <f t="shared" si="21"/>
        <v>102</v>
      </c>
      <c r="B119" s="300">
        <f t="shared" si="27"/>
        <v>3075</v>
      </c>
      <c r="C119" s="296">
        <f t="shared" ca="1" si="22"/>
        <v>8</v>
      </c>
      <c r="D119" s="295"/>
      <c r="E119" s="296">
        <f t="shared" si="23"/>
        <v>0</v>
      </c>
      <c r="F119" s="296">
        <f t="shared" ca="1" si="24"/>
        <v>0</v>
      </c>
      <c r="G119" s="296">
        <f t="shared" ca="1" si="25"/>
        <v>0</v>
      </c>
      <c r="H119" s="296">
        <f t="shared" ca="1" si="26"/>
        <v>8</v>
      </c>
      <c r="I119" s="460">
        <f t="shared" ca="1" si="20"/>
        <v>-8</v>
      </c>
    </row>
    <row r="120" spans="1:9">
      <c r="A120" s="295">
        <f t="shared" si="21"/>
        <v>103</v>
      </c>
      <c r="B120" s="300">
        <f t="shared" si="27"/>
        <v>3105</v>
      </c>
      <c r="C120" s="296">
        <f t="shared" ca="1" si="22"/>
        <v>8</v>
      </c>
      <c r="D120" s="295"/>
      <c r="E120" s="296">
        <f t="shared" si="23"/>
        <v>0</v>
      </c>
      <c r="F120" s="296">
        <f t="shared" ca="1" si="24"/>
        <v>0</v>
      </c>
      <c r="G120" s="296">
        <f t="shared" ca="1" si="25"/>
        <v>0</v>
      </c>
      <c r="H120" s="296">
        <f t="shared" ca="1" si="26"/>
        <v>8</v>
      </c>
      <c r="I120" s="460">
        <f t="shared" ca="1" si="20"/>
        <v>-8</v>
      </c>
    </row>
    <row r="121" spans="1:9">
      <c r="A121" s="295">
        <f t="shared" si="21"/>
        <v>104</v>
      </c>
      <c r="B121" s="300">
        <f t="shared" si="27"/>
        <v>3136</v>
      </c>
      <c r="C121" s="296">
        <f t="shared" ca="1" si="22"/>
        <v>8</v>
      </c>
      <c r="D121" s="295"/>
      <c r="E121" s="296">
        <f t="shared" si="23"/>
        <v>0</v>
      </c>
      <c r="F121" s="296">
        <f t="shared" ca="1" si="24"/>
        <v>0</v>
      </c>
      <c r="G121" s="296">
        <f t="shared" ca="1" si="25"/>
        <v>0</v>
      </c>
      <c r="H121" s="296">
        <f t="shared" ca="1" si="26"/>
        <v>8</v>
      </c>
      <c r="I121" s="460">
        <f t="shared" ca="1" si="20"/>
        <v>-8</v>
      </c>
    </row>
    <row r="122" spans="1:9">
      <c r="A122" s="295">
        <f t="shared" si="21"/>
        <v>105</v>
      </c>
      <c r="B122" s="300">
        <f t="shared" si="27"/>
        <v>3167</v>
      </c>
      <c r="C122" s="296">
        <f t="shared" ca="1" si="22"/>
        <v>8</v>
      </c>
      <c r="D122" s="295"/>
      <c r="E122" s="296">
        <f t="shared" si="23"/>
        <v>0</v>
      </c>
      <c r="F122" s="296">
        <f t="shared" ca="1" si="24"/>
        <v>0</v>
      </c>
      <c r="G122" s="296">
        <f t="shared" ca="1" si="25"/>
        <v>0</v>
      </c>
      <c r="H122" s="296">
        <f t="shared" ca="1" si="26"/>
        <v>8</v>
      </c>
      <c r="I122" s="460">
        <f t="shared" ca="1" si="20"/>
        <v>-8</v>
      </c>
    </row>
    <row r="123" spans="1:9">
      <c r="A123" s="295">
        <f t="shared" si="21"/>
        <v>106</v>
      </c>
      <c r="B123" s="300">
        <f t="shared" si="27"/>
        <v>3197</v>
      </c>
      <c r="C123" s="296">
        <f t="shared" ca="1" si="22"/>
        <v>8</v>
      </c>
      <c r="D123" s="295"/>
      <c r="E123" s="296">
        <f t="shared" si="23"/>
        <v>0</v>
      </c>
      <c r="F123" s="296">
        <f t="shared" ca="1" si="24"/>
        <v>0</v>
      </c>
      <c r="G123" s="296">
        <f t="shared" ca="1" si="25"/>
        <v>0</v>
      </c>
      <c r="H123" s="296">
        <f t="shared" ca="1" si="26"/>
        <v>8</v>
      </c>
      <c r="I123" s="460">
        <f t="shared" ca="1" si="20"/>
        <v>-8</v>
      </c>
    </row>
    <row r="124" spans="1:9">
      <c r="A124" s="295">
        <f t="shared" si="21"/>
        <v>107</v>
      </c>
      <c r="B124" s="300">
        <f t="shared" si="27"/>
        <v>3228</v>
      </c>
      <c r="C124" s="296">
        <f t="shared" ca="1" si="22"/>
        <v>8</v>
      </c>
      <c r="D124" s="295"/>
      <c r="E124" s="296">
        <f>IF($D$10=1,IF(MONTH(B124)=MONTH($D$7),D123-'Sch3-Perf Period Cash Flow'!L7,0),IF(MONTH(B124)=MONTH(EDATE($D$7,11)),IF(AND(H123&gt;D113,H123&lt;K25-L25), H123, MIN(D113,H123))-'Sch3-Perf Period Cash Flow'!L7,0))</f>
        <v>0</v>
      </c>
      <c r="F124" s="296">
        <f t="shared" ca="1" si="24"/>
        <v>0</v>
      </c>
      <c r="G124" s="296">
        <f t="shared" ca="1" si="25"/>
        <v>0</v>
      </c>
      <c r="H124" s="296">
        <f t="shared" ca="1" si="26"/>
        <v>8</v>
      </c>
      <c r="I124" s="460">
        <f t="shared" ca="1" si="20"/>
        <v>-8</v>
      </c>
    </row>
    <row r="125" spans="1:9">
      <c r="A125" s="295">
        <f t="shared" si="21"/>
        <v>108</v>
      </c>
      <c r="B125" s="300">
        <f t="shared" si="27"/>
        <v>3258</v>
      </c>
      <c r="C125" s="296">
        <f t="shared" ca="1" si="22"/>
        <v>8</v>
      </c>
      <c r="D125" s="296">
        <f ca="1">IF(H125&lt;0,0,IF((H124+G125)&lt;(K26-L26),H124+G125,K26-L26))</f>
        <v>0</v>
      </c>
      <c r="E125" s="296">
        <f ca="1">IF($D$10=1,IF(MONTH(B125)=MONTH($D$7),D124-'Sch3-Perf Period Cash Flow'!L7,0),IF(MONTH(B125)=MONTH(EDATE($D$7,11)),MIN(D113,H124)-'Sch3-Perf Period Cash Flow'!L7,0))</f>
        <v>-1</v>
      </c>
      <c r="F125" s="296">
        <f t="shared" ca="1" si="24"/>
        <v>-1</v>
      </c>
      <c r="G125" s="296">
        <f t="shared" ca="1" si="25"/>
        <v>0</v>
      </c>
      <c r="H125" s="296">
        <f ca="1">IF(E125="","",ROUND(H124-F125,4))</f>
        <v>9</v>
      </c>
      <c r="I125" s="460">
        <f t="shared" ca="1" si="20"/>
        <v>-9</v>
      </c>
    </row>
    <row r="126" spans="1:9">
      <c r="A126" s="295">
        <f t="shared" si="21"/>
        <v>109</v>
      </c>
      <c r="B126" s="300">
        <f t="shared" si="27"/>
        <v>3289</v>
      </c>
      <c r="C126" s="296">
        <f t="shared" ca="1" si="22"/>
        <v>9</v>
      </c>
      <c r="D126" s="296"/>
      <c r="E126" s="296">
        <f>IF($D$10=1,IF(MONTH(B126)=MONTH($D$7),D125-'Sch3-Perf Period Cash Flow'!M7,0),IF(MONTH(B126)=MONTH(EDATE($D$7,11)),MIN(D114,H125)-'Sch3-Perf Period Cash Flow'!M7,0))</f>
        <v>0</v>
      </c>
      <c r="F126" s="296">
        <f t="shared" ca="1" si="24"/>
        <v>0</v>
      </c>
      <c r="G126" s="296">
        <f t="shared" ca="1" si="25"/>
        <v>0</v>
      </c>
      <c r="H126" s="296">
        <f t="shared" ca="1" si="26"/>
        <v>9</v>
      </c>
      <c r="I126" s="460">
        <f t="shared" ca="1" si="20"/>
        <v>-9</v>
      </c>
    </row>
    <row r="127" spans="1:9">
      <c r="A127" s="295">
        <f t="shared" si="21"/>
        <v>110</v>
      </c>
      <c r="B127" s="300">
        <f t="shared" si="27"/>
        <v>3320</v>
      </c>
      <c r="C127" s="296">
        <f t="shared" ca="1" si="22"/>
        <v>9</v>
      </c>
      <c r="D127" s="295"/>
      <c r="E127" s="296">
        <f t="shared" ref="E127:E190" si="28">IF($D$10=1,IF(MONTH(B127)=MONTH($D$7),D126,0),IF(MONTH(B127)=MONTH(EDATE($D$7,11)),MIN(D115,H126),0))</f>
        <v>0</v>
      </c>
      <c r="F127" s="296">
        <f t="shared" ca="1" si="24"/>
        <v>0</v>
      </c>
      <c r="G127" s="296">
        <f t="shared" ca="1" si="25"/>
        <v>0</v>
      </c>
      <c r="H127" s="296">
        <f t="shared" ca="1" si="26"/>
        <v>9</v>
      </c>
      <c r="I127" s="460">
        <f t="shared" ca="1" si="20"/>
        <v>-9</v>
      </c>
    </row>
    <row r="128" spans="1:9">
      <c r="A128" s="295">
        <f t="shared" si="21"/>
        <v>111</v>
      </c>
      <c r="B128" s="300">
        <f t="shared" si="27"/>
        <v>3348</v>
      </c>
      <c r="C128" s="296">
        <f t="shared" ca="1" si="22"/>
        <v>9</v>
      </c>
      <c r="D128" s="295"/>
      <c r="E128" s="296">
        <f t="shared" si="28"/>
        <v>0</v>
      </c>
      <c r="F128" s="296">
        <f t="shared" ca="1" si="24"/>
        <v>0</v>
      </c>
      <c r="G128" s="296">
        <f t="shared" ca="1" si="25"/>
        <v>0</v>
      </c>
      <c r="H128" s="296">
        <f t="shared" ca="1" si="26"/>
        <v>9</v>
      </c>
      <c r="I128" s="460">
        <f t="shared" ca="1" si="20"/>
        <v>-9</v>
      </c>
    </row>
    <row r="129" spans="1:9">
      <c r="A129" s="295">
        <f t="shared" si="21"/>
        <v>112</v>
      </c>
      <c r="B129" s="300">
        <f t="shared" si="27"/>
        <v>3379</v>
      </c>
      <c r="C129" s="296">
        <f t="shared" ca="1" si="22"/>
        <v>9</v>
      </c>
      <c r="D129" s="295"/>
      <c r="E129" s="296">
        <f t="shared" si="28"/>
        <v>0</v>
      </c>
      <c r="F129" s="296">
        <f t="shared" ca="1" si="24"/>
        <v>0</v>
      </c>
      <c r="G129" s="296">
        <f t="shared" ca="1" si="25"/>
        <v>0</v>
      </c>
      <c r="H129" s="296">
        <f t="shared" ca="1" si="26"/>
        <v>9</v>
      </c>
      <c r="I129" s="460">
        <f t="shared" ca="1" si="20"/>
        <v>-9</v>
      </c>
    </row>
    <row r="130" spans="1:9">
      <c r="A130" s="295">
        <f t="shared" si="21"/>
        <v>113</v>
      </c>
      <c r="B130" s="300">
        <f t="shared" si="27"/>
        <v>3409</v>
      </c>
      <c r="C130" s="296">
        <f t="shared" ca="1" si="22"/>
        <v>9</v>
      </c>
      <c r="D130" s="295"/>
      <c r="E130" s="296">
        <f t="shared" si="28"/>
        <v>0</v>
      </c>
      <c r="F130" s="296">
        <f t="shared" ca="1" si="24"/>
        <v>0</v>
      </c>
      <c r="G130" s="296">
        <f t="shared" ca="1" si="25"/>
        <v>0</v>
      </c>
      <c r="H130" s="296">
        <f t="shared" ca="1" si="26"/>
        <v>9</v>
      </c>
      <c r="I130" s="460">
        <f t="shared" ca="1" si="20"/>
        <v>-9</v>
      </c>
    </row>
    <row r="131" spans="1:9">
      <c r="A131" s="295">
        <f t="shared" si="21"/>
        <v>114</v>
      </c>
      <c r="B131" s="300">
        <f t="shared" si="27"/>
        <v>3440</v>
      </c>
      <c r="C131" s="296">
        <f t="shared" ca="1" si="22"/>
        <v>9</v>
      </c>
      <c r="D131" s="295"/>
      <c r="E131" s="296">
        <f t="shared" si="28"/>
        <v>0</v>
      </c>
      <c r="F131" s="296">
        <f t="shared" ca="1" si="24"/>
        <v>0</v>
      </c>
      <c r="G131" s="296">
        <f t="shared" ca="1" si="25"/>
        <v>0</v>
      </c>
      <c r="H131" s="296">
        <f t="shared" ca="1" si="26"/>
        <v>9</v>
      </c>
      <c r="I131" s="460">
        <f t="shared" ca="1" si="20"/>
        <v>-9</v>
      </c>
    </row>
    <row r="132" spans="1:9">
      <c r="A132" s="295">
        <f t="shared" si="21"/>
        <v>115</v>
      </c>
      <c r="B132" s="300">
        <f t="shared" si="27"/>
        <v>3470</v>
      </c>
      <c r="C132" s="296">
        <f t="shared" ca="1" si="22"/>
        <v>9</v>
      </c>
      <c r="D132" s="295"/>
      <c r="E132" s="296">
        <f t="shared" si="28"/>
        <v>0</v>
      </c>
      <c r="F132" s="296">
        <f t="shared" ca="1" si="24"/>
        <v>0</v>
      </c>
      <c r="G132" s="296">
        <f t="shared" ca="1" si="25"/>
        <v>0</v>
      </c>
      <c r="H132" s="296">
        <f t="shared" ca="1" si="26"/>
        <v>9</v>
      </c>
      <c r="I132" s="460">
        <f t="shared" ca="1" si="20"/>
        <v>-9</v>
      </c>
    </row>
    <row r="133" spans="1:9">
      <c r="A133" s="295">
        <f t="shared" si="21"/>
        <v>116</v>
      </c>
      <c r="B133" s="300">
        <f t="shared" si="27"/>
        <v>3501</v>
      </c>
      <c r="C133" s="296">
        <f t="shared" ca="1" si="22"/>
        <v>9</v>
      </c>
      <c r="D133" s="295"/>
      <c r="E133" s="296">
        <f t="shared" si="28"/>
        <v>0</v>
      </c>
      <c r="F133" s="296">
        <f t="shared" ca="1" si="24"/>
        <v>0</v>
      </c>
      <c r="G133" s="296">
        <f t="shared" ca="1" si="25"/>
        <v>0</v>
      </c>
      <c r="H133" s="296">
        <f t="shared" ca="1" si="26"/>
        <v>9</v>
      </c>
      <c r="I133" s="460">
        <f t="shared" ca="1" si="20"/>
        <v>-9</v>
      </c>
    </row>
    <row r="134" spans="1:9">
      <c r="A134" s="295">
        <f t="shared" si="21"/>
        <v>117</v>
      </c>
      <c r="B134" s="300">
        <f t="shared" si="27"/>
        <v>3532</v>
      </c>
      <c r="C134" s="296">
        <f t="shared" ca="1" si="22"/>
        <v>9</v>
      </c>
      <c r="D134" s="295"/>
      <c r="E134" s="296">
        <f t="shared" si="28"/>
        <v>0</v>
      </c>
      <c r="F134" s="296">
        <f t="shared" ca="1" si="24"/>
        <v>0</v>
      </c>
      <c r="G134" s="296">
        <f t="shared" ca="1" si="25"/>
        <v>0</v>
      </c>
      <c r="H134" s="296">
        <f t="shared" ca="1" si="26"/>
        <v>9</v>
      </c>
      <c r="I134" s="460">
        <f t="shared" ca="1" si="20"/>
        <v>-9</v>
      </c>
    </row>
    <row r="135" spans="1:9">
      <c r="A135" s="295">
        <f t="shared" si="21"/>
        <v>118</v>
      </c>
      <c r="B135" s="300">
        <f t="shared" si="27"/>
        <v>3562</v>
      </c>
      <c r="C135" s="296">
        <f t="shared" ca="1" si="22"/>
        <v>9</v>
      </c>
      <c r="D135" s="295"/>
      <c r="E135" s="296">
        <f t="shared" si="28"/>
        <v>0</v>
      </c>
      <c r="F135" s="296">
        <f t="shared" ca="1" si="24"/>
        <v>0</v>
      </c>
      <c r="G135" s="296">
        <f t="shared" ca="1" si="25"/>
        <v>0</v>
      </c>
      <c r="H135" s="296">
        <f t="shared" ca="1" si="26"/>
        <v>9</v>
      </c>
      <c r="I135" s="460">
        <f t="shared" ca="1" si="20"/>
        <v>-9</v>
      </c>
    </row>
    <row r="136" spans="1:9">
      <c r="A136" s="295">
        <f t="shared" si="21"/>
        <v>119</v>
      </c>
      <c r="B136" s="300">
        <f t="shared" si="27"/>
        <v>3593</v>
      </c>
      <c r="C136" s="296">
        <f t="shared" ca="1" si="22"/>
        <v>9</v>
      </c>
      <c r="D136" s="295"/>
      <c r="E136" s="296">
        <f>IF($D$10=1,IF(MONTH(B136)=MONTH($D$7),D135-'Sch3-Perf Period Cash Flow'!M7,0),IF(MONTH(B136)=MONTH(EDATE($D$7,11)),IF(AND(H135&gt;D125,H135&lt;K26-L26), H135, MIN(D125,H135))-'Sch3-Perf Period Cash Flow'!M7,0))</f>
        <v>0</v>
      </c>
      <c r="F136" s="296">
        <f t="shared" ca="1" si="24"/>
        <v>0</v>
      </c>
      <c r="G136" s="296">
        <f t="shared" ca="1" si="25"/>
        <v>0</v>
      </c>
      <c r="H136" s="296">
        <f t="shared" ca="1" si="26"/>
        <v>9</v>
      </c>
      <c r="I136" s="460">
        <f t="shared" ca="1" si="20"/>
        <v>-9</v>
      </c>
    </row>
    <row r="137" spans="1:9">
      <c r="A137" s="295">
        <f t="shared" si="21"/>
        <v>120</v>
      </c>
      <c r="B137" s="300">
        <f t="shared" si="27"/>
        <v>3623</v>
      </c>
      <c r="C137" s="296">
        <f t="shared" ca="1" si="22"/>
        <v>9</v>
      </c>
      <c r="D137" s="296">
        <f ca="1">IF(H137&lt;0,0,IF((H136+G137)&lt;(K27-L27),H136+G137,K27-L27))</f>
        <v>0</v>
      </c>
      <c r="E137" s="296">
        <f ca="1">IF($D$10=1,IF(MONTH(B137)=MONTH($D$7),D136-'Sch3-Perf Period Cash Flow'!M7,0),IF(MONTH(B137)=MONTH(EDATE($D$7,11)),MIN(D125,H136)-'Sch3-Perf Period Cash Flow'!M7,0))</f>
        <v>-1</v>
      </c>
      <c r="F137" s="296">
        <f t="shared" ca="1" si="24"/>
        <v>-1</v>
      </c>
      <c r="G137" s="296">
        <f t="shared" ca="1" si="25"/>
        <v>0</v>
      </c>
      <c r="H137" s="296">
        <f t="shared" ca="1" si="26"/>
        <v>10</v>
      </c>
      <c r="I137" s="460">
        <f t="shared" ca="1" si="20"/>
        <v>-10</v>
      </c>
    </row>
    <row r="138" spans="1:9">
      <c r="A138" s="295">
        <f t="shared" si="21"/>
        <v>121</v>
      </c>
      <c r="B138" s="300">
        <f t="shared" si="27"/>
        <v>3654</v>
      </c>
      <c r="C138" s="296">
        <f t="shared" ca="1" si="22"/>
        <v>10</v>
      </c>
      <c r="D138" s="296"/>
      <c r="E138" s="296">
        <f>IF($D$10=1,IF(MONTH(B138)=MONTH($D$7),D137-'Sch3-Perf Period Cash Flow'!N7,0),IF(MONTH(B138)=MONTH(EDATE($D$7,11)),MIN(D126,H137)-'Sch3-Perf Period Cash Flow'!N7,0))</f>
        <v>0</v>
      </c>
      <c r="F138" s="296">
        <f t="shared" ca="1" si="24"/>
        <v>0</v>
      </c>
      <c r="G138" s="296">
        <f t="shared" ca="1" si="25"/>
        <v>0</v>
      </c>
      <c r="H138" s="296">
        <f t="shared" ca="1" si="26"/>
        <v>10</v>
      </c>
      <c r="I138" s="460">
        <f t="shared" ca="1" si="20"/>
        <v>-10</v>
      </c>
    </row>
    <row r="139" spans="1:9">
      <c r="A139" s="295">
        <f t="shared" si="21"/>
        <v>122</v>
      </c>
      <c r="B139" s="300">
        <f t="shared" si="27"/>
        <v>3685</v>
      </c>
      <c r="C139" s="296">
        <f t="shared" ca="1" si="22"/>
        <v>10</v>
      </c>
      <c r="D139" s="295"/>
      <c r="E139" s="296">
        <f t="shared" si="28"/>
        <v>0</v>
      </c>
      <c r="F139" s="296">
        <f t="shared" ca="1" si="24"/>
        <v>0</v>
      </c>
      <c r="G139" s="296">
        <f t="shared" ca="1" si="25"/>
        <v>0</v>
      </c>
      <c r="H139" s="296">
        <f t="shared" ca="1" si="26"/>
        <v>10</v>
      </c>
      <c r="I139" s="460">
        <f t="shared" ca="1" si="20"/>
        <v>-10</v>
      </c>
    </row>
    <row r="140" spans="1:9">
      <c r="A140" s="295">
        <f t="shared" si="21"/>
        <v>123</v>
      </c>
      <c r="B140" s="300">
        <f t="shared" si="27"/>
        <v>3713</v>
      </c>
      <c r="C140" s="296">
        <f t="shared" ca="1" si="22"/>
        <v>10</v>
      </c>
      <c r="D140" s="295"/>
      <c r="E140" s="296">
        <f t="shared" si="28"/>
        <v>0</v>
      </c>
      <c r="F140" s="296">
        <f t="shared" ca="1" si="24"/>
        <v>0</v>
      </c>
      <c r="G140" s="296">
        <f t="shared" ca="1" si="25"/>
        <v>0</v>
      </c>
      <c r="H140" s="296">
        <f t="shared" ca="1" si="26"/>
        <v>10</v>
      </c>
      <c r="I140" s="460">
        <f t="shared" ca="1" si="20"/>
        <v>-10</v>
      </c>
    </row>
    <row r="141" spans="1:9">
      <c r="A141" s="295">
        <f t="shared" si="21"/>
        <v>124</v>
      </c>
      <c r="B141" s="300">
        <f t="shared" si="27"/>
        <v>3744</v>
      </c>
      <c r="C141" s="296">
        <f t="shared" ca="1" si="22"/>
        <v>10</v>
      </c>
      <c r="D141" s="295"/>
      <c r="E141" s="296">
        <f t="shared" si="28"/>
        <v>0</v>
      </c>
      <c r="F141" s="296">
        <f t="shared" ca="1" si="24"/>
        <v>0</v>
      </c>
      <c r="G141" s="296">
        <f t="shared" ca="1" si="25"/>
        <v>0</v>
      </c>
      <c r="H141" s="296">
        <f t="shared" ca="1" si="26"/>
        <v>10</v>
      </c>
      <c r="I141" s="460">
        <f t="shared" ca="1" si="20"/>
        <v>-10</v>
      </c>
    </row>
    <row r="142" spans="1:9">
      <c r="A142" s="295">
        <f t="shared" si="21"/>
        <v>125</v>
      </c>
      <c r="B142" s="300">
        <f t="shared" si="27"/>
        <v>3774</v>
      </c>
      <c r="C142" s="296">
        <f t="shared" ca="1" si="22"/>
        <v>10</v>
      </c>
      <c r="D142" s="295"/>
      <c r="E142" s="296">
        <f t="shared" si="28"/>
        <v>0</v>
      </c>
      <c r="F142" s="296">
        <f t="shared" ca="1" si="24"/>
        <v>0</v>
      </c>
      <c r="G142" s="296">
        <f t="shared" ca="1" si="25"/>
        <v>0</v>
      </c>
      <c r="H142" s="296">
        <f t="shared" ca="1" si="26"/>
        <v>10</v>
      </c>
      <c r="I142" s="460">
        <f t="shared" ca="1" si="20"/>
        <v>-10</v>
      </c>
    </row>
    <row r="143" spans="1:9">
      <c r="A143" s="295">
        <f t="shared" si="21"/>
        <v>126</v>
      </c>
      <c r="B143" s="300">
        <f t="shared" si="27"/>
        <v>3805</v>
      </c>
      <c r="C143" s="296">
        <f t="shared" ca="1" si="22"/>
        <v>10</v>
      </c>
      <c r="D143" s="295"/>
      <c r="E143" s="296">
        <f t="shared" si="28"/>
        <v>0</v>
      </c>
      <c r="F143" s="296">
        <f t="shared" ca="1" si="24"/>
        <v>0</v>
      </c>
      <c r="G143" s="296">
        <f t="shared" ca="1" si="25"/>
        <v>0</v>
      </c>
      <c r="H143" s="296">
        <f t="shared" ca="1" si="26"/>
        <v>10</v>
      </c>
      <c r="I143" s="460">
        <f t="shared" ca="1" si="20"/>
        <v>-10</v>
      </c>
    </row>
    <row r="144" spans="1:9">
      <c r="A144" s="295">
        <f t="shared" si="21"/>
        <v>127</v>
      </c>
      <c r="B144" s="300">
        <f t="shared" si="27"/>
        <v>3835</v>
      </c>
      <c r="C144" s="296">
        <f t="shared" ca="1" si="22"/>
        <v>10</v>
      </c>
      <c r="D144" s="295"/>
      <c r="E144" s="296">
        <f t="shared" si="28"/>
        <v>0</v>
      </c>
      <c r="F144" s="296">
        <f t="shared" ca="1" si="24"/>
        <v>0</v>
      </c>
      <c r="G144" s="296">
        <f t="shared" ca="1" si="25"/>
        <v>0</v>
      </c>
      <c r="H144" s="296">
        <f t="shared" ca="1" si="26"/>
        <v>10</v>
      </c>
      <c r="I144" s="460">
        <f t="shared" ca="1" si="20"/>
        <v>-10</v>
      </c>
    </row>
    <row r="145" spans="1:9">
      <c r="A145" s="295">
        <f t="shared" si="21"/>
        <v>128</v>
      </c>
      <c r="B145" s="300">
        <f t="shared" si="27"/>
        <v>3866</v>
      </c>
      <c r="C145" s="296">
        <f t="shared" ca="1" si="22"/>
        <v>10</v>
      </c>
      <c r="D145" s="295"/>
      <c r="E145" s="296">
        <f t="shared" si="28"/>
        <v>0</v>
      </c>
      <c r="F145" s="296">
        <f t="shared" ca="1" si="24"/>
        <v>0</v>
      </c>
      <c r="G145" s="296">
        <f t="shared" ca="1" si="25"/>
        <v>0</v>
      </c>
      <c r="H145" s="296">
        <f t="shared" ca="1" si="26"/>
        <v>10</v>
      </c>
      <c r="I145" s="460">
        <f t="shared" ca="1" si="20"/>
        <v>-10</v>
      </c>
    </row>
    <row r="146" spans="1:9">
      <c r="A146" s="295">
        <f t="shared" si="21"/>
        <v>129</v>
      </c>
      <c r="B146" s="300">
        <f t="shared" si="27"/>
        <v>3897</v>
      </c>
      <c r="C146" s="296">
        <f t="shared" ca="1" si="22"/>
        <v>10</v>
      </c>
      <c r="D146" s="295"/>
      <c r="E146" s="296">
        <f t="shared" si="28"/>
        <v>0</v>
      </c>
      <c r="F146" s="296">
        <f t="shared" ca="1" si="24"/>
        <v>0</v>
      </c>
      <c r="G146" s="296">
        <f t="shared" ca="1" si="25"/>
        <v>0</v>
      </c>
      <c r="H146" s="296">
        <f t="shared" ca="1" si="26"/>
        <v>10</v>
      </c>
      <c r="I146" s="460">
        <f t="shared" ref="I146:I209" ca="1" si="29">ROUND((D146-H146),0)</f>
        <v>-10</v>
      </c>
    </row>
    <row r="147" spans="1:9">
      <c r="A147" s="295">
        <f t="shared" ref="A147:A210" si="30">IF(A146="","",IF(A146=$D$6,"",A146+1))</f>
        <v>130</v>
      </c>
      <c r="B147" s="300">
        <f t="shared" si="27"/>
        <v>3927</v>
      </c>
      <c r="C147" s="296">
        <f t="shared" ref="C147:C210" ca="1" si="31">IF(H146=0,0,H146)</f>
        <v>10</v>
      </c>
      <c r="D147" s="295"/>
      <c r="E147" s="296">
        <f t="shared" si="28"/>
        <v>0</v>
      </c>
      <c r="F147" s="296">
        <f t="shared" ref="F147:F210" ca="1" si="32">IF(E147="","",E147-G147)</f>
        <v>0</v>
      </c>
      <c r="G147" s="296">
        <f t="shared" ref="G147:G210" ca="1" si="33">ROUND((C147-E147)*$D$5,3)</f>
        <v>0</v>
      </c>
      <c r="H147" s="296">
        <f t="shared" ref="H147:H210" ca="1" si="34">IF(E147="","",ROUND(H146-F147,4))</f>
        <v>10</v>
      </c>
      <c r="I147" s="460">
        <f t="shared" ca="1" si="29"/>
        <v>-10</v>
      </c>
    </row>
    <row r="148" spans="1:9">
      <c r="A148" s="295">
        <f t="shared" si="30"/>
        <v>131</v>
      </c>
      <c r="B148" s="300">
        <f t="shared" ref="B148:B211" si="35">DATE(YEAR(B147),MONTH(B147)+1,1)</f>
        <v>3958</v>
      </c>
      <c r="C148" s="296">
        <f t="shared" ca="1" si="31"/>
        <v>10</v>
      </c>
      <c r="D148" s="295"/>
      <c r="E148" s="296">
        <f>IF($D$10=1,IF(MONTH(B148)=MONTH($D$7),D147-'Sch3-Perf Period Cash Flow'!N7,0),IF(MONTH(B148)=MONTH(EDATE($D$7,11)),IF(AND(H147&gt;D137,H147&lt;K27-L27), H147, MIN(D137,H147))-'Sch3-Perf Period Cash Flow'!N7,0))</f>
        <v>0</v>
      </c>
      <c r="F148" s="296">
        <f t="shared" ca="1" si="32"/>
        <v>0</v>
      </c>
      <c r="G148" s="296">
        <f t="shared" ca="1" si="33"/>
        <v>0</v>
      </c>
      <c r="H148" s="296">
        <f t="shared" ca="1" si="34"/>
        <v>10</v>
      </c>
      <c r="I148" s="460">
        <f t="shared" ca="1" si="29"/>
        <v>-10</v>
      </c>
    </row>
    <row r="149" spans="1:9">
      <c r="A149" s="295">
        <f t="shared" si="30"/>
        <v>132</v>
      </c>
      <c r="B149" s="300">
        <f t="shared" si="35"/>
        <v>3988</v>
      </c>
      <c r="C149" s="296">
        <f t="shared" ca="1" si="31"/>
        <v>10</v>
      </c>
      <c r="D149" s="296">
        <f ca="1">IF(H149&lt;0,0,IF((H148+G149)&lt;(K28-L28),H148+G149,K28-L28))</f>
        <v>0</v>
      </c>
      <c r="E149" s="296">
        <f ca="1">IF($D$10=1,IF(MONTH(B149)=MONTH($D$7),D148-'Sch3-Perf Period Cash Flow'!N7,0),IF(MONTH(B149)=MONTH(EDATE($D$7,11)),MIN(D137,H148)-'Sch3-Perf Period Cash Flow'!N7,0))</f>
        <v>-1</v>
      </c>
      <c r="F149" s="296">
        <f t="shared" ca="1" si="32"/>
        <v>-1</v>
      </c>
      <c r="G149" s="296">
        <f t="shared" ca="1" si="33"/>
        <v>0</v>
      </c>
      <c r="H149" s="296">
        <f t="shared" ca="1" si="34"/>
        <v>11</v>
      </c>
      <c r="I149" s="460">
        <f t="shared" ca="1" si="29"/>
        <v>-11</v>
      </c>
    </row>
    <row r="150" spans="1:9">
      <c r="A150" s="295">
        <f t="shared" si="30"/>
        <v>133</v>
      </c>
      <c r="B150" s="300">
        <f t="shared" si="35"/>
        <v>4019</v>
      </c>
      <c r="C150" s="296">
        <f t="shared" ca="1" si="31"/>
        <v>11</v>
      </c>
      <c r="D150" s="296"/>
      <c r="E150" s="296">
        <f>IF($D$10=1,IF(MONTH(B150)=MONTH($D$7),D149-'Sch3-Perf Period Cash Flow'!O7,0),IF(MONTH(B150)=MONTH(EDATE($D$7,11)),MIN(D138,H149)-'Sch3-Perf Period Cash Flow'!O7,0))</f>
        <v>0</v>
      </c>
      <c r="F150" s="296">
        <f t="shared" ca="1" si="32"/>
        <v>0</v>
      </c>
      <c r="G150" s="296">
        <f t="shared" ca="1" si="33"/>
        <v>0</v>
      </c>
      <c r="H150" s="296">
        <f t="shared" ca="1" si="34"/>
        <v>11</v>
      </c>
      <c r="I150" s="460">
        <f t="shared" ca="1" si="29"/>
        <v>-11</v>
      </c>
    </row>
    <row r="151" spans="1:9">
      <c r="A151" s="295">
        <f t="shared" si="30"/>
        <v>134</v>
      </c>
      <c r="B151" s="300">
        <f t="shared" si="35"/>
        <v>4050</v>
      </c>
      <c r="C151" s="296">
        <f t="shared" ca="1" si="31"/>
        <v>11</v>
      </c>
      <c r="D151" s="295"/>
      <c r="E151" s="296">
        <f t="shared" si="28"/>
        <v>0</v>
      </c>
      <c r="F151" s="296">
        <f t="shared" ca="1" si="32"/>
        <v>0</v>
      </c>
      <c r="G151" s="296">
        <f t="shared" ca="1" si="33"/>
        <v>0</v>
      </c>
      <c r="H151" s="296">
        <f t="shared" ca="1" si="34"/>
        <v>11</v>
      </c>
      <c r="I151" s="460">
        <f t="shared" ca="1" si="29"/>
        <v>-11</v>
      </c>
    </row>
    <row r="152" spans="1:9">
      <c r="A152" s="295">
        <f t="shared" si="30"/>
        <v>135</v>
      </c>
      <c r="B152" s="300">
        <f t="shared" si="35"/>
        <v>4078</v>
      </c>
      <c r="C152" s="296">
        <f t="shared" ca="1" si="31"/>
        <v>11</v>
      </c>
      <c r="D152" s="295"/>
      <c r="E152" s="296">
        <f t="shared" si="28"/>
        <v>0</v>
      </c>
      <c r="F152" s="296">
        <f t="shared" ca="1" si="32"/>
        <v>0</v>
      </c>
      <c r="G152" s="296">
        <f t="shared" ca="1" si="33"/>
        <v>0</v>
      </c>
      <c r="H152" s="296">
        <f t="shared" ca="1" si="34"/>
        <v>11</v>
      </c>
      <c r="I152" s="460">
        <f t="shared" ca="1" si="29"/>
        <v>-11</v>
      </c>
    </row>
    <row r="153" spans="1:9">
      <c r="A153" s="295">
        <f t="shared" si="30"/>
        <v>136</v>
      </c>
      <c r="B153" s="300">
        <f t="shared" si="35"/>
        <v>4109</v>
      </c>
      <c r="C153" s="296">
        <f t="shared" ca="1" si="31"/>
        <v>11</v>
      </c>
      <c r="D153" s="295"/>
      <c r="E153" s="296">
        <f t="shared" si="28"/>
        <v>0</v>
      </c>
      <c r="F153" s="296">
        <f t="shared" ca="1" si="32"/>
        <v>0</v>
      </c>
      <c r="G153" s="296">
        <f t="shared" ca="1" si="33"/>
        <v>0</v>
      </c>
      <c r="H153" s="296">
        <f t="shared" ca="1" si="34"/>
        <v>11</v>
      </c>
      <c r="I153" s="460">
        <f t="shared" ca="1" si="29"/>
        <v>-11</v>
      </c>
    </row>
    <row r="154" spans="1:9">
      <c r="A154" s="295">
        <f t="shared" si="30"/>
        <v>137</v>
      </c>
      <c r="B154" s="300">
        <f t="shared" si="35"/>
        <v>4139</v>
      </c>
      <c r="C154" s="296">
        <f t="shared" ca="1" si="31"/>
        <v>11</v>
      </c>
      <c r="D154" s="295"/>
      <c r="E154" s="296">
        <f t="shared" si="28"/>
        <v>0</v>
      </c>
      <c r="F154" s="296">
        <f t="shared" ca="1" si="32"/>
        <v>0</v>
      </c>
      <c r="G154" s="296">
        <f t="shared" ca="1" si="33"/>
        <v>0</v>
      </c>
      <c r="H154" s="296">
        <f t="shared" ca="1" si="34"/>
        <v>11</v>
      </c>
      <c r="I154" s="460">
        <f t="shared" ca="1" si="29"/>
        <v>-11</v>
      </c>
    </row>
    <row r="155" spans="1:9">
      <c r="A155" s="295">
        <f t="shared" si="30"/>
        <v>138</v>
      </c>
      <c r="B155" s="300">
        <f t="shared" si="35"/>
        <v>4170</v>
      </c>
      <c r="C155" s="296">
        <f t="shared" ca="1" si="31"/>
        <v>11</v>
      </c>
      <c r="D155" s="295"/>
      <c r="E155" s="296">
        <f t="shared" si="28"/>
        <v>0</v>
      </c>
      <c r="F155" s="296">
        <f t="shared" ca="1" si="32"/>
        <v>0</v>
      </c>
      <c r="G155" s="296">
        <f t="shared" ca="1" si="33"/>
        <v>0</v>
      </c>
      <c r="H155" s="296">
        <f t="shared" ca="1" si="34"/>
        <v>11</v>
      </c>
      <c r="I155" s="460">
        <f t="shared" ca="1" si="29"/>
        <v>-11</v>
      </c>
    </row>
    <row r="156" spans="1:9">
      <c r="A156" s="295">
        <f t="shared" si="30"/>
        <v>139</v>
      </c>
      <c r="B156" s="300">
        <f t="shared" si="35"/>
        <v>4200</v>
      </c>
      <c r="C156" s="296">
        <f t="shared" ca="1" si="31"/>
        <v>11</v>
      </c>
      <c r="D156" s="295"/>
      <c r="E156" s="296">
        <f t="shared" si="28"/>
        <v>0</v>
      </c>
      <c r="F156" s="296">
        <f t="shared" ca="1" si="32"/>
        <v>0</v>
      </c>
      <c r="G156" s="296">
        <f t="shared" ca="1" si="33"/>
        <v>0</v>
      </c>
      <c r="H156" s="296">
        <f t="shared" ca="1" si="34"/>
        <v>11</v>
      </c>
      <c r="I156" s="460">
        <f t="shared" ca="1" si="29"/>
        <v>-11</v>
      </c>
    </row>
    <row r="157" spans="1:9">
      <c r="A157" s="295">
        <f t="shared" si="30"/>
        <v>140</v>
      </c>
      <c r="B157" s="300">
        <f t="shared" si="35"/>
        <v>4231</v>
      </c>
      <c r="C157" s="296">
        <f t="shared" ca="1" si="31"/>
        <v>11</v>
      </c>
      <c r="D157" s="295"/>
      <c r="E157" s="296">
        <f t="shared" si="28"/>
        <v>0</v>
      </c>
      <c r="F157" s="296">
        <f t="shared" ca="1" si="32"/>
        <v>0</v>
      </c>
      <c r="G157" s="296">
        <f t="shared" ca="1" si="33"/>
        <v>0</v>
      </c>
      <c r="H157" s="296">
        <f t="shared" ca="1" si="34"/>
        <v>11</v>
      </c>
      <c r="I157" s="460">
        <f t="shared" ca="1" si="29"/>
        <v>-11</v>
      </c>
    </row>
    <row r="158" spans="1:9">
      <c r="A158" s="295">
        <f t="shared" si="30"/>
        <v>141</v>
      </c>
      <c r="B158" s="300">
        <f t="shared" si="35"/>
        <v>4262</v>
      </c>
      <c r="C158" s="296">
        <f t="shared" ca="1" si="31"/>
        <v>11</v>
      </c>
      <c r="D158" s="295"/>
      <c r="E158" s="296">
        <f t="shared" si="28"/>
        <v>0</v>
      </c>
      <c r="F158" s="296">
        <f t="shared" ca="1" si="32"/>
        <v>0</v>
      </c>
      <c r="G158" s="296">
        <f t="shared" ca="1" si="33"/>
        <v>0</v>
      </c>
      <c r="H158" s="296">
        <f t="shared" ca="1" si="34"/>
        <v>11</v>
      </c>
      <c r="I158" s="460">
        <f t="shared" ca="1" si="29"/>
        <v>-11</v>
      </c>
    </row>
    <row r="159" spans="1:9">
      <c r="A159" s="295">
        <f t="shared" si="30"/>
        <v>142</v>
      </c>
      <c r="B159" s="300">
        <f t="shared" si="35"/>
        <v>4292</v>
      </c>
      <c r="C159" s="296">
        <f t="shared" ca="1" si="31"/>
        <v>11</v>
      </c>
      <c r="D159" s="295"/>
      <c r="E159" s="296">
        <f t="shared" si="28"/>
        <v>0</v>
      </c>
      <c r="F159" s="296">
        <f t="shared" ca="1" si="32"/>
        <v>0</v>
      </c>
      <c r="G159" s="296">
        <f t="shared" ca="1" si="33"/>
        <v>0</v>
      </c>
      <c r="H159" s="296">
        <f t="shared" ca="1" si="34"/>
        <v>11</v>
      </c>
      <c r="I159" s="460">
        <f t="shared" ca="1" si="29"/>
        <v>-11</v>
      </c>
    </row>
    <row r="160" spans="1:9">
      <c r="A160" s="295">
        <f t="shared" si="30"/>
        <v>143</v>
      </c>
      <c r="B160" s="300">
        <f t="shared" si="35"/>
        <v>4323</v>
      </c>
      <c r="C160" s="296">
        <f t="shared" ca="1" si="31"/>
        <v>11</v>
      </c>
      <c r="D160" s="295"/>
      <c r="E160" s="296">
        <f>IF($D$10=1,IF(MONTH(B160)=MONTH($D$7),D159-'Sch3-Perf Period Cash Flow'!O7,0),IF(MONTH(B160)=MONTH(EDATE($D$7,11)),IF(AND(H159&gt;D149,H159&lt;K28-L28), H159, MIN(D149,H159))-'Sch3-Perf Period Cash Flow'!O7,0))</f>
        <v>0</v>
      </c>
      <c r="F160" s="296">
        <f t="shared" ca="1" si="32"/>
        <v>0</v>
      </c>
      <c r="G160" s="296">
        <f t="shared" ca="1" si="33"/>
        <v>0</v>
      </c>
      <c r="H160" s="296">
        <f t="shared" ca="1" si="34"/>
        <v>11</v>
      </c>
      <c r="I160" s="460">
        <f t="shared" ca="1" si="29"/>
        <v>-11</v>
      </c>
    </row>
    <row r="161" spans="1:9">
      <c r="A161" s="295">
        <f t="shared" si="30"/>
        <v>144</v>
      </c>
      <c r="B161" s="300">
        <f t="shared" si="35"/>
        <v>4353</v>
      </c>
      <c r="C161" s="296">
        <f t="shared" ca="1" si="31"/>
        <v>11</v>
      </c>
      <c r="D161" s="296">
        <f ca="1">IF(H161&lt;0,0,IF((H160+G161)&lt;(K29-L29),H160+G161,K29-L29))</f>
        <v>0</v>
      </c>
      <c r="E161" s="296">
        <f ca="1">IF($D$10=1,IF(MONTH(B161)=MONTH($D$7),D160-'Sch3-Perf Period Cash Flow'!O7,0),IF(MONTH(B161)=MONTH(EDATE($D$7,11)),MIN(D149,H160)-'Sch3-Perf Period Cash Flow'!O7,0))</f>
        <v>-1</v>
      </c>
      <c r="F161" s="296">
        <f t="shared" ca="1" si="32"/>
        <v>-1</v>
      </c>
      <c r="G161" s="296">
        <f t="shared" ca="1" si="33"/>
        <v>0</v>
      </c>
      <c r="H161" s="296">
        <f t="shared" ca="1" si="34"/>
        <v>12</v>
      </c>
      <c r="I161" s="460">
        <f t="shared" ca="1" si="29"/>
        <v>-12</v>
      </c>
    </row>
    <row r="162" spans="1:9">
      <c r="A162" s="295">
        <f t="shared" si="30"/>
        <v>145</v>
      </c>
      <c r="B162" s="300">
        <f t="shared" si="35"/>
        <v>4384</v>
      </c>
      <c r="C162" s="296">
        <f t="shared" ca="1" si="31"/>
        <v>12</v>
      </c>
      <c r="D162" s="296"/>
      <c r="E162" s="296">
        <f>IF($D$10=1,IF(MONTH(B162)=MONTH($D$7),D161-'Sch3-Perf Period Cash Flow'!P7,0),IF(MONTH(B162)=MONTH(EDATE($D$7,11)),MIN(D150,H161)-'Sch3-Perf Period Cash Flow'!P7,0))</f>
        <v>0</v>
      </c>
      <c r="F162" s="296">
        <f t="shared" ca="1" si="32"/>
        <v>0</v>
      </c>
      <c r="G162" s="296">
        <f t="shared" ca="1" si="33"/>
        <v>0</v>
      </c>
      <c r="H162" s="296">
        <f t="shared" ca="1" si="34"/>
        <v>12</v>
      </c>
      <c r="I162" s="460">
        <f t="shared" ca="1" si="29"/>
        <v>-12</v>
      </c>
    </row>
    <row r="163" spans="1:9">
      <c r="A163" s="295">
        <f t="shared" si="30"/>
        <v>146</v>
      </c>
      <c r="B163" s="300">
        <f t="shared" si="35"/>
        <v>4415</v>
      </c>
      <c r="C163" s="296">
        <f t="shared" ca="1" si="31"/>
        <v>12</v>
      </c>
      <c r="D163" s="296"/>
      <c r="E163" s="296">
        <f t="shared" si="28"/>
        <v>0</v>
      </c>
      <c r="F163" s="296">
        <f t="shared" ca="1" si="32"/>
        <v>0</v>
      </c>
      <c r="G163" s="296">
        <f t="shared" ca="1" si="33"/>
        <v>0</v>
      </c>
      <c r="H163" s="296">
        <f t="shared" ca="1" si="34"/>
        <v>12</v>
      </c>
      <c r="I163" s="460">
        <f t="shared" ca="1" si="29"/>
        <v>-12</v>
      </c>
    </row>
    <row r="164" spans="1:9">
      <c r="A164" s="295">
        <f t="shared" si="30"/>
        <v>147</v>
      </c>
      <c r="B164" s="300">
        <f t="shared" si="35"/>
        <v>4444</v>
      </c>
      <c r="C164" s="296">
        <f t="shared" ca="1" si="31"/>
        <v>12</v>
      </c>
      <c r="D164" s="295"/>
      <c r="E164" s="296">
        <f t="shared" si="28"/>
        <v>0</v>
      </c>
      <c r="F164" s="296">
        <f t="shared" ca="1" si="32"/>
        <v>0</v>
      </c>
      <c r="G164" s="296">
        <f t="shared" ca="1" si="33"/>
        <v>0</v>
      </c>
      <c r="H164" s="296">
        <f t="shared" ca="1" si="34"/>
        <v>12</v>
      </c>
      <c r="I164" s="460">
        <f t="shared" ca="1" si="29"/>
        <v>-12</v>
      </c>
    </row>
    <row r="165" spans="1:9">
      <c r="A165" s="295">
        <f t="shared" si="30"/>
        <v>148</v>
      </c>
      <c r="B165" s="300">
        <f t="shared" si="35"/>
        <v>4475</v>
      </c>
      <c r="C165" s="296">
        <f t="shared" ca="1" si="31"/>
        <v>12</v>
      </c>
      <c r="D165" s="295"/>
      <c r="E165" s="296">
        <f t="shared" si="28"/>
        <v>0</v>
      </c>
      <c r="F165" s="296">
        <f t="shared" ca="1" si="32"/>
        <v>0</v>
      </c>
      <c r="G165" s="296">
        <f t="shared" ca="1" si="33"/>
        <v>0</v>
      </c>
      <c r="H165" s="296">
        <f t="shared" ca="1" si="34"/>
        <v>12</v>
      </c>
      <c r="I165" s="460">
        <f t="shared" ca="1" si="29"/>
        <v>-12</v>
      </c>
    </row>
    <row r="166" spans="1:9">
      <c r="A166" s="295">
        <f t="shared" si="30"/>
        <v>149</v>
      </c>
      <c r="B166" s="300">
        <f t="shared" si="35"/>
        <v>4505</v>
      </c>
      <c r="C166" s="296">
        <f t="shared" ca="1" si="31"/>
        <v>12</v>
      </c>
      <c r="D166" s="295"/>
      <c r="E166" s="296">
        <f t="shared" si="28"/>
        <v>0</v>
      </c>
      <c r="F166" s="296">
        <f t="shared" ca="1" si="32"/>
        <v>0</v>
      </c>
      <c r="G166" s="296">
        <f t="shared" ca="1" si="33"/>
        <v>0</v>
      </c>
      <c r="H166" s="296">
        <f t="shared" ca="1" si="34"/>
        <v>12</v>
      </c>
      <c r="I166" s="460">
        <f t="shared" ca="1" si="29"/>
        <v>-12</v>
      </c>
    </row>
    <row r="167" spans="1:9">
      <c r="A167" s="295">
        <f t="shared" si="30"/>
        <v>150</v>
      </c>
      <c r="B167" s="300">
        <f t="shared" si="35"/>
        <v>4536</v>
      </c>
      <c r="C167" s="296">
        <f t="shared" ca="1" si="31"/>
        <v>12</v>
      </c>
      <c r="D167" s="295"/>
      <c r="E167" s="296">
        <f t="shared" si="28"/>
        <v>0</v>
      </c>
      <c r="F167" s="296">
        <f t="shared" ca="1" si="32"/>
        <v>0</v>
      </c>
      <c r="G167" s="296">
        <f t="shared" ca="1" si="33"/>
        <v>0</v>
      </c>
      <c r="H167" s="296">
        <f t="shared" ca="1" si="34"/>
        <v>12</v>
      </c>
      <c r="I167" s="460">
        <f t="shared" ca="1" si="29"/>
        <v>-12</v>
      </c>
    </row>
    <row r="168" spans="1:9">
      <c r="A168" s="295">
        <f t="shared" si="30"/>
        <v>151</v>
      </c>
      <c r="B168" s="300">
        <f t="shared" si="35"/>
        <v>4566</v>
      </c>
      <c r="C168" s="296">
        <f t="shared" ca="1" si="31"/>
        <v>12</v>
      </c>
      <c r="D168" s="295"/>
      <c r="E168" s="296">
        <f t="shared" si="28"/>
        <v>0</v>
      </c>
      <c r="F168" s="296">
        <f t="shared" ca="1" si="32"/>
        <v>0</v>
      </c>
      <c r="G168" s="296">
        <f t="shared" ca="1" si="33"/>
        <v>0</v>
      </c>
      <c r="H168" s="296">
        <f t="shared" ca="1" si="34"/>
        <v>12</v>
      </c>
      <c r="I168" s="460">
        <f t="shared" ca="1" si="29"/>
        <v>-12</v>
      </c>
    </row>
    <row r="169" spans="1:9">
      <c r="A169" s="295">
        <f t="shared" si="30"/>
        <v>152</v>
      </c>
      <c r="B169" s="300">
        <f t="shared" si="35"/>
        <v>4597</v>
      </c>
      <c r="C169" s="296">
        <f t="shared" ca="1" si="31"/>
        <v>12</v>
      </c>
      <c r="D169" s="295"/>
      <c r="E169" s="296">
        <f t="shared" si="28"/>
        <v>0</v>
      </c>
      <c r="F169" s="296">
        <f t="shared" ca="1" si="32"/>
        <v>0</v>
      </c>
      <c r="G169" s="296">
        <f t="shared" ca="1" si="33"/>
        <v>0</v>
      </c>
      <c r="H169" s="296">
        <f t="shared" ca="1" si="34"/>
        <v>12</v>
      </c>
      <c r="I169" s="460">
        <f t="shared" ca="1" si="29"/>
        <v>-12</v>
      </c>
    </row>
    <row r="170" spans="1:9">
      <c r="A170" s="295">
        <f t="shared" si="30"/>
        <v>153</v>
      </c>
      <c r="B170" s="300">
        <f t="shared" si="35"/>
        <v>4628</v>
      </c>
      <c r="C170" s="296">
        <f t="shared" ca="1" si="31"/>
        <v>12</v>
      </c>
      <c r="D170" s="295"/>
      <c r="E170" s="296">
        <f t="shared" si="28"/>
        <v>0</v>
      </c>
      <c r="F170" s="296">
        <f t="shared" ca="1" si="32"/>
        <v>0</v>
      </c>
      <c r="G170" s="296">
        <f t="shared" ca="1" si="33"/>
        <v>0</v>
      </c>
      <c r="H170" s="296">
        <f t="shared" ca="1" si="34"/>
        <v>12</v>
      </c>
      <c r="I170" s="460">
        <f t="shared" ca="1" si="29"/>
        <v>-12</v>
      </c>
    </row>
    <row r="171" spans="1:9">
      <c r="A171" s="295">
        <f t="shared" si="30"/>
        <v>154</v>
      </c>
      <c r="B171" s="300">
        <f t="shared" si="35"/>
        <v>4658</v>
      </c>
      <c r="C171" s="296">
        <f t="shared" ca="1" si="31"/>
        <v>12</v>
      </c>
      <c r="D171" s="295"/>
      <c r="E171" s="296">
        <f t="shared" si="28"/>
        <v>0</v>
      </c>
      <c r="F171" s="296">
        <f t="shared" ca="1" si="32"/>
        <v>0</v>
      </c>
      <c r="G171" s="296">
        <f t="shared" ca="1" si="33"/>
        <v>0</v>
      </c>
      <c r="H171" s="296">
        <f t="shared" ca="1" si="34"/>
        <v>12</v>
      </c>
      <c r="I171" s="460">
        <f t="shared" ca="1" si="29"/>
        <v>-12</v>
      </c>
    </row>
    <row r="172" spans="1:9">
      <c r="A172" s="295">
        <f t="shared" si="30"/>
        <v>155</v>
      </c>
      <c r="B172" s="300">
        <f t="shared" si="35"/>
        <v>4689</v>
      </c>
      <c r="C172" s="296">
        <f t="shared" ca="1" si="31"/>
        <v>12</v>
      </c>
      <c r="D172" s="295"/>
      <c r="E172" s="296">
        <f>IF($D$10=1,IF(MONTH(B172)=MONTH($D$7),D171-'Sch3-Perf Period Cash Flow'!P7,0),IF(MONTH(B172)=MONTH(EDATE($D$7,11)),IF(AND(H171&gt;D161,H171&lt;K29-L29), H171, MIN(D161,H171))-'Sch3-Perf Period Cash Flow'!P7,0))</f>
        <v>0</v>
      </c>
      <c r="F172" s="296">
        <f t="shared" ca="1" si="32"/>
        <v>0</v>
      </c>
      <c r="G172" s="296">
        <f t="shared" ca="1" si="33"/>
        <v>0</v>
      </c>
      <c r="H172" s="296">
        <f t="shared" ca="1" si="34"/>
        <v>12</v>
      </c>
      <c r="I172" s="460">
        <f t="shared" ca="1" si="29"/>
        <v>-12</v>
      </c>
    </row>
    <row r="173" spans="1:9">
      <c r="A173" s="295">
        <f t="shared" si="30"/>
        <v>156</v>
      </c>
      <c r="B173" s="300">
        <f t="shared" si="35"/>
        <v>4719</v>
      </c>
      <c r="C173" s="296">
        <f t="shared" ca="1" si="31"/>
        <v>12</v>
      </c>
      <c r="D173" s="296">
        <f ca="1">IF(H173&lt;0,0,IF((H172+G173)&lt;(K30-L30),H172+G173,K30-L30))</f>
        <v>0</v>
      </c>
      <c r="E173" s="296">
        <f ca="1">IF($D$10=1,IF(MONTH(B173)=MONTH($D$7),D172-'Sch3-Perf Period Cash Flow'!P7,0),IF(MONTH(B173)=MONTH(EDATE($D$7,11)),MIN(D161,H172)-'Sch3-Perf Period Cash Flow'!P7,0))</f>
        <v>-1</v>
      </c>
      <c r="F173" s="296">
        <f t="shared" ca="1" si="32"/>
        <v>-1</v>
      </c>
      <c r="G173" s="296">
        <f t="shared" ca="1" si="33"/>
        <v>0</v>
      </c>
      <c r="H173" s="296">
        <f t="shared" ca="1" si="34"/>
        <v>13</v>
      </c>
      <c r="I173" s="460">
        <f t="shared" ca="1" si="29"/>
        <v>-13</v>
      </c>
    </row>
    <row r="174" spans="1:9">
      <c r="A174" s="295">
        <f t="shared" si="30"/>
        <v>157</v>
      </c>
      <c r="B174" s="300">
        <f t="shared" si="35"/>
        <v>4750</v>
      </c>
      <c r="C174" s="296">
        <f t="shared" ca="1" si="31"/>
        <v>13</v>
      </c>
      <c r="D174" s="296"/>
      <c r="E174" s="296">
        <f>IF($D$10=1,IF(MONTH(B174)=MONTH($D$7),D173-'Sch3-Perf Period Cash Flow'!Q7,0),IF(MONTH(B174)=MONTH(EDATE($D$7,11)),MIN(D162,H173)-'Sch3-Perf Period Cash Flow'!Q7,0))</f>
        <v>0</v>
      </c>
      <c r="F174" s="296">
        <f t="shared" ca="1" si="32"/>
        <v>0</v>
      </c>
      <c r="G174" s="296">
        <f t="shared" ca="1" si="33"/>
        <v>0</v>
      </c>
      <c r="H174" s="296">
        <f t="shared" ca="1" si="34"/>
        <v>13</v>
      </c>
      <c r="I174" s="460">
        <f t="shared" ca="1" si="29"/>
        <v>-13</v>
      </c>
    </row>
    <row r="175" spans="1:9">
      <c r="A175" s="295">
        <f t="shared" si="30"/>
        <v>158</v>
      </c>
      <c r="B175" s="300">
        <f t="shared" si="35"/>
        <v>4781</v>
      </c>
      <c r="C175" s="296">
        <f t="shared" ca="1" si="31"/>
        <v>13</v>
      </c>
      <c r="D175" s="295"/>
      <c r="E175" s="296">
        <f t="shared" si="28"/>
        <v>0</v>
      </c>
      <c r="F175" s="296">
        <f t="shared" ca="1" si="32"/>
        <v>0</v>
      </c>
      <c r="G175" s="296">
        <f t="shared" ca="1" si="33"/>
        <v>0</v>
      </c>
      <c r="H175" s="296">
        <f t="shared" ca="1" si="34"/>
        <v>13</v>
      </c>
      <c r="I175" s="460">
        <f t="shared" ca="1" si="29"/>
        <v>-13</v>
      </c>
    </row>
    <row r="176" spans="1:9">
      <c r="A176" s="295">
        <f t="shared" si="30"/>
        <v>159</v>
      </c>
      <c r="B176" s="300">
        <f t="shared" si="35"/>
        <v>4809</v>
      </c>
      <c r="C176" s="296">
        <f t="shared" ca="1" si="31"/>
        <v>13</v>
      </c>
      <c r="D176" s="295"/>
      <c r="E176" s="296">
        <f t="shared" si="28"/>
        <v>0</v>
      </c>
      <c r="F176" s="296">
        <f t="shared" ca="1" si="32"/>
        <v>0</v>
      </c>
      <c r="G176" s="296">
        <f t="shared" ca="1" si="33"/>
        <v>0</v>
      </c>
      <c r="H176" s="296">
        <f t="shared" ca="1" si="34"/>
        <v>13</v>
      </c>
      <c r="I176" s="460">
        <f t="shared" ca="1" si="29"/>
        <v>-13</v>
      </c>
    </row>
    <row r="177" spans="1:9">
      <c r="A177" s="295">
        <f t="shared" si="30"/>
        <v>160</v>
      </c>
      <c r="B177" s="300">
        <f t="shared" si="35"/>
        <v>4840</v>
      </c>
      <c r="C177" s="296">
        <f t="shared" ca="1" si="31"/>
        <v>13</v>
      </c>
      <c r="D177" s="295"/>
      <c r="E177" s="296">
        <f t="shared" si="28"/>
        <v>0</v>
      </c>
      <c r="F177" s="296">
        <f t="shared" ca="1" si="32"/>
        <v>0</v>
      </c>
      <c r="G177" s="296">
        <f t="shared" ca="1" si="33"/>
        <v>0</v>
      </c>
      <c r="H177" s="296">
        <f t="shared" ca="1" si="34"/>
        <v>13</v>
      </c>
      <c r="I177" s="460">
        <f t="shared" ca="1" si="29"/>
        <v>-13</v>
      </c>
    </row>
    <row r="178" spans="1:9">
      <c r="A178" s="295">
        <f t="shared" si="30"/>
        <v>161</v>
      </c>
      <c r="B178" s="300">
        <f t="shared" si="35"/>
        <v>4870</v>
      </c>
      <c r="C178" s="296">
        <f t="shared" ca="1" si="31"/>
        <v>13</v>
      </c>
      <c r="D178" s="295"/>
      <c r="E178" s="296">
        <f t="shared" si="28"/>
        <v>0</v>
      </c>
      <c r="F178" s="296">
        <f t="shared" ca="1" si="32"/>
        <v>0</v>
      </c>
      <c r="G178" s="296">
        <f t="shared" ca="1" si="33"/>
        <v>0</v>
      </c>
      <c r="H178" s="296">
        <f t="shared" ca="1" si="34"/>
        <v>13</v>
      </c>
      <c r="I178" s="460">
        <f t="shared" ca="1" si="29"/>
        <v>-13</v>
      </c>
    </row>
    <row r="179" spans="1:9">
      <c r="A179" s="295">
        <f t="shared" si="30"/>
        <v>162</v>
      </c>
      <c r="B179" s="300">
        <f t="shared" si="35"/>
        <v>4901</v>
      </c>
      <c r="C179" s="296">
        <f t="shared" ca="1" si="31"/>
        <v>13</v>
      </c>
      <c r="D179" s="295"/>
      <c r="E179" s="296">
        <f t="shared" si="28"/>
        <v>0</v>
      </c>
      <c r="F179" s="296">
        <f t="shared" ca="1" si="32"/>
        <v>0</v>
      </c>
      <c r="G179" s="296">
        <f t="shared" ca="1" si="33"/>
        <v>0</v>
      </c>
      <c r="H179" s="296">
        <f t="shared" ca="1" si="34"/>
        <v>13</v>
      </c>
      <c r="I179" s="460">
        <f t="shared" ca="1" si="29"/>
        <v>-13</v>
      </c>
    </row>
    <row r="180" spans="1:9">
      <c r="A180" s="295">
        <f t="shared" si="30"/>
        <v>163</v>
      </c>
      <c r="B180" s="300">
        <f t="shared" si="35"/>
        <v>4931</v>
      </c>
      <c r="C180" s="296">
        <f t="shared" ca="1" si="31"/>
        <v>13</v>
      </c>
      <c r="D180" s="295"/>
      <c r="E180" s="296">
        <f t="shared" si="28"/>
        <v>0</v>
      </c>
      <c r="F180" s="296">
        <f t="shared" ca="1" si="32"/>
        <v>0</v>
      </c>
      <c r="G180" s="296">
        <f t="shared" ca="1" si="33"/>
        <v>0</v>
      </c>
      <c r="H180" s="296">
        <f t="shared" ca="1" si="34"/>
        <v>13</v>
      </c>
      <c r="I180" s="460">
        <f t="shared" ca="1" si="29"/>
        <v>-13</v>
      </c>
    </row>
    <row r="181" spans="1:9">
      <c r="A181" s="295">
        <f t="shared" si="30"/>
        <v>164</v>
      </c>
      <c r="B181" s="300">
        <f t="shared" si="35"/>
        <v>4962</v>
      </c>
      <c r="C181" s="296">
        <f t="shared" ca="1" si="31"/>
        <v>13</v>
      </c>
      <c r="D181" s="295"/>
      <c r="E181" s="296">
        <f t="shared" si="28"/>
        <v>0</v>
      </c>
      <c r="F181" s="296">
        <f t="shared" ca="1" si="32"/>
        <v>0</v>
      </c>
      <c r="G181" s="296">
        <f t="shared" ca="1" si="33"/>
        <v>0</v>
      </c>
      <c r="H181" s="296">
        <f t="shared" ca="1" si="34"/>
        <v>13</v>
      </c>
      <c r="I181" s="460">
        <f t="shared" ca="1" si="29"/>
        <v>-13</v>
      </c>
    </row>
    <row r="182" spans="1:9">
      <c r="A182" s="295">
        <f t="shared" si="30"/>
        <v>165</v>
      </c>
      <c r="B182" s="300">
        <f t="shared" si="35"/>
        <v>4993</v>
      </c>
      <c r="C182" s="296">
        <f t="shared" ca="1" si="31"/>
        <v>13</v>
      </c>
      <c r="D182" s="295"/>
      <c r="E182" s="296">
        <f t="shared" si="28"/>
        <v>0</v>
      </c>
      <c r="F182" s="296">
        <f t="shared" ca="1" si="32"/>
        <v>0</v>
      </c>
      <c r="G182" s="296">
        <f t="shared" ca="1" si="33"/>
        <v>0</v>
      </c>
      <c r="H182" s="296">
        <f t="shared" ca="1" si="34"/>
        <v>13</v>
      </c>
      <c r="I182" s="460">
        <f t="shared" ca="1" si="29"/>
        <v>-13</v>
      </c>
    </row>
    <row r="183" spans="1:9">
      <c r="A183" s="295">
        <f t="shared" si="30"/>
        <v>166</v>
      </c>
      <c r="B183" s="300">
        <f t="shared" si="35"/>
        <v>5023</v>
      </c>
      <c r="C183" s="296">
        <f t="shared" ca="1" si="31"/>
        <v>13</v>
      </c>
      <c r="D183" s="295"/>
      <c r="E183" s="296">
        <f t="shared" si="28"/>
        <v>0</v>
      </c>
      <c r="F183" s="296">
        <f t="shared" ca="1" si="32"/>
        <v>0</v>
      </c>
      <c r="G183" s="296">
        <f t="shared" ca="1" si="33"/>
        <v>0</v>
      </c>
      <c r="H183" s="296">
        <f t="shared" ca="1" si="34"/>
        <v>13</v>
      </c>
      <c r="I183" s="460">
        <f t="shared" ca="1" si="29"/>
        <v>-13</v>
      </c>
    </row>
    <row r="184" spans="1:9">
      <c r="A184" s="295">
        <f t="shared" si="30"/>
        <v>167</v>
      </c>
      <c r="B184" s="300">
        <f t="shared" si="35"/>
        <v>5054</v>
      </c>
      <c r="C184" s="296">
        <f t="shared" ca="1" si="31"/>
        <v>13</v>
      </c>
      <c r="D184" s="295"/>
      <c r="E184" s="296">
        <f>IF($D$10=1,IF(MONTH(B184)=MONTH($D$7),D183-'Sch3-Perf Period Cash Flow'!Q7,0),IF(MONTH(B184)=MONTH(EDATE($D$7,11)),IF(AND(H183&gt;D173,H183&lt;K30-L30), H183, MIN(D173,H183))-'Sch3-Perf Period Cash Flow'!Q7,0))</f>
        <v>0</v>
      </c>
      <c r="F184" s="296">
        <f t="shared" ca="1" si="32"/>
        <v>0</v>
      </c>
      <c r="G184" s="296">
        <f t="shared" ca="1" si="33"/>
        <v>0</v>
      </c>
      <c r="H184" s="296">
        <f t="shared" ca="1" si="34"/>
        <v>13</v>
      </c>
      <c r="I184" s="460">
        <f t="shared" ca="1" si="29"/>
        <v>-13</v>
      </c>
    </row>
    <row r="185" spans="1:9">
      <c r="A185" s="295">
        <f t="shared" si="30"/>
        <v>168</v>
      </c>
      <c r="B185" s="300">
        <f t="shared" si="35"/>
        <v>5084</v>
      </c>
      <c r="C185" s="296">
        <f t="shared" ca="1" si="31"/>
        <v>13</v>
      </c>
      <c r="D185" s="296">
        <f ca="1">IF(H185&lt;0,0,IF((H184+G185)&lt;(K31-L31),H184+G185,K31-L31))</f>
        <v>0</v>
      </c>
      <c r="E185" s="296">
        <f ca="1">IF($D$10=1,IF(MONTH(B185)=MONTH($D$7),D184-'Sch3-Perf Period Cash Flow'!Q7,0),IF(MONTH(B185)=MONTH(EDATE($D$7,11)),MIN(D173,H184)-'Sch3-Perf Period Cash Flow'!Q7,0))</f>
        <v>-1</v>
      </c>
      <c r="F185" s="296">
        <f t="shared" ca="1" si="32"/>
        <v>-1</v>
      </c>
      <c r="G185" s="296">
        <f t="shared" ca="1" si="33"/>
        <v>0</v>
      </c>
      <c r="H185" s="296">
        <f t="shared" ca="1" si="34"/>
        <v>14</v>
      </c>
      <c r="I185" s="460">
        <f t="shared" ca="1" si="29"/>
        <v>-14</v>
      </c>
    </row>
    <row r="186" spans="1:9">
      <c r="A186" s="295">
        <f t="shared" si="30"/>
        <v>169</v>
      </c>
      <c r="B186" s="300">
        <f t="shared" si="35"/>
        <v>5115</v>
      </c>
      <c r="C186" s="296">
        <f t="shared" ca="1" si="31"/>
        <v>14</v>
      </c>
      <c r="D186" s="296"/>
      <c r="E186" s="296">
        <f>IF($D$10=1,IF(MONTH(B186)=MONTH($D$7),D185-'Sch3-Perf Period Cash Flow'!R7,0),IF(MONTH(B186)=MONTH(EDATE($D$7,11)),MIN(D174,H185)-'Sch3-Perf Period Cash Flow'!R7,0))</f>
        <v>0</v>
      </c>
      <c r="F186" s="296">
        <f t="shared" ca="1" si="32"/>
        <v>0</v>
      </c>
      <c r="G186" s="296">
        <f t="shared" ca="1" si="33"/>
        <v>0</v>
      </c>
      <c r="H186" s="296">
        <f t="shared" ca="1" si="34"/>
        <v>14</v>
      </c>
      <c r="I186" s="460">
        <f t="shared" ca="1" si="29"/>
        <v>-14</v>
      </c>
    </row>
    <row r="187" spans="1:9">
      <c r="A187" s="295">
        <f t="shared" si="30"/>
        <v>170</v>
      </c>
      <c r="B187" s="300">
        <f t="shared" si="35"/>
        <v>5146</v>
      </c>
      <c r="C187" s="296">
        <f t="shared" ca="1" si="31"/>
        <v>14</v>
      </c>
      <c r="D187" s="295"/>
      <c r="E187" s="296">
        <f t="shared" si="28"/>
        <v>0</v>
      </c>
      <c r="F187" s="296">
        <f t="shared" ca="1" si="32"/>
        <v>0</v>
      </c>
      <c r="G187" s="296">
        <f t="shared" ca="1" si="33"/>
        <v>0</v>
      </c>
      <c r="H187" s="296">
        <f t="shared" ca="1" si="34"/>
        <v>14</v>
      </c>
      <c r="I187" s="460">
        <f t="shared" ca="1" si="29"/>
        <v>-14</v>
      </c>
    </row>
    <row r="188" spans="1:9">
      <c r="A188" s="295">
        <f t="shared" si="30"/>
        <v>171</v>
      </c>
      <c r="B188" s="300">
        <f t="shared" si="35"/>
        <v>5174</v>
      </c>
      <c r="C188" s="296">
        <f t="shared" ca="1" si="31"/>
        <v>14</v>
      </c>
      <c r="D188" s="295"/>
      <c r="E188" s="296">
        <f t="shared" si="28"/>
        <v>0</v>
      </c>
      <c r="F188" s="296">
        <f t="shared" ca="1" si="32"/>
        <v>0</v>
      </c>
      <c r="G188" s="296">
        <f t="shared" ca="1" si="33"/>
        <v>0</v>
      </c>
      <c r="H188" s="296">
        <f t="shared" ca="1" si="34"/>
        <v>14</v>
      </c>
      <c r="I188" s="460">
        <f t="shared" ca="1" si="29"/>
        <v>-14</v>
      </c>
    </row>
    <row r="189" spans="1:9">
      <c r="A189" s="295">
        <f t="shared" si="30"/>
        <v>172</v>
      </c>
      <c r="B189" s="300">
        <f t="shared" si="35"/>
        <v>5205</v>
      </c>
      <c r="C189" s="296">
        <f t="shared" ca="1" si="31"/>
        <v>14</v>
      </c>
      <c r="D189" s="295"/>
      <c r="E189" s="296">
        <f t="shared" si="28"/>
        <v>0</v>
      </c>
      <c r="F189" s="296">
        <f t="shared" ca="1" si="32"/>
        <v>0</v>
      </c>
      <c r="G189" s="296">
        <f t="shared" ca="1" si="33"/>
        <v>0</v>
      </c>
      <c r="H189" s="296">
        <f t="shared" ca="1" si="34"/>
        <v>14</v>
      </c>
      <c r="I189" s="460">
        <f t="shared" ca="1" si="29"/>
        <v>-14</v>
      </c>
    </row>
    <row r="190" spans="1:9">
      <c r="A190" s="295">
        <f t="shared" si="30"/>
        <v>173</v>
      </c>
      <c r="B190" s="300">
        <f t="shared" si="35"/>
        <v>5235</v>
      </c>
      <c r="C190" s="296">
        <f t="shared" ca="1" si="31"/>
        <v>14</v>
      </c>
      <c r="D190" s="295"/>
      <c r="E190" s="296">
        <f t="shared" si="28"/>
        <v>0</v>
      </c>
      <c r="F190" s="296">
        <f t="shared" ca="1" si="32"/>
        <v>0</v>
      </c>
      <c r="G190" s="296">
        <f t="shared" ca="1" si="33"/>
        <v>0</v>
      </c>
      <c r="H190" s="296">
        <f t="shared" ca="1" si="34"/>
        <v>14</v>
      </c>
      <c r="I190" s="460">
        <f t="shared" ca="1" si="29"/>
        <v>-14</v>
      </c>
    </row>
    <row r="191" spans="1:9">
      <c r="A191" s="295">
        <f t="shared" si="30"/>
        <v>174</v>
      </c>
      <c r="B191" s="300">
        <f t="shared" si="35"/>
        <v>5266</v>
      </c>
      <c r="C191" s="296">
        <f t="shared" ca="1" si="31"/>
        <v>14</v>
      </c>
      <c r="D191" s="295"/>
      <c r="E191" s="296">
        <f t="shared" ref="E191:E254" si="36">IF($D$10=1,IF(MONTH(B191)=MONTH($D$7),D190,0),IF(MONTH(B191)=MONTH(EDATE($D$7,11)),MIN(D179,H190),0))</f>
        <v>0</v>
      </c>
      <c r="F191" s="296">
        <f t="shared" ca="1" si="32"/>
        <v>0</v>
      </c>
      <c r="G191" s="296">
        <f t="shared" ca="1" si="33"/>
        <v>0</v>
      </c>
      <c r="H191" s="296">
        <f t="shared" ca="1" si="34"/>
        <v>14</v>
      </c>
      <c r="I191" s="460">
        <f t="shared" ca="1" si="29"/>
        <v>-14</v>
      </c>
    </row>
    <row r="192" spans="1:9">
      <c r="A192" s="295">
        <f t="shared" si="30"/>
        <v>175</v>
      </c>
      <c r="B192" s="300">
        <f t="shared" si="35"/>
        <v>5296</v>
      </c>
      <c r="C192" s="296">
        <f t="shared" ca="1" si="31"/>
        <v>14</v>
      </c>
      <c r="D192" s="295"/>
      <c r="E192" s="296">
        <f t="shared" si="36"/>
        <v>0</v>
      </c>
      <c r="F192" s="296">
        <f t="shared" ca="1" si="32"/>
        <v>0</v>
      </c>
      <c r="G192" s="296">
        <f t="shared" ca="1" si="33"/>
        <v>0</v>
      </c>
      <c r="H192" s="296">
        <f t="shared" ca="1" si="34"/>
        <v>14</v>
      </c>
      <c r="I192" s="460">
        <f t="shared" ca="1" si="29"/>
        <v>-14</v>
      </c>
    </row>
    <row r="193" spans="1:9">
      <c r="A193" s="295">
        <f t="shared" si="30"/>
        <v>176</v>
      </c>
      <c r="B193" s="300">
        <f t="shared" si="35"/>
        <v>5327</v>
      </c>
      <c r="C193" s="296">
        <f t="shared" ca="1" si="31"/>
        <v>14</v>
      </c>
      <c r="D193" s="295"/>
      <c r="E193" s="296">
        <f t="shared" si="36"/>
        <v>0</v>
      </c>
      <c r="F193" s="296">
        <f t="shared" ca="1" si="32"/>
        <v>0</v>
      </c>
      <c r="G193" s="296">
        <f t="shared" ca="1" si="33"/>
        <v>0</v>
      </c>
      <c r="H193" s="296">
        <f t="shared" ca="1" si="34"/>
        <v>14</v>
      </c>
      <c r="I193" s="460">
        <f t="shared" ca="1" si="29"/>
        <v>-14</v>
      </c>
    </row>
    <row r="194" spans="1:9">
      <c r="A194" s="295">
        <f t="shared" si="30"/>
        <v>177</v>
      </c>
      <c r="B194" s="300">
        <f t="shared" si="35"/>
        <v>5358</v>
      </c>
      <c r="C194" s="296">
        <f t="shared" ca="1" si="31"/>
        <v>14</v>
      </c>
      <c r="D194" s="295"/>
      <c r="E194" s="296">
        <f t="shared" si="36"/>
        <v>0</v>
      </c>
      <c r="F194" s="296">
        <f t="shared" ca="1" si="32"/>
        <v>0</v>
      </c>
      <c r="G194" s="296">
        <f t="shared" ca="1" si="33"/>
        <v>0</v>
      </c>
      <c r="H194" s="296">
        <f t="shared" ca="1" si="34"/>
        <v>14</v>
      </c>
      <c r="I194" s="460">
        <f t="shared" ca="1" si="29"/>
        <v>-14</v>
      </c>
    </row>
    <row r="195" spans="1:9">
      <c r="A195" s="295">
        <f t="shared" si="30"/>
        <v>178</v>
      </c>
      <c r="B195" s="300">
        <f t="shared" si="35"/>
        <v>5388</v>
      </c>
      <c r="C195" s="296">
        <f t="shared" ca="1" si="31"/>
        <v>14</v>
      </c>
      <c r="D195" s="295"/>
      <c r="E195" s="296">
        <f t="shared" si="36"/>
        <v>0</v>
      </c>
      <c r="F195" s="296">
        <f t="shared" ca="1" si="32"/>
        <v>0</v>
      </c>
      <c r="G195" s="296">
        <f t="shared" ca="1" si="33"/>
        <v>0</v>
      </c>
      <c r="H195" s="296">
        <f t="shared" ca="1" si="34"/>
        <v>14</v>
      </c>
      <c r="I195" s="460">
        <f t="shared" ca="1" si="29"/>
        <v>-14</v>
      </c>
    </row>
    <row r="196" spans="1:9">
      <c r="A196" s="295">
        <f t="shared" si="30"/>
        <v>179</v>
      </c>
      <c r="B196" s="300">
        <f t="shared" si="35"/>
        <v>5419</v>
      </c>
      <c r="C196" s="296">
        <f t="shared" ca="1" si="31"/>
        <v>14</v>
      </c>
      <c r="D196" s="295"/>
      <c r="E196" s="296">
        <f>IF($D$10=1,IF(MONTH(B196)=MONTH($D$7),D195-'Sch3-Perf Period Cash Flow'!R7,0),IF(MONTH(B196)=MONTH(EDATE($D$7,11)),IF(AND(H195&gt;D185,H195&lt;K31-L31), H195, MIN(D185,H195))-'Sch3-Perf Period Cash Flow'!R7,0))</f>
        <v>0</v>
      </c>
      <c r="F196" s="296">
        <f t="shared" ca="1" si="32"/>
        <v>0</v>
      </c>
      <c r="G196" s="296">
        <f t="shared" ca="1" si="33"/>
        <v>0</v>
      </c>
      <c r="H196" s="296">
        <f t="shared" ca="1" si="34"/>
        <v>14</v>
      </c>
      <c r="I196" s="460">
        <f t="shared" ca="1" si="29"/>
        <v>-14</v>
      </c>
    </row>
    <row r="197" spans="1:9">
      <c r="A197" s="295">
        <f t="shared" si="30"/>
        <v>180</v>
      </c>
      <c r="B197" s="300">
        <f t="shared" si="35"/>
        <v>5449</v>
      </c>
      <c r="C197" s="296">
        <f t="shared" ca="1" si="31"/>
        <v>14</v>
      </c>
      <c r="D197" s="296">
        <f ca="1">IF(H197&lt;0,0,IF((H196+G197)&lt;(K32-L32),H196+G197,K32-L32))</f>
        <v>0</v>
      </c>
      <c r="E197" s="296">
        <f ca="1">IF($D$10=1,IF(MONTH(B197)=MONTH($D$7),D196-'Sch3-Perf Period Cash Flow'!R7,0),IF(MONTH(B197)=MONTH(EDATE($D$7,11)),MIN(D185,H196)-'Sch3-Perf Period Cash Flow'!R7,0))</f>
        <v>-1</v>
      </c>
      <c r="F197" s="296">
        <f t="shared" ca="1" si="32"/>
        <v>-1</v>
      </c>
      <c r="G197" s="296">
        <f t="shared" ca="1" si="33"/>
        <v>0</v>
      </c>
      <c r="H197" s="296">
        <f t="shared" ca="1" si="34"/>
        <v>15</v>
      </c>
      <c r="I197" s="460">
        <f t="shared" ca="1" si="29"/>
        <v>-15</v>
      </c>
    </row>
    <row r="198" spans="1:9">
      <c r="A198" s="295">
        <f t="shared" si="30"/>
        <v>181</v>
      </c>
      <c r="B198" s="300">
        <f t="shared" si="35"/>
        <v>5480</v>
      </c>
      <c r="C198" s="296">
        <f t="shared" ca="1" si="31"/>
        <v>15</v>
      </c>
      <c r="D198" s="296"/>
      <c r="E198" s="296">
        <f>IF($D$10=1,IF(MONTH(B198)=MONTH($D$7),D197-'Sch3-Perf Period Cash Flow'!S7,0),IF(MONTH(B198)=MONTH(EDATE($D$7,11)),MIN(D186,H197)-'Sch3-Perf Period Cash Flow'!S7,0))</f>
        <v>0</v>
      </c>
      <c r="F198" s="296">
        <f t="shared" ca="1" si="32"/>
        <v>0</v>
      </c>
      <c r="G198" s="296">
        <f t="shared" ca="1" si="33"/>
        <v>0</v>
      </c>
      <c r="H198" s="296">
        <f t="shared" ca="1" si="34"/>
        <v>15</v>
      </c>
      <c r="I198" s="460">
        <f t="shared" ca="1" si="29"/>
        <v>-15</v>
      </c>
    </row>
    <row r="199" spans="1:9">
      <c r="A199" s="295">
        <f t="shared" si="30"/>
        <v>182</v>
      </c>
      <c r="B199" s="300">
        <f t="shared" si="35"/>
        <v>5511</v>
      </c>
      <c r="C199" s="296">
        <f t="shared" ca="1" si="31"/>
        <v>15</v>
      </c>
      <c r="D199" s="295"/>
      <c r="E199" s="296">
        <f t="shared" si="36"/>
        <v>0</v>
      </c>
      <c r="F199" s="296">
        <f t="shared" ca="1" si="32"/>
        <v>0</v>
      </c>
      <c r="G199" s="296">
        <f t="shared" ca="1" si="33"/>
        <v>0</v>
      </c>
      <c r="H199" s="296">
        <f t="shared" ca="1" si="34"/>
        <v>15</v>
      </c>
      <c r="I199" s="460">
        <f t="shared" ca="1" si="29"/>
        <v>-15</v>
      </c>
    </row>
    <row r="200" spans="1:9">
      <c r="A200" s="295">
        <f t="shared" si="30"/>
        <v>183</v>
      </c>
      <c r="B200" s="300">
        <f t="shared" si="35"/>
        <v>5539</v>
      </c>
      <c r="C200" s="296">
        <f t="shared" ca="1" si="31"/>
        <v>15</v>
      </c>
      <c r="D200" s="295"/>
      <c r="E200" s="296">
        <f t="shared" si="36"/>
        <v>0</v>
      </c>
      <c r="F200" s="296">
        <f t="shared" ca="1" si="32"/>
        <v>0</v>
      </c>
      <c r="G200" s="296">
        <f t="shared" ca="1" si="33"/>
        <v>0</v>
      </c>
      <c r="H200" s="296">
        <f t="shared" ca="1" si="34"/>
        <v>15</v>
      </c>
      <c r="I200" s="460">
        <f t="shared" ca="1" si="29"/>
        <v>-15</v>
      </c>
    </row>
    <row r="201" spans="1:9">
      <c r="A201" s="295">
        <f t="shared" si="30"/>
        <v>184</v>
      </c>
      <c r="B201" s="300">
        <f t="shared" si="35"/>
        <v>5570</v>
      </c>
      <c r="C201" s="296">
        <f t="shared" ca="1" si="31"/>
        <v>15</v>
      </c>
      <c r="D201" s="295"/>
      <c r="E201" s="296">
        <f t="shared" si="36"/>
        <v>0</v>
      </c>
      <c r="F201" s="296">
        <f t="shared" ca="1" si="32"/>
        <v>0</v>
      </c>
      <c r="G201" s="296">
        <f t="shared" ca="1" si="33"/>
        <v>0</v>
      </c>
      <c r="H201" s="296">
        <f t="shared" ca="1" si="34"/>
        <v>15</v>
      </c>
      <c r="I201" s="460">
        <f t="shared" ca="1" si="29"/>
        <v>-15</v>
      </c>
    </row>
    <row r="202" spans="1:9">
      <c r="A202" s="295">
        <f t="shared" si="30"/>
        <v>185</v>
      </c>
      <c r="B202" s="300">
        <f t="shared" si="35"/>
        <v>5600</v>
      </c>
      <c r="C202" s="296">
        <f t="shared" ca="1" si="31"/>
        <v>15</v>
      </c>
      <c r="D202" s="295"/>
      <c r="E202" s="296">
        <f t="shared" si="36"/>
        <v>0</v>
      </c>
      <c r="F202" s="296">
        <f t="shared" ca="1" si="32"/>
        <v>0</v>
      </c>
      <c r="G202" s="296">
        <f t="shared" ca="1" si="33"/>
        <v>0</v>
      </c>
      <c r="H202" s="296">
        <f t="shared" ca="1" si="34"/>
        <v>15</v>
      </c>
      <c r="I202" s="460">
        <f t="shared" ca="1" si="29"/>
        <v>-15</v>
      </c>
    </row>
    <row r="203" spans="1:9">
      <c r="A203" s="295">
        <f t="shared" si="30"/>
        <v>186</v>
      </c>
      <c r="B203" s="300">
        <f t="shared" si="35"/>
        <v>5631</v>
      </c>
      <c r="C203" s="296">
        <f t="shared" ca="1" si="31"/>
        <v>15</v>
      </c>
      <c r="D203" s="295"/>
      <c r="E203" s="296">
        <f t="shared" si="36"/>
        <v>0</v>
      </c>
      <c r="F203" s="296">
        <f t="shared" ca="1" si="32"/>
        <v>0</v>
      </c>
      <c r="G203" s="296">
        <f t="shared" ca="1" si="33"/>
        <v>0</v>
      </c>
      <c r="H203" s="296">
        <f t="shared" ca="1" si="34"/>
        <v>15</v>
      </c>
      <c r="I203" s="460">
        <f t="shared" ca="1" si="29"/>
        <v>-15</v>
      </c>
    </row>
    <row r="204" spans="1:9">
      <c r="A204" s="295">
        <f t="shared" si="30"/>
        <v>187</v>
      </c>
      <c r="B204" s="300">
        <f t="shared" si="35"/>
        <v>5661</v>
      </c>
      <c r="C204" s="296">
        <f t="shared" ca="1" si="31"/>
        <v>15</v>
      </c>
      <c r="D204" s="295"/>
      <c r="E204" s="296">
        <f t="shared" si="36"/>
        <v>0</v>
      </c>
      <c r="F204" s="296">
        <f t="shared" ca="1" si="32"/>
        <v>0</v>
      </c>
      <c r="G204" s="296">
        <f t="shared" ca="1" si="33"/>
        <v>0</v>
      </c>
      <c r="H204" s="296">
        <f t="shared" ca="1" si="34"/>
        <v>15</v>
      </c>
      <c r="I204" s="460">
        <f t="shared" ca="1" si="29"/>
        <v>-15</v>
      </c>
    </row>
    <row r="205" spans="1:9">
      <c r="A205" s="295">
        <f t="shared" si="30"/>
        <v>188</v>
      </c>
      <c r="B205" s="300">
        <f t="shared" si="35"/>
        <v>5692</v>
      </c>
      <c r="C205" s="296">
        <f t="shared" ca="1" si="31"/>
        <v>15</v>
      </c>
      <c r="D205" s="295"/>
      <c r="E205" s="296">
        <f t="shared" si="36"/>
        <v>0</v>
      </c>
      <c r="F205" s="296">
        <f t="shared" ca="1" si="32"/>
        <v>0</v>
      </c>
      <c r="G205" s="296">
        <f t="shared" ca="1" si="33"/>
        <v>0</v>
      </c>
      <c r="H205" s="296">
        <f t="shared" ca="1" si="34"/>
        <v>15</v>
      </c>
      <c r="I205" s="460">
        <f t="shared" ca="1" si="29"/>
        <v>-15</v>
      </c>
    </row>
    <row r="206" spans="1:9">
      <c r="A206" s="295">
        <f t="shared" si="30"/>
        <v>189</v>
      </c>
      <c r="B206" s="300">
        <f t="shared" si="35"/>
        <v>5723</v>
      </c>
      <c r="C206" s="296">
        <f t="shared" ca="1" si="31"/>
        <v>15</v>
      </c>
      <c r="D206" s="295"/>
      <c r="E206" s="296">
        <f t="shared" si="36"/>
        <v>0</v>
      </c>
      <c r="F206" s="296">
        <f t="shared" ca="1" si="32"/>
        <v>0</v>
      </c>
      <c r="G206" s="296">
        <f t="shared" ca="1" si="33"/>
        <v>0</v>
      </c>
      <c r="H206" s="296">
        <f t="shared" ca="1" si="34"/>
        <v>15</v>
      </c>
      <c r="I206" s="460">
        <f t="shared" ca="1" si="29"/>
        <v>-15</v>
      </c>
    </row>
    <row r="207" spans="1:9">
      <c r="A207" s="295">
        <f t="shared" si="30"/>
        <v>190</v>
      </c>
      <c r="B207" s="300">
        <f t="shared" si="35"/>
        <v>5753</v>
      </c>
      <c r="C207" s="296">
        <f t="shared" ca="1" si="31"/>
        <v>15</v>
      </c>
      <c r="D207" s="295"/>
      <c r="E207" s="296">
        <f t="shared" si="36"/>
        <v>0</v>
      </c>
      <c r="F207" s="296">
        <f t="shared" ca="1" si="32"/>
        <v>0</v>
      </c>
      <c r="G207" s="296">
        <f t="shared" ca="1" si="33"/>
        <v>0</v>
      </c>
      <c r="H207" s="296">
        <f t="shared" ca="1" si="34"/>
        <v>15</v>
      </c>
      <c r="I207" s="460">
        <f t="shared" ca="1" si="29"/>
        <v>-15</v>
      </c>
    </row>
    <row r="208" spans="1:9">
      <c r="A208" s="295">
        <f t="shared" si="30"/>
        <v>191</v>
      </c>
      <c r="B208" s="300">
        <f t="shared" si="35"/>
        <v>5784</v>
      </c>
      <c r="C208" s="296">
        <f t="shared" ca="1" si="31"/>
        <v>15</v>
      </c>
      <c r="D208" s="295"/>
      <c r="E208" s="296">
        <f>IF($D$10=1,IF(MONTH(B208)=MONTH($D$7),D207-'Sch3-Perf Period Cash Flow'!S7,0),IF(MONTH(B208)=MONTH(EDATE($D$7,11)),IF(AND(H207&gt;D197,H207&lt;K32-L32), H207, MIN(D197,H207))-'Sch3-Perf Period Cash Flow'!S7,0))</f>
        <v>0</v>
      </c>
      <c r="F208" s="296">
        <f t="shared" ca="1" si="32"/>
        <v>0</v>
      </c>
      <c r="G208" s="296">
        <f t="shared" ca="1" si="33"/>
        <v>0</v>
      </c>
      <c r="H208" s="296">
        <f t="shared" ca="1" si="34"/>
        <v>15</v>
      </c>
      <c r="I208" s="460">
        <f t="shared" ca="1" si="29"/>
        <v>-15</v>
      </c>
    </row>
    <row r="209" spans="1:9">
      <c r="A209" s="295">
        <f t="shared" si="30"/>
        <v>192</v>
      </c>
      <c r="B209" s="300">
        <f t="shared" si="35"/>
        <v>5814</v>
      </c>
      <c r="C209" s="296">
        <f t="shared" ca="1" si="31"/>
        <v>15</v>
      </c>
      <c r="D209" s="296">
        <f ca="1">IF(H209&lt;0,0,IF((H208+G209)&lt;(K33-L33),H208+G209,K33-L33))</f>
        <v>0</v>
      </c>
      <c r="E209" s="296">
        <f ca="1">IF($D$10=1,IF(MONTH(B209)=MONTH($D$7),D208-'Sch3-Perf Period Cash Flow'!S7,0),IF(MONTH(B209)=MONTH(EDATE($D$7,11)),MIN(D197,H208)-'Sch3-Perf Period Cash Flow'!S7,0))</f>
        <v>-1</v>
      </c>
      <c r="F209" s="296">
        <f t="shared" ca="1" si="32"/>
        <v>-1</v>
      </c>
      <c r="G209" s="296">
        <f t="shared" ca="1" si="33"/>
        <v>0</v>
      </c>
      <c r="H209" s="296">
        <f t="shared" ca="1" si="34"/>
        <v>16</v>
      </c>
      <c r="I209" s="460">
        <f t="shared" ca="1" si="29"/>
        <v>-16</v>
      </c>
    </row>
    <row r="210" spans="1:9">
      <c r="A210" s="295">
        <f t="shared" si="30"/>
        <v>193</v>
      </c>
      <c r="B210" s="300">
        <f t="shared" si="35"/>
        <v>5845</v>
      </c>
      <c r="C210" s="296">
        <f t="shared" ca="1" si="31"/>
        <v>16</v>
      </c>
      <c r="D210" s="296"/>
      <c r="E210" s="296">
        <f>IF($D$10=1,IF(MONTH(B210)=MONTH($D$7),D209-'Sch3-Perf Period Cash Flow'!T7,0),IF(MONTH(B210)=MONTH(EDATE($D$7,11)),MIN(D198,H209)-'Sch3-Perf Period Cash Flow'!T7,0))</f>
        <v>0</v>
      </c>
      <c r="F210" s="296">
        <f t="shared" ca="1" si="32"/>
        <v>0</v>
      </c>
      <c r="G210" s="296">
        <f t="shared" ca="1" si="33"/>
        <v>0</v>
      </c>
      <c r="H210" s="296">
        <f t="shared" ca="1" si="34"/>
        <v>16</v>
      </c>
      <c r="I210" s="460">
        <f t="shared" ref="I210:I273" ca="1" si="37">ROUND((D210-H210),0)</f>
        <v>-16</v>
      </c>
    </row>
    <row r="211" spans="1:9">
      <c r="A211" s="295">
        <f t="shared" ref="A211:A274" si="38">IF(A210="","",IF(A210=$D$6,"",A210+1))</f>
        <v>194</v>
      </c>
      <c r="B211" s="300">
        <f t="shared" si="35"/>
        <v>5876</v>
      </c>
      <c r="C211" s="296">
        <f t="shared" ref="C211:C274" ca="1" si="39">IF(H210=0,0,H210)</f>
        <v>16</v>
      </c>
      <c r="D211" s="295"/>
      <c r="E211" s="296">
        <f t="shared" si="36"/>
        <v>0</v>
      </c>
      <c r="F211" s="296">
        <f t="shared" ref="F211:F274" ca="1" si="40">IF(E211="","",E211-G211)</f>
        <v>0</v>
      </c>
      <c r="G211" s="296">
        <f t="shared" ref="G211:G274" ca="1" si="41">ROUND((C211-E211)*$D$5,3)</f>
        <v>0</v>
      </c>
      <c r="H211" s="296">
        <f t="shared" ref="H211:H274" ca="1" si="42">IF(E211="","",ROUND(H210-F211,4))</f>
        <v>16</v>
      </c>
      <c r="I211" s="460">
        <f t="shared" ca="1" si="37"/>
        <v>-16</v>
      </c>
    </row>
    <row r="212" spans="1:9">
      <c r="A212" s="295">
        <f t="shared" si="38"/>
        <v>195</v>
      </c>
      <c r="B212" s="300">
        <f t="shared" ref="B212:B275" si="43">DATE(YEAR(B211),MONTH(B211)+1,1)</f>
        <v>5905</v>
      </c>
      <c r="C212" s="296">
        <f t="shared" ca="1" si="39"/>
        <v>16</v>
      </c>
      <c r="D212" s="295"/>
      <c r="E212" s="296">
        <f t="shared" si="36"/>
        <v>0</v>
      </c>
      <c r="F212" s="296">
        <f t="shared" ca="1" si="40"/>
        <v>0</v>
      </c>
      <c r="G212" s="296">
        <f t="shared" ca="1" si="41"/>
        <v>0</v>
      </c>
      <c r="H212" s="296">
        <f t="shared" ca="1" si="42"/>
        <v>16</v>
      </c>
      <c r="I212" s="460">
        <f t="shared" ca="1" si="37"/>
        <v>-16</v>
      </c>
    </row>
    <row r="213" spans="1:9">
      <c r="A213" s="295">
        <f t="shared" si="38"/>
        <v>196</v>
      </c>
      <c r="B213" s="300">
        <f t="shared" si="43"/>
        <v>5936</v>
      </c>
      <c r="C213" s="296">
        <f t="shared" ca="1" si="39"/>
        <v>16</v>
      </c>
      <c r="D213" s="295"/>
      <c r="E213" s="296">
        <f t="shared" si="36"/>
        <v>0</v>
      </c>
      <c r="F213" s="296">
        <f t="shared" ca="1" si="40"/>
        <v>0</v>
      </c>
      <c r="G213" s="296">
        <f t="shared" ca="1" si="41"/>
        <v>0</v>
      </c>
      <c r="H213" s="296">
        <f t="shared" ca="1" si="42"/>
        <v>16</v>
      </c>
      <c r="I213" s="460">
        <f t="shared" ca="1" si="37"/>
        <v>-16</v>
      </c>
    </row>
    <row r="214" spans="1:9">
      <c r="A214" s="295">
        <f t="shared" si="38"/>
        <v>197</v>
      </c>
      <c r="B214" s="300">
        <f t="shared" si="43"/>
        <v>5966</v>
      </c>
      <c r="C214" s="296">
        <f t="shared" ca="1" si="39"/>
        <v>16</v>
      </c>
      <c r="D214" s="295"/>
      <c r="E214" s="296">
        <f t="shared" si="36"/>
        <v>0</v>
      </c>
      <c r="F214" s="296">
        <f t="shared" ca="1" si="40"/>
        <v>0</v>
      </c>
      <c r="G214" s="296">
        <f t="shared" ca="1" si="41"/>
        <v>0</v>
      </c>
      <c r="H214" s="296">
        <f t="shared" ca="1" si="42"/>
        <v>16</v>
      </c>
      <c r="I214" s="460">
        <f t="shared" ca="1" si="37"/>
        <v>-16</v>
      </c>
    </row>
    <row r="215" spans="1:9">
      <c r="A215" s="295">
        <f t="shared" si="38"/>
        <v>198</v>
      </c>
      <c r="B215" s="300">
        <f t="shared" si="43"/>
        <v>5997</v>
      </c>
      <c r="C215" s="296">
        <f t="shared" ca="1" si="39"/>
        <v>16</v>
      </c>
      <c r="D215" s="295"/>
      <c r="E215" s="296">
        <f t="shared" si="36"/>
        <v>0</v>
      </c>
      <c r="F215" s="296">
        <f t="shared" ca="1" si="40"/>
        <v>0</v>
      </c>
      <c r="G215" s="296">
        <f t="shared" ca="1" si="41"/>
        <v>0</v>
      </c>
      <c r="H215" s="296">
        <f t="shared" ca="1" si="42"/>
        <v>16</v>
      </c>
      <c r="I215" s="460">
        <f t="shared" ca="1" si="37"/>
        <v>-16</v>
      </c>
    </row>
    <row r="216" spans="1:9">
      <c r="A216" s="295">
        <f t="shared" si="38"/>
        <v>199</v>
      </c>
      <c r="B216" s="300">
        <f t="shared" si="43"/>
        <v>6027</v>
      </c>
      <c r="C216" s="296">
        <f t="shared" ca="1" si="39"/>
        <v>16</v>
      </c>
      <c r="D216" s="295"/>
      <c r="E216" s="296">
        <f t="shared" si="36"/>
        <v>0</v>
      </c>
      <c r="F216" s="296">
        <f t="shared" ca="1" si="40"/>
        <v>0</v>
      </c>
      <c r="G216" s="296">
        <f t="shared" ca="1" si="41"/>
        <v>0</v>
      </c>
      <c r="H216" s="296">
        <f t="shared" ca="1" si="42"/>
        <v>16</v>
      </c>
      <c r="I216" s="460">
        <f t="shared" ca="1" si="37"/>
        <v>-16</v>
      </c>
    </row>
    <row r="217" spans="1:9">
      <c r="A217" s="295">
        <f t="shared" si="38"/>
        <v>200</v>
      </c>
      <c r="B217" s="300">
        <f t="shared" si="43"/>
        <v>6058</v>
      </c>
      <c r="C217" s="296">
        <f t="shared" ca="1" si="39"/>
        <v>16</v>
      </c>
      <c r="D217" s="295"/>
      <c r="E217" s="296">
        <f t="shared" si="36"/>
        <v>0</v>
      </c>
      <c r="F217" s="296">
        <f t="shared" ca="1" si="40"/>
        <v>0</v>
      </c>
      <c r="G217" s="296">
        <f t="shared" ca="1" si="41"/>
        <v>0</v>
      </c>
      <c r="H217" s="296">
        <f t="shared" ca="1" si="42"/>
        <v>16</v>
      </c>
      <c r="I217" s="460">
        <f t="shared" ca="1" si="37"/>
        <v>-16</v>
      </c>
    </row>
    <row r="218" spans="1:9">
      <c r="A218" s="295">
        <f t="shared" si="38"/>
        <v>201</v>
      </c>
      <c r="B218" s="300">
        <f t="shared" si="43"/>
        <v>6089</v>
      </c>
      <c r="C218" s="296">
        <f t="shared" ca="1" si="39"/>
        <v>16</v>
      </c>
      <c r="D218" s="295"/>
      <c r="E218" s="296">
        <f t="shared" si="36"/>
        <v>0</v>
      </c>
      <c r="F218" s="296">
        <f t="shared" ca="1" si="40"/>
        <v>0</v>
      </c>
      <c r="G218" s="296">
        <f t="shared" ca="1" si="41"/>
        <v>0</v>
      </c>
      <c r="H218" s="296">
        <f t="shared" ca="1" si="42"/>
        <v>16</v>
      </c>
      <c r="I218" s="460">
        <f t="shared" ca="1" si="37"/>
        <v>-16</v>
      </c>
    </row>
    <row r="219" spans="1:9">
      <c r="A219" s="295">
        <f t="shared" si="38"/>
        <v>202</v>
      </c>
      <c r="B219" s="300">
        <f t="shared" si="43"/>
        <v>6119</v>
      </c>
      <c r="C219" s="296">
        <f t="shared" ca="1" si="39"/>
        <v>16</v>
      </c>
      <c r="D219" s="295"/>
      <c r="E219" s="296">
        <f t="shared" si="36"/>
        <v>0</v>
      </c>
      <c r="F219" s="296">
        <f t="shared" ca="1" si="40"/>
        <v>0</v>
      </c>
      <c r="G219" s="296">
        <f t="shared" ca="1" si="41"/>
        <v>0</v>
      </c>
      <c r="H219" s="296">
        <f t="shared" ca="1" si="42"/>
        <v>16</v>
      </c>
      <c r="I219" s="460">
        <f t="shared" ca="1" si="37"/>
        <v>-16</v>
      </c>
    </row>
    <row r="220" spans="1:9">
      <c r="A220" s="295">
        <f t="shared" si="38"/>
        <v>203</v>
      </c>
      <c r="B220" s="300">
        <f t="shared" si="43"/>
        <v>6150</v>
      </c>
      <c r="C220" s="296">
        <f t="shared" ca="1" si="39"/>
        <v>16</v>
      </c>
      <c r="D220" s="295"/>
      <c r="E220" s="296">
        <f>IF($D$10=1,IF(MONTH(B220)=MONTH($D$7),D219-'Sch3-Perf Period Cash Flow'!T7,0),IF(MONTH(B220)=MONTH(EDATE($D$7,11)),IF(AND(H219&gt;D209,H219&lt;K33-L33), H219, MIN(D209,H219))-'Sch3-Perf Period Cash Flow'!T7,0))</f>
        <v>0</v>
      </c>
      <c r="F220" s="296">
        <f t="shared" ca="1" si="40"/>
        <v>0</v>
      </c>
      <c r="G220" s="296">
        <f t="shared" ca="1" si="41"/>
        <v>0</v>
      </c>
      <c r="H220" s="296">
        <f t="shared" ca="1" si="42"/>
        <v>16</v>
      </c>
      <c r="I220" s="460">
        <f t="shared" ca="1" si="37"/>
        <v>-16</v>
      </c>
    </row>
    <row r="221" spans="1:9">
      <c r="A221" s="295">
        <f t="shared" si="38"/>
        <v>204</v>
      </c>
      <c r="B221" s="300">
        <f t="shared" si="43"/>
        <v>6180</v>
      </c>
      <c r="C221" s="296">
        <f t="shared" ca="1" si="39"/>
        <v>16</v>
      </c>
      <c r="D221" s="296">
        <f ca="1">IF(H221&lt;0,0,IF((H220+G221)&lt;(K34-L34),H220+G221,K34-L34))</f>
        <v>0</v>
      </c>
      <c r="E221" s="296">
        <f ca="1">IF($D$10=1,IF(MONTH(B221)=MONTH($D$7),D220-'Sch3-Perf Period Cash Flow'!T7,0),IF(MONTH(B221)=MONTH(EDATE($D$7,11)),MIN(D209,H220)-'Sch3-Perf Period Cash Flow'!T7,0))</f>
        <v>-1</v>
      </c>
      <c r="F221" s="296">
        <f t="shared" ca="1" si="40"/>
        <v>-1</v>
      </c>
      <c r="G221" s="296">
        <f t="shared" ca="1" si="41"/>
        <v>0</v>
      </c>
      <c r="H221" s="296">
        <f t="shared" ca="1" si="42"/>
        <v>17</v>
      </c>
      <c r="I221" s="460">
        <f t="shared" ca="1" si="37"/>
        <v>-17</v>
      </c>
    </row>
    <row r="222" spans="1:9">
      <c r="A222" s="295">
        <f t="shared" si="38"/>
        <v>205</v>
      </c>
      <c r="B222" s="300">
        <f t="shared" si="43"/>
        <v>6211</v>
      </c>
      <c r="C222" s="296">
        <f t="shared" ca="1" si="39"/>
        <v>17</v>
      </c>
      <c r="D222" s="296"/>
      <c r="E222" s="296">
        <f>IF($D$10=1,IF(MONTH(B222)=MONTH($D$7),D221-'Sch3-Perf Period Cash Flow'!U7,0),IF(MONTH(B222)=MONTH(EDATE($D$7,11)),MIN(D210,H221)-'Sch3-Perf Period Cash Flow'!U7,0))</f>
        <v>0</v>
      </c>
      <c r="F222" s="296">
        <f t="shared" ca="1" si="40"/>
        <v>0</v>
      </c>
      <c r="G222" s="296">
        <f t="shared" ca="1" si="41"/>
        <v>0</v>
      </c>
      <c r="H222" s="296">
        <f t="shared" ca="1" si="42"/>
        <v>17</v>
      </c>
      <c r="I222" s="460">
        <f t="shared" ca="1" si="37"/>
        <v>-17</v>
      </c>
    </row>
    <row r="223" spans="1:9">
      <c r="A223" s="295">
        <f t="shared" si="38"/>
        <v>206</v>
      </c>
      <c r="B223" s="300">
        <f t="shared" si="43"/>
        <v>6242</v>
      </c>
      <c r="C223" s="296">
        <f t="shared" ca="1" si="39"/>
        <v>17</v>
      </c>
      <c r="D223" s="295"/>
      <c r="E223" s="296">
        <f t="shared" si="36"/>
        <v>0</v>
      </c>
      <c r="F223" s="296">
        <f t="shared" ca="1" si="40"/>
        <v>0</v>
      </c>
      <c r="G223" s="296">
        <f t="shared" ca="1" si="41"/>
        <v>0</v>
      </c>
      <c r="H223" s="296">
        <f t="shared" ca="1" si="42"/>
        <v>17</v>
      </c>
      <c r="I223" s="460">
        <f t="shared" ca="1" si="37"/>
        <v>-17</v>
      </c>
    </row>
    <row r="224" spans="1:9">
      <c r="A224" s="295">
        <f t="shared" si="38"/>
        <v>207</v>
      </c>
      <c r="B224" s="300">
        <f t="shared" si="43"/>
        <v>6270</v>
      </c>
      <c r="C224" s="296">
        <f t="shared" ca="1" si="39"/>
        <v>17</v>
      </c>
      <c r="D224" s="295"/>
      <c r="E224" s="296">
        <f t="shared" si="36"/>
        <v>0</v>
      </c>
      <c r="F224" s="296">
        <f t="shared" ca="1" si="40"/>
        <v>0</v>
      </c>
      <c r="G224" s="296">
        <f t="shared" ca="1" si="41"/>
        <v>0</v>
      </c>
      <c r="H224" s="296">
        <f t="shared" ca="1" si="42"/>
        <v>17</v>
      </c>
      <c r="I224" s="460">
        <f t="shared" ca="1" si="37"/>
        <v>-17</v>
      </c>
    </row>
    <row r="225" spans="1:9">
      <c r="A225" s="295">
        <f t="shared" si="38"/>
        <v>208</v>
      </c>
      <c r="B225" s="300">
        <f t="shared" si="43"/>
        <v>6301</v>
      </c>
      <c r="C225" s="296">
        <f t="shared" ca="1" si="39"/>
        <v>17</v>
      </c>
      <c r="D225" s="295"/>
      <c r="E225" s="296">
        <f t="shared" si="36"/>
        <v>0</v>
      </c>
      <c r="F225" s="296">
        <f t="shared" ca="1" si="40"/>
        <v>0</v>
      </c>
      <c r="G225" s="296">
        <f t="shared" ca="1" si="41"/>
        <v>0</v>
      </c>
      <c r="H225" s="296">
        <f t="shared" ca="1" si="42"/>
        <v>17</v>
      </c>
      <c r="I225" s="460">
        <f t="shared" ca="1" si="37"/>
        <v>-17</v>
      </c>
    </row>
    <row r="226" spans="1:9">
      <c r="A226" s="295">
        <f t="shared" si="38"/>
        <v>209</v>
      </c>
      <c r="B226" s="300">
        <f t="shared" si="43"/>
        <v>6331</v>
      </c>
      <c r="C226" s="296">
        <f t="shared" ca="1" si="39"/>
        <v>17</v>
      </c>
      <c r="D226" s="295"/>
      <c r="E226" s="296">
        <f t="shared" si="36"/>
        <v>0</v>
      </c>
      <c r="F226" s="296">
        <f t="shared" ca="1" si="40"/>
        <v>0</v>
      </c>
      <c r="G226" s="296">
        <f t="shared" ca="1" si="41"/>
        <v>0</v>
      </c>
      <c r="H226" s="296">
        <f t="shared" ca="1" si="42"/>
        <v>17</v>
      </c>
      <c r="I226" s="460">
        <f t="shared" ca="1" si="37"/>
        <v>-17</v>
      </c>
    </row>
    <row r="227" spans="1:9">
      <c r="A227" s="295">
        <f t="shared" si="38"/>
        <v>210</v>
      </c>
      <c r="B227" s="300">
        <f t="shared" si="43"/>
        <v>6362</v>
      </c>
      <c r="C227" s="296">
        <f t="shared" ca="1" si="39"/>
        <v>17</v>
      </c>
      <c r="D227" s="295"/>
      <c r="E227" s="296">
        <f t="shared" si="36"/>
        <v>0</v>
      </c>
      <c r="F227" s="296">
        <f t="shared" ca="1" si="40"/>
        <v>0</v>
      </c>
      <c r="G227" s="296">
        <f t="shared" ca="1" si="41"/>
        <v>0</v>
      </c>
      <c r="H227" s="296">
        <f t="shared" ca="1" si="42"/>
        <v>17</v>
      </c>
      <c r="I227" s="460">
        <f t="shared" ca="1" si="37"/>
        <v>-17</v>
      </c>
    </row>
    <row r="228" spans="1:9">
      <c r="A228" s="295">
        <f t="shared" si="38"/>
        <v>211</v>
      </c>
      <c r="B228" s="300">
        <f t="shared" si="43"/>
        <v>6392</v>
      </c>
      <c r="C228" s="296">
        <f t="shared" ca="1" si="39"/>
        <v>17</v>
      </c>
      <c r="D228" s="295"/>
      <c r="E228" s="296">
        <f t="shared" si="36"/>
        <v>0</v>
      </c>
      <c r="F228" s="296">
        <f t="shared" ca="1" si="40"/>
        <v>0</v>
      </c>
      <c r="G228" s="296">
        <f t="shared" ca="1" si="41"/>
        <v>0</v>
      </c>
      <c r="H228" s="296">
        <f t="shared" ca="1" si="42"/>
        <v>17</v>
      </c>
      <c r="I228" s="460">
        <f t="shared" ca="1" si="37"/>
        <v>-17</v>
      </c>
    </row>
    <row r="229" spans="1:9">
      <c r="A229" s="295">
        <f t="shared" si="38"/>
        <v>212</v>
      </c>
      <c r="B229" s="300">
        <f t="shared" si="43"/>
        <v>6423</v>
      </c>
      <c r="C229" s="296">
        <f t="shared" ca="1" si="39"/>
        <v>17</v>
      </c>
      <c r="D229" s="295"/>
      <c r="E229" s="296">
        <f t="shared" si="36"/>
        <v>0</v>
      </c>
      <c r="F229" s="296">
        <f t="shared" ca="1" si="40"/>
        <v>0</v>
      </c>
      <c r="G229" s="296">
        <f t="shared" ca="1" si="41"/>
        <v>0</v>
      </c>
      <c r="H229" s="296">
        <f t="shared" ca="1" si="42"/>
        <v>17</v>
      </c>
      <c r="I229" s="460">
        <f t="shared" ca="1" si="37"/>
        <v>-17</v>
      </c>
    </row>
    <row r="230" spans="1:9">
      <c r="A230" s="295">
        <f t="shared" si="38"/>
        <v>213</v>
      </c>
      <c r="B230" s="300">
        <f t="shared" si="43"/>
        <v>6454</v>
      </c>
      <c r="C230" s="296">
        <f t="shared" ca="1" si="39"/>
        <v>17</v>
      </c>
      <c r="D230" s="295"/>
      <c r="E230" s="296">
        <f t="shared" si="36"/>
        <v>0</v>
      </c>
      <c r="F230" s="296">
        <f t="shared" ca="1" si="40"/>
        <v>0</v>
      </c>
      <c r="G230" s="296">
        <f t="shared" ca="1" si="41"/>
        <v>0</v>
      </c>
      <c r="H230" s="296">
        <f t="shared" ca="1" si="42"/>
        <v>17</v>
      </c>
      <c r="I230" s="460">
        <f t="shared" ca="1" si="37"/>
        <v>-17</v>
      </c>
    </row>
    <row r="231" spans="1:9">
      <c r="A231" s="295">
        <f t="shared" si="38"/>
        <v>214</v>
      </c>
      <c r="B231" s="300">
        <f t="shared" si="43"/>
        <v>6484</v>
      </c>
      <c r="C231" s="296">
        <f t="shared" ca="1" si="39"/>
        <v>17</v>
      </c>
      <c r="D231" s="295"/>
      <c r="E231" s="296">
        <f t="shared" si="36"/>
        <v>0</v>
      </c>
      <c r="F231" s="296">
        <f t="shared" ca="1" si="40"/>
        <v>0</v>
      </c>
      <c r="G231" s="296">
        <f t="shared" ca="1" si="41"/>
        <v>0</v>
      </c>
      <c r="H231" s="296">
        <f t="shared" ca="1" si="42"/>
        <v>17</v>
      </c>
      <c r="I231" s="460">
        <f t="shared" ca="1" si="37"/>
        <v>-17</v>
      </c>
    </row>
    <row r="232" spans="1:9">
      <c r="A232" s="295">
        <f t="shared" si="38"/>
        <v>215</v>
      </c>
      <c r="B232" s="300">
        <f t="shared" si="43"/>
        <v>6515</v>
      </c>
      <c r="C232" s="296">
        <f t="shared" ca="1" si="39"/>
        <v>17</v>
      </c>
      <c r="D232" s="295"/>
      <c r="E232" s="296">
        <f>IF($D$10=1,IF(MONTH(B232)=MONTH($D$7),D231-'Sch3-Perf Period Cash Flow'!U7,0),IF(MONTH(B232)=MONTH(EDATE($D$7,11)),IF(AND(H231&gt;D221,H231&lt;K34-L34), H231, MIN(D221,H231))-'Sch3-Perf Period Cash Flow'!U7,0))</f>
        <v>0</v>
      </c>
      <c r="F232" s="296">
        <f t="shared" ca="1" si="40"/>
        <v>0</v>
      </c>
      <c r="G232" s="296">
        <f t="shared" ca="1" si="41"/>
        <v>0</v>
      </c>
      <c r="H232" s="296">
        <f t="shared" ca="1" si="42"/>
        <v>17</v>
      </c>
      <c r="I232" s="460">
        <f t="shared" ca="1" si="37"/>
        <v>-17</v>
      </c>
    </row>
    <row r="233" spans="1:9" s="462" customFormat="1">
      <c r="A233" s="295">
        <f t="shared" si="38"/>
        <v>216</v>
      </c>
      <c r="B233" s="300">
        <f t="shared" si="43"/>
        <v>6545</v>
      </c>
      <c r="C233" s="296">
        <f t="shared" ca="1" si="39"/>
        <v>17</v>
      </c>
      <c r="D233" s="296">
        <f ca="1">IF(H233&lt;0,0,IF((H232+G233)&lt;(K35-L35),H232+G233,K35-L35))</f>
        <v>0</v>
      </c>
      <c r="E233" s="296">
        <f ca="1">IF($D$10=1,IF(MONTH(B233)=MONTH($D$7),D232-'Sch3-Perf Period Cash Flow'!U7,0),IF(MONTH(B233)=MONTH(EDATE($D$7,11)),MIN(D221,H232)-'Sch3-Perf Period Cash Flow'!U7,0))</f>
        <v>-1</v>
      </c>
      <c r="F233" s="296">
        <f t="shared" ca="1" si="40"/>
        <v>-1</v>
      </c>
      <c r="G233" s="296">
        <f t="shared" ca="1" si="41"/>
        <v>0</v>
      </c>
      <c r="H233" s="296">
        <f t="shared" ca="1" si="42"/>
        <v>18</v>
      </c>
      <c r="I233" s="460">
        <f t="shared" ca="1" si="37"/>
        <v>-18</v>
      </c>
    </row>
    <row r="234" spans="1:9">
      <c r="A234" s="295">
        <f t="shared" si="38"/>
        <v>217</v>
      </c>
      <c r="B234" s="300">
        <f t="shared" si="43"/>
        <v>6576</v>
      </c>
      <c r="C234" s="296">
        <f t="shared" ca="1" si="39"/>
        <v>18</v>
      </c>
      <c r="D234" s="296"/>
      <c r="E234" s="296">
        <f>IF($D$10=1,IF(MONTH(B234)=MONTH($D$7),D233-'Sch3-Perf Period Cash Flow'!V7,0),IF(MONTH(B234)=MONTH(EDATE($D$7,11)),MIN(D222,H233)-'Sch3-Perf Period Cash Flow'!V7,0))</f>
        <v>0</v>
      </c>
      <c r="F234" s="296">
        <f t="shared" ca="1" si="40"/>
        <v>0</v>
      </c>
      <c r="G234" s="296">
        <f t="shared" ca="1" si="41"/>
        <v>0</v>
      </c>
      <c r="H234" s="296">
        <f t="shared" ca="1" si="42"/>
        <v>18</v>
      </c>
      <c r="I234" s="460">
        <f t="shared" ca="1" si="37"/>
        <v>-18</v>
      </c>
    </row>
    <row r="235" spans="1:9">
      <c r="A235" s="295">
        <f t="shared" si="38"/>
        <v>218</v>
      </c>
      <c r="B235" s="300">
        <f t="shared" si="43"/>
        <v>6607</v>
      </c>
      <c r="C235" s="296">
        <f t="shared" ca="1" si="39"/>
        <v>18</v>
      </c>
      <c r="D235" s="295"/>
      <c r="E235" s="296">
        <f t="shared" si="36"/>
        <v>0</v>
      </c>
      <c r="F235" s="296">
        <f t="shared" ca="1" si="40"/>
        <v>0</v>
      </c>
      <c r="G235" s="296">
        <f t="shared" ca="1" si="41"/>
        <v>0</v>
      </c>
      <c r="H235" s="296">
        <f t="shared" ca="1" si="42"/>
        <v>18</v>
      </c>
      <c r="I235" s="460">
        <f t="shared" ca="1" si="37"/>
        <v>-18</v>
      </c>
    </row>
    <row r="236" spans="1:9">
      <c r="A236" s="295">
        <f t="shared" si="38"/>
        <v>219</v>
      </c>
      <c r="B236" s="300">
        <f t="shared" si="43"/>
        <v>6635</v>
      </c>
      <c r="C236" s="296">
        <f t="shared" ca="1" si="39"/>
        <v>18</v>
      </c>
      <c r="D236" s="295"/>
      <c r="E236" s="296">
        <f t="shared" si="36"/>
        <v>0</v>
      </c>
      <c r="F236" s="296">
        <f t="shared" ca="1" si="40"/>
        <v>0</v>
      </c>
      <c r="G236" s="296">
        <f t="shared" ca="1" si="41"/>
        <v>0</v>
      </c>
      <c r="H236" s="296">
        <f t="shared" ca="1" si="42"/>
        <v>18</v>
      </c>
      <c r="I236" s="460">
        <f t="shared" ca="1" si="37"/>
        <v>-18</v>
      </c>
    </row>
    <row r="237" spans="1:9">
      <c r="A237" s="295">
        <f t="shared" si="38"/>
        <v>220</v>
      </c>
      <c r="B237" s="300">
        <f t="shared" si="43"/>
        <v>6666</v>
      </c>
      <c r="C237" s="296">
        <f t="shared" ca="1" si="39"/>
        <v>18</v>
      </c>
      <c r="D237" s="295"/>
      <c r="E237" s="296">
        <f t="shared" si="36"/>
        <v>0</v>
      </c>
      <c r="F237" s="296">
        <f t="shared" ca="1" si="40"/>
        <v>0</v>
      </c>
      <c r="G237" s="296">
        <f t="shared" ca="1" si="41"/>
        <v>0</v>
      </c>
      <c r="H237" s="296">
        <f t="shared" ca="1" si="42"/>
        <v>18</v>
      </c>
      <c r="I237" s="460">
        <f t="shared" ca="1" si="37"/>
        <v>-18</v>
      </c>
    </row>
    <row r="238" spans="1:9">
      <c r="A238" s="295">
        <f t="shared" si="38"/>
        <v>221</v>
      </c>
      <c r="B238" s="300">
        <f t="shared" si="43"/>
        <v>6696</v>
      </c>
      <c r="C238" s="296">
        <f t="shared" ca="1" si="39"/>
        <v>18</v>
      </c>
      <c r="D238" s="295"/>
      <c r="E238" s="296">
        <f t="shared" si="36"/>
        <v>0</v>
      </c>
      <c r="F238" s="296">
        <f t="shared" ca="1" si="40"/>
        <v>0</v>
      </c>
      <c r="G238" s="296">
        <f t="shared" ca="1" si="41"/>
        <v>0</v>
      </c>
      <c r="H238" s="296">
        <f t="shared" ca="1" si="42"/>
        <v>18</v>
      </c>
      <c r="I238" s="460">
        <f t="shared" ca="1" si="37"/>
        <v>-18</v>
      </c>
    </row>
    <row r="239" spans="1:9">
      <c r="A239" s="295">
        <f t="shared" si="38"/>
        <v>222</v>
      </c>
      <c r="B239" s="300">
        <f t="shared" si="43"/>
        <v>6727</v>
      </c>
      <c r="C239" s="296">
        <f t="shared" ca="1" si="39"/>
        <v>18</v>
      </c>
      <c r="D239" s="295"/>
      <c r="E239" s="296">
        <f t="shared" si="36"/>
        <v>0</v>
      </c>
      <c r="F239" s="296">
        <f t="shared" ca="1" si="40"/>
        <v>0</v>
      </c>
      <c r="G239" s="296">
        <f t="shared" ca="1" si="41"/>
        <v>0</v>
      </c>
      <c r="H239" s="296">
        <f t="shared" ca="1" si="42"/>
        <v>18</v>
      </c>
      <c r="I239" s="460">
        <f t="shared" ca="1" si="37"/>
        <v>-18</v>
      </c>
    </row>
    <row r="240" spans="1:9">
      <c r="A240" s="295">
        <f t="shared" si="38"/>
        <v>223</v>
      </c>
      <c r="B240" s="300">
        <f t="shared" si="43"/>
        <v>6757</v>
      </c>
      <c r="C240" s="296">
        <f t="shared" ca="1" si="39"/>
        <v>18</v>
      </c>
      <c r="D240" s="295"/>
      <c r="E240" s="296">
        <f t="shared" si="36"/>
        <v>0</v>
      </c>
      <c r="F240" s="296">
        <f t="shared" ca="1" si="40"/>
        <v>0</v>
      </c>
      <c r="G240" s="296">
        <f t="shared" ca="1" si="41"/>
        <v>0</v>
      </c>
      <c r="H240" s="296">
        <f t="shared" ca="1" si="42"/>
        <v>18</v>
      </c>
      <c r="I240" s="460">
        <f t="shared" ca="1" si="37"/>
        <v>-18</v>
      </c>
    </row>
    <row r="241" spans="1:9">
      <c r="A241" s="295">
        <f t="shared" si="38"/>
        <v>224</v>
      </c>
      <c r="B241" s="300">
        <f t="shared" si="43"/>
        <v>6788</v>
      </c>
      <c r="C241" s="296">
        <f t="shared" ca="1" si="39"/>
        <v>18</v>
      </c>
      <c r="D241" s="295"/>
      <c r="E241" s="296">
        <f t="shared" si="36"/>
        <v>0</v>
      </c>
      <c r="F241" s="296">
        <f t="shared" ca="1" si="40"/>
        <v>0</v>
      </c>
      <c r="G241" s="296">
        <f t="shared" ca="1" si="41"/>
        <v>0</v>
      </c>
      <c r="H241" s="296">
        <f t="shared" ca="1" si="42"/>
        <v>18</v>
      </c>
      <c r="I241" s="460">
        <f t="shared" ca="1" si="37"/>
        <v>-18</v>
      </c>
    </row>
    <row r="242" spans="1:9">
      <c r="A242" s="295">
        <f t="shared" si="38"/>
        <v>225</v>
      </c>
      <c r="B242" s="300">
        <f t="shared" si="43"/>
        <v>6819</v>
      </c>
      <c r="C242" s="296">
        <f t="shared" ca="1" si="39"/>
        <v>18</v>
      </c>
      <c r="D242" s="295"/>
      <c r="E242" s="296">
        <f t="shared" si="36"/>
        <v>0</v>
      </c>
      <c r="F242" s="296">
        <f t="shared" ca="1" si="40"/>
        <v>0</v>
      </c>
      <c r="G242" s="296">
        <f t="shared" ca="1" si="41"/>
        <v>0</v>
      </c>
      <c r="H242" s="296">
        <f t="shared" ca="1" si="42"/>
        <v>18</v>
      </c>
      <c r="I242" s="460">
        <f t="shared" ca="1" si="37"/>
        <v>-18</v>
      </c>
    </row>
    <row r="243" spans="1:9">
      <c r="A243" s="295">
        <f t="shared" si="38"/>
        <v>226</v>
      </c>
      <c r="B243" s="300">
        <f t="shared" si="43"/>
        <v>6849</v>
      </c>
      <c r="C243" s="296">
        <f t="shared" ca="1" si="39"/>
        <v>18</v>
      </c>
      <c r="D243" s="295"/>
      <c r="E243" s="296">
        <f t="shared" si="36"/>
        <v>0</v>
      </c>
      <c r="F243" s="296">
        <f t="shared" ca="1" si="40"/>
        <v>0</v>
      </c>
      <c r="G243" s="296">
        <f t="shared" ca="1" si="41"/>
        <v>0</v>
      </c>
      <c r="H243" s="296">
        <f t="shared" ca="1" si="42"/>
        <v>18</v>
      </c>
      <c r="I243" s="460">
        <f t="shared" ca="1" si="37"/>
        <v>-18</v>
      </c>
    </row>
    <row r="244" spans="1:9">
      <c r="A244" s="295">
        <f t="shared" si="38"/>
        <v>227</v>
      </c>
      <c r="B244" s="300">
        <f t="shared" si="43"/>
        <v>6880</v>
      </c>
      <c r="C244" s="296">
        <f t="shared" ca="1" si="39"/>
        <v>18</v>
      </c>
      <c r="D244" s="295"/>
      <c r="E244" s="296">
        <f>IF($D$10=1,IF(MONTH(B244)=MONTH($D$7),D243-'Sch3-Perf Period Cash Flow'!V7,0),IF(MONTH(B244)=MONTH(EDATE($D$7,11)),IF(AND(H243&gt;D233,H243&lt;K35-L35), H243, MIN(D233,H243))-'Sch3-Perf Period Cash Flow'!V7,0))</f>
        <v>0</v>
      </c>
      <c r="F244" s="296">
        <f t="shared" ca="1" si="40"/>
        <v>0</v>
      </c>
      <c r="G244" s="296">
        <f t="shared" ca="1" si="41"/>
        <v>0</v>
      </c>
      <c r="H244" s="296">
        <f t="shared" ca="1" si="42"/>
        <v>18</v>
      </c>
      <c r="I244" s="460">
        <f t="shared" ca="1" si="37"/>
        <v>-18</v>
      </c>
    </row>
    <row r="245" spans="1:9">
      <c r="A245" s="295">
        <f t="shared" si="38"/>
        <v>228</v>
      </c>
      <c r="B245" s="300">
        <f t="shared" si="43"/>
        <v>6910</v>
      </c>
      <c r="C245" s="296">
        <f t="shared" ca="1" si="39"/>
        <v>18</v>
      </c>
      <c r="D245" s="296">
        <f ca="1">IF(H245&lt;0,0,IF((H244+G245)&lt;(K36-L36),H244+G245,K36-L36))</f>
        <v>0</v>
      </c>
      <c r="E245" s="296">
        <f ca="1">IF($D$10=1,IF(MONTH(B245)=MONTH($D$7),D244-'Sch3-Perf Period Cash Flow'!V7,0),IF(MONTH(B245)=MONTH(EDATE($D$7,11)),MIN(D233,H244)-'Sch3-Perf Period Cash Flow'!V7,0))</f>
        <v>-1</v>
      </c>
      <c r="F245" s="296">
        <f t="shared" ca="1" si="40"/>
        <v>-1</v>
      </c>
      <c r="G245" s="296">
        <f t="shared" ca="1" si="41"/>
        <v>0</v>
      </c>
      <c r="H245" s="296">
        <f t="shared" ca="1" si="42"/>
        <v>19</v>
      </c>
      <c r="I245" s="460">
        <f t="shared" ca="1" si="37"/>
        <v>-19</v>
      </c>
    </row>
    <row r="246" spans="1:9">
      <c r="A246" s="295">
        <f t="shared" si="38"/>
        <v>229</v>
      </c>
      <c r="B246" s="300">
        <f t="shared" si="43"/>
        <v>6941</v>
      </c>
      <c r="C246" s="296">
        <f t="shared" ca="1" si="39"/>
        <v>19</v>
      </c>
      <c r="D246" s="296"/>
      <c r="E246" s="296">
        <f>IF($D$10=1,IF(MONTH(B246)=MONTH($D$7),D245-'Sch3-Perf Period Cash Flow'!W7,0),IF(MONTH(B246)=MONTH(EDATE($D$7,11)),MIN(D234,H245)-'Sch3-Perf Period Cash Flow'!W7,0))</f>
        <v>0</v>
      </c>
      <c r="F246" s="296">
        <f t="shared" ca="1" si="40"/>
        <v>0</v>
      </c>
      <c r="G246" s="296">
        <f t="shared" ca="1" si="41"/>
        <v>0</v>
      </c>
      <c r="H246" s="296">
        <f t="shared" ca="1" si="42"/>
        <v>19</v>
      </c>
      <c r="I246" s="460">
        <f t="shared" ca="1" si="37"/>
        <v>-19</v>
      </c>
    </row>
    <row r="247" spans="1:9">
      <c r="A247" s="295">
        <f t="shared" si="38"/>
        <v>230</v>
      </c>
      <c r="B247" s="300">
        <f t="shared" si="43"/>
        <v>6972</v>
      </c>
      <c r="C247" s="296">
        <f t="shared" ca="1" si="39"/>
        <v>19</v>
      </c>
      <c r="D247" s="295"/>
      <c r="E247" s="296">
        <f t="shared" si="36"/>
        <v>0</v>
      </c>
      <c r="F247" s="296">
        <f t="shared" ca="1" si="40"/>
        <v>0</v>
      </c>
      <c r="G247" s="296">
        <f t="shared" ca="1" si="41"/>
        <v>0</v>
      </c>
      <c r="H247" s="296">
        <f t="shared" ca="1" si="42"/>
        <v>19</v>
      </c>
      <c r="I247" s="460">
        <f t="shared" ca="1" si="37"/>
        <v>-19</v>
      </c>
    </row>
    <row r="248" spans="1:9">
      <c r="A248" s="295">
        <f t="shared" si="38"/>
        <v>231</v>
      </c>
      <c r="B248" s="300">
        <f t="shared" si="43"/>
        <v>7000</v>
      </c>
      <c r="C248" s="296">
        <f t="shared" ca="1" si="39"/>
        <v>19</v>
      </c>
      <c r="D248" s="295"/>
      <c r="E248" s="296">
        <f t="shared" si="36"/>
        <v>0</v>
      </c>
      <c r="F248" s="296">
        <f t="shared" ca="1" si="40"/>
        <v>0</v>
      </c>
      <c r="G248" s="296">
        <f t="shared" ca="1" si="41"/>
        <v>0</v>
      </c>
      <c r="H248" s="296">
        <f t="shared" ca="1" si="42"/>
        <v>19</v>
      </c>
      <c r="I248" s="460">
        <f t="shared" ca="1" si="37"/>
        <v>-19</v>
      </c>
    </row>
    <row r="249" spans="1:9">
      <c r="A249" s="295">
        <f t="shared" si="38"/>
        <v>232</v>
      </c>
      <c r="B249" s="300">
        <f t="shared" si="43"/>
        <v>7031</v>
      </c>
      <c r="C249" s="296">
        <f t="shared" ca="1" si="39"/>
        <v>19</v>
      </c>
      <c r="D249" s="295"/>
      <c r="E249" s="296">
        <f t="shared" si="36"/>
        <v>0</v>
      </c>
      <c r="F249" s="296">
        <f t="shared" ca="1" si="40"/>
        <v>0</v>
      </c>
      <c r="G249" s="296">
        <f t="shared" ca="1" si="41"/>
        <v>0</v>
      </c>
      <c r="H249" s="296">
        <f t="shared" ca="1" si="42"/>
        <v>19</v>
      </c>
      <c r="I249" s="460">
        <f t="shared" ca="1" si="37"/>
        <v>-19</v>
      </c>
    </row>
    <row r="250" spans="1:9">
      <c r="A250" s="295">
        <f t="shared" si="38"/>
        <v>233</v>
      </c>
      <c r="B250" s="300">
        <f t="shared" si="43"/>
        <v>7061</v>
      </c>
      <c r="C250" s="296">
        <f t="shared" ca="1" si="39"/>
        <v>19</v>
      </c>
      <c r="D250" s="295"/>
      <c r="E250" s="296">
        <f t="shared" si="36"/>
        <v>0</v>
      </c>
      <c r="F250" s="296">
        <f t="shared" ca="1" si="40"/>
        <v>0</v>
      </c>
      <c r="G250" s="296">
        <f t="shared" ca="1" si="41"/>
        <v>0</v>
      </c>
      <c r="H250" s="296">
        <f t="shared" ca="1" si="42"/>
        <v>19</v>
      </c>
      <c r="I250" s="460">
        <f t="shared" ca="1" si="37"/>
        <v>-19</v>
      </c>
    </row>
    <row r="251" spans="1:9">
      <c r="A251" s="295">
        <f t="shared" si="38"/>
        <v>234</v>
      </c>
      <c r="B251" s="300">
        <f t="shared" si="43"/>
        <v>7092</v>
      </c>
      <c r="C251" s="296">
        <f t="shared" ca="1" si="39"/>
        <v>19</v>
      </c>
      <c r="D251" s="295"/>
      <c r="E251" s="296">
        <f t="shared" si="36"/>
        <v>0</v>
      </c>
      <c r="F251" s="296">
        <f t="shared" ca="1" si="40"/>
        <v>0</v>
      </c>
      <c r="G251" s="296">
        <f t="shared" ca="1" si="41"/>
        <v>0</v>
      </c>
      <c r="H251" s="296">
        <f t="shared" ca="1" si="42"/>
        <v>19</v>
      </c>
      <c r="I251" s="460">
        <f t="shared" ca="1" si="37"/>
        <v>-19</v>
      </c>
    </row>
    <row r="252" spans="1:9">
      <c r="A252" s="295">
        <f t="shared" si="38"/>
        <v>235</v>
      </c>
      <c r="B252" s="300">
        <f t="shared" si="43"/>
        <v>7122</v>
      </c>
      <c r="C252" s="296">
        <f t="shared" ca="1" si="39"/>
        <v>19</v>
      </c>
      <c r="D252" s="295"/>
      <c r="E252" s="296">
        <f t="shared" si="36"/>
        <v>0</v>
      </c>
      <c r="F252" s="296">
        <f t="shared" ca="1" si="40"/>
        <v>0</v>
      </c>
      <c r="G252" s="296">
        <f t="shared" ca="1" si="41"/>
        <v>0</v>
      </c>
      <c r="H252" s="296">
        <f t="shared" ca="1" si="42"/>
        <v>19</v>
      </c>
      <c r="I252" s="460">
        <f t="shared" ca="1" si="37"/>
        <v>-19</v>
      </c>
    </row>
    <row r="253" spans="1:9">
      <c r="A253" s="295">
        <f t="shared" si="38"/>
        <v>236</v>
      </c>
      <c r="B253" s="300">
        <f t="shared" si="43"/>
        <v>7153</v>
      </c>
      <c r="C253" s="296">
        <f t="shared" ca="1" si="39"/>
        <v>19</v>
      </c>
      <c r="D253" s="295"/>
      <c r="E253" s="296">
        <f t="shared" si="36"/>
        <v>0</v>
      </c>
      <c r="F253" s="296">
        <f t="shared" ca="1" si="40"/>
        <v>0</v>
      </c>
      <c r="G253" s="296">
        <f t="shared" ca="1" si="41"/>
        <v>0</v>
      </c>
      <c r="H253" s="296">
        <f t="shared" ca="1" si="42"/>
        <v>19</v>
      </c>
      <c r="I253" s="460">
        <f t="shared" ca="1" si="37"/>
        <v>-19</v>
      </c>
    </row>
    <row r="254" spans="1:9">
      <c r="A254" s="295">
        <f t="shared" si="38"/>
        <v>237</v>
      </c>
      <c r="B254" s="300">
        <f t="shared" si="43"/>
        <v>7184</v>
      </c>
      <c r="C254" s="296">
        <f t="shared" ca="1" si="39"/>
        <v>19</v>
      </c>
      <c r="D254" s="295"/>
      <c r="E254" s="296">
        <f t="shared" si="36"/>
        <v>0</v>
      </c>
      <c r="F254" s="296">
        <f t="shared" ca="1" si="40"/>
        <v>0</v>
      </c>
      <c r="G254" s="296">
        <f t="shared" ca="1" si="41"/>
        <v>0</v>
      </c>
      <c r="H254" s="296">
        <f t="shared" ca="1" si="42"/>
        <v>19</v>
      </c>
      <c r="I254" s="460">
        <f t="shared" ca="1" si="37"/>
        <v>-19</v>
      </c>
    </row>
    <row r="255" spans="1:9">
      <c r="A255" s="295">
        <f t="shared" si="38"/>
        <v>238</v>
      </c>
      <c r="B255" s="300">
        <f t="shared" si="43"/>
        <v>7214</v>
      </c>
      <c r="C255" s="296">
        <f t="shared" ca="1" si="39"/>
        <v>19</v>
      </c>
      <c r="D255" s="295"/>
      <c r="E255" s="296">
        <f t="shared" ref="E255:E315" si="44">IF($D$10=1,IF(MONTH(B255)=MONTH($D$7),D254,0),IF(MONTH(B255)=MONTH(EDATE($D$7,11)),MIN(D243,H254),0))</f>
        <v>0</v>
      </c>
      <c r="F255" s="296">
        <f t="shared" ca="1" si="40"/>
        <v>0</v>
      </c>
      <c r="G255" s="296">
        <f t="shared" ca="1" si="41"/>
        <v>0</v>
      </c>
      <c r="H255" s="296">
        <f t="shared" ca="1" si="42"/>
        <v>19</v>
      </c>
      <c r="I255" s="460">
        <f t="shared" ca="1" si="37"/>
        <v>-19</v>
      </c>
    </row>
    <row r="256" spans="1:9">
      <c r="A256" s="295">
        <f t="shared" si="38"/>
        <v>239</v>
      </c>
      <c r="B256" s="300">
        <f t="shared" si="43"/>
        <v>7245</v>
      </c>
      <c r="C256" s="296">
        <f t="shared" ca="1" si="39"/>
        <v>19</v>
      </c>
      <c r="D256" s="295"/>
      <c r="E256" s="296">
        <f>IF($D$10=1,IF(MONTH(B256)=MONTH($D$7),D255-'Sch3-Perf Period Cash Flow'!W7,0),IF(MONTH(B256)=MONTH(EDATE($D$7,11)),IF(AND(H255&gt;D245,H255&lt;K36-L36), H255, MIN(D245,H255))-'Sch3-Perf Period Cash Flow'!W7,0))</f>
        <v>0</v>
      </c>
      <c r="F256" s="296">
        <f t="shared" ca="1" si="40"/>
        <v>0</v>
      </c>
      <c r="G256" s="296">
        <f t="shared" ca="1" si="41"/>
        <v>0</v>
      </c>
      <c r="H256" s="296">
        <f t="shared" ca="1" si="42"/>
        <v>19</v>
      </c>
      <c r="I256" s="460">
        <f t="shared" ca="1" si="37"/>
        <v>-19</v>
      </c>
    </row>
    <row r="257" spans="1:9">
      <c r="A257" s="295">
        <f t="shared" si="38"/>
        <v>240</v>
      </c>
      <c r="B257" s="300">
        <f t="shared" si="43"/>
        <v>7275</v>
      </c>
      <c r="C257" s="296">
        <f t="shared" ca="1" si="39"/>
        <v>19</v>
      </c>
      <c r="D257" s="296">
        <f ca="1">IF(H257&lt;0,0,IF((H256+G257)&lt;(K37-L37),H256+G257,K37-L37))</f>
        <v>0</v>
      </c>
      <c r="E257" s="296">
        <f ca="1">IF($D$10=1,IF(MONTH(B257)=MONTH($D$7),D256-'Sch3-Perf Period Cash Flow'!W7,0),IF(MONTH(B257)=MONTH(EDATE($D$7,11)),MIN(D245,H256)-'Sch3-Perf Period Cash Flow'!W7,0))</f>
        <v>-1</v>
      </c>
      <c r="F257" s="296">
        <f t="shared" ca="1" si="40"/>
        <v>-1</v>
      </c>
      <c r="G257" s="296">
        <f t="shared" ca="1" si="41"/>
        <v>0</v>
      </c>
      <c r="H257" s="296">
        <f t="shared" ca="1" si="42"/>
        <v>20</v>
      </c>
      <c r="I257" s="460">
        <f t="shared" ca="1" si="37"/>
        <v>-20</v>
      </c>
    </row>
    <row r="258" spans="1:9">
      <c r="A258" s="295">
        <f t="shared" si="38"/>
        <v>241</v>
      </c>
      <c r="B258" s="300">
        <f t="shared" si="43"/>
        <v>7306</v>
      </c>
      <c r="C258" s="296">
        <f t="shared" ca="1" si="39"/>
        <v>20</v>
      </c>
      <c r="D258" s="296"/>
      <c r="E258" s="296">
        <f>IF($D$10=1,IF(MONTH(B258)=MONTH($D$7),D257-'Sch3-Perf Period Cash Flow'!X7,0),IF(MONTH(B258)=MONTH(EDATE($D$7,11)),MIN(D246,H257)-'Sch3-Perf Period Cash Flow'!X7,0))</f>
        <v>0</v>
      </c>
      <c r="F258" s="296">
        <f t="shared" ca="1" si="40"/>
        <v>0</v>
      </c>
      <c r="G258" s="296">
        <f t="shared" ca="1" si="41"/>
        <v>0</v>
      </c>
      <c r="H258" s="296">
        <f t="shared" ca="1" si="42"/>
        <v>20</v>
      </c>
      <c r="I258" s="460">
        <f t="shared" ca="1" si="37"/>
        <v>-20</v>
      </c>
    </row>
    <row r="259" spans="1:9">
      <c r="A259" s="295">
        <f t="shared" si="38"/>
        <v>242</v>
      </c>
      <c r="B259" s="300">
        <f t="shared" si="43"/>
        <v>7337</v>
      </c>
      <c r="C259" s="296">
        <f t="shared" ca="1" si="39"/>
        <v>20</v>
      </c>
      <c r="D259" s="295"/>
      <c r="E259" s="296">
        <f t="shared" si="44"/>
        <v>0</v>
      </c>
      <c r="F259" s="296">
        <f t="shared" ca="1" si="40"/>
        <v>0</v>
      </c>
      <c r="G259" s="296">
        <f t="shared" ca="1" si="41"/>
        <v>0</v>
      </c>
      <c r="H259" s="296">
        <f t="shared" ca="1" si="42"/>
        <v>20</v>
      </c>
      <c r="I259" s="460">
        <f t="shared" ca="1" si="37"/>
        <v>-20</v>
      </c>
    </row>
    <row r="260" spans="1:9">
      <c r="A260" s="295">
        <f t="shared" si="38"/>
        <v>243</v>
      </c>
      <c r="B260" s="300">
        <f t="shared" si="43"/>
        <v>7366</v>
      </c>
      <c r="C260" s="296">
        <f t="shared" ca="1" si="39"/>
        <v>20</v>
      </c>
      <c r="D260" s="295"/>
      <c r="E260" s="296">
        <f t="shared" si="44"/>
        <v>0</v>
      </c>
      <c r="F260" s="296">
        <f t="shared" ca="1" si="40"/>
        <v>0</v>
      </c>
      <c r="G260" s="296">
        <f t="shared" ca="1" si="41"/>
        <v>0</v>
      </c>
      <c r="H260" s="296">
        <f t="shared" ca="1" si="42"/>
        <v>20</v>
      </c>
      <c r="I260" s="460">
        <f t="shared" ca="1" si="37"/>
        <v>-20</v>
      </c>
    </row>
    <row r="261" spans="1:9">
      <c r="A261" s="295">
        <f t="shared" si="38"/>
        <v>244</v>
      </c>
      <c r="B261" s="300">
        <f t="shared" si="43"/>
        <v>7397</v>
      </c>
      <c r="C261" s="296">
        <f t="shared" ca="1" si="39"/>
        <v>20</v>
      </c>
      <c r="D261" s="295"/>
      <c r="E261" s="296">
        <f t="shared" si="44"/>
        <v>0</v>
      </c>
      <c r="F261" s="296">
        <f t="shared" ca="1" si="40"/>
        <v>0</v>
      </c>
      <c r="G261" s="296">
        <f t="shared" ca="1" si="41"/>
        <v>0</v>
      </c>
      <c r="H261" s="296">
        <f t="shared" ca="1" si="42"/>
        <v>20</v>
      </c>
      <c r="I261" s="460">
        <f t="shared" ca="1" si="37"/>
        <v>-20</v>
      </c>
    </row>
    <row r="262" spans="1:9">
      <c r="A262" s="295">
        <f t="shared" si="38"/>
        <v>245</v>
      </c>
      <c r="B262" s="300">
        <f t="shared" si="43"/>
        <v>7427</v>
      </c>
      <c r="C262" s="296">
        <f t="shared" ca="1" si="39"/>
        <v>20</v>
      </c>
      <c r="D262" s="295"/>
      <c r="E262" s="296">
        <f t="shared" si="44"/>
        <v>0</v>
      </c>
      <c r="F262" s="296">
        <f t="shared" ca="1" si="40"/>
        <v>0</v>
      </c>
      <c r="G262" s="296">
        <f t="shared" ca="1" si="41"/>
        <v>0</v>
      </c>
      <c r="H262" s="296">
        <f t="shared" ca="1" si="42"/>
        <v>20</v>
      </c>
      <c r="I262" s="460">
        <f t="shared" ca="1" si="37"/>
        <v>-20</v>
      </c>
    </row>
    <row r="263" spans="1:9">
      <c r="A263" s="295">
        <f t="shared" si="38"/>
        <v>246</v>
      </c>
      <c r="B263" s="300">
        <f t="shared" si="43"/>
        <v>7458</v>
      </c>
      <c r="C263" s="296">
        <f t="shared" ca="1" si="39"/>
        <v>20</v>
      </c>
      <c r="D263" s="295"/>
      <c r="E263" s="296">
        <f t="shared" si="44"/>
        <v>0</v>
      </c>
      <c r="F263" s="296">
        <f t="shared" ca="1" si="40"/>
        <v>0</v>
      </c>
      <c r="G263" s="296">
        <f t="shared" ca="1" si="41"/>
        <v>0</v>
      </c>
      <c r="H263" s="296">
        <f t="shared" ca="1" si="42"/>
        <v>20</v>
      </c>
      <c r="I263" s="460">
        <f t="shared" ca="1" si="37"/>
        <v>-20</v>
      </c>
    </row>
    <row r="264" spans="1:9">
      <c r="A264" s="295">
        <f t="shared" si="38"/>
        <v>247</v>
      </c>
      <c r="B264" s="300">
        <f t="shared" si="43"/>
        <v>7488</v>
      </c>
      <c r="C264" s="296">
        <f t="shared" ca="1" si="39"/>
        <v>20</v>
      </c>
      <c r="D264" s="295"/>
      <c r="E264" s="296">
        <f t="shared" si="44"/>
        <v>0</v>
      </c>
      <c r="F264" s="296">
        <f t="shared" ca="1" si="40"/>
        <v>0</v>
      </c>
      <c r="G264" s="296">
        <f t="shared" ca="1" si="41"/>
        <v>0</v>
      </c>
      <c r="H264" s="296">
        <f t="shared" ca="1" si="42"/>
        <v>20</v>
      </c>
      <c r="I264" s="460">
        <f t="shared" ca="1" si="37"/>
        <v>-20</v>
      </c>
    </row>
    <row r="265" spans="1:9">
      <c r="A265" s="295">
        <f t="shared" si="38"/>
        <v>248</v>
      </c>
      <c r="B265" s="300">
        <f t="shared" si="43"/>
        <v>7519</v>
      </c>
      <c r="C265" s="296">
        <f t="shared" ca="1" si="39"/>
        <v>20</v>
      </c>
      <c r="D265" s="295"/>
      <c r="E265" s="296">
        <f t="shared" si="44"/>
        <v>0</v>
      </c>
      <c r="F265" s="296">
        <f t="shared" ca="1" si="40"/>
        <v>0</v>
      </c>
      <c r="G265" s="296">
        <f t="shared" ca="1" si="41"/>
        <v>0</v>
      </c>
      <c r="H265" s="296">
        <f t="shared" ca="1" si="42"/>
        <v>20</v>
      </c>
      <c r="I265" s="460">
        <f t="shared" ca="1" si="37"/>
        <v>-20</v>
      </c>
    </row>
    <row r="266" spans="1:9">
      <c r="A266" s="295">
        <f t="shared" si="38"/>
        <v>249</v>
      </c>
      <c r="B266" s="300">
        <f t="shared" si="43"/>
        <v>7550</v>
      </c>
      <c r="C266" s="296">
        <f t="shared" ca="1" si="39"/>
        <v>20</v>
      </c>
      <c r="D266" s="295"/>
      <c r="E266" s="296">
        <f t="shared" si="44"/>
        <v>0</v>
      </c>
      <c r="F266" s="296">
        <f t="shared" ca="1" si="40"/>
        <v>0</v>
      </c>
      <c r="G266" s="296">
        <f t="shared" ca="1" si="41"/>
        <v>0</v>
      </c>
      <c r="H266" s="296">
        <f t="shared" ca="1" si="42"/>
        <v>20</v>
      </c>
      <c r="I266" s="460">
        <f t="shared" ca="1" si="37"/>
        <v>-20</v>
      </c>
    </row>
    <row r="267" spans="1:9">
      <c r="A267" s="295">
        <f t="shared" si="38"/>
        <v>250</v>
      </c>
      <c r="B267" s="300">
        <f t="shared" si="43"/>
        <v>7580</v>
      </c>
      <c r="C267" s="296">
        <f t="shared" ca="1" si="39"/>
        <v>20</v>
      </c>
      <c r="D267" s="295"/>
      <c r="E267" s="296">
        <f t="shared" si="44"/>
        <v>0</v>
      </c>
      <c r="F267" s="296">
        <f t="shared" ca="1" si="40"/>
        <v>0</v>
      </c>
      <c r="G267" s="296">
        <f t="shared" ca="1" si="41"/>
        <v>0</v>
      </c>
      <c r="H267" s="296">
        <f t="shared" ca="1" si="42"/>
        <v>20</v>
      </c>
      <c r="I267" s="460">
        <f t="shared" ca="1" si="37"/>
        <v>-20</v>
      </c>
    </row>
    <row r="268" spans="1:9">
      <c r="A268" s="295">
        <f t="shared" si="38"/>
        <v>251</v>
      </c>
      <c r="B268" s="300">
        <f t="shared" si="43"/>
        <v>7611</v>
      </c>
      <c r="C268" s="296">
        <f t="shared" ca="1" si="39"/>
        <v>20</v>
      </c>
      <c r="D268" s="295"/>
      <c r="E268" s="296">
        <f>IF($D$10=1,IF(MONTH(B268)=MONTH($D$7),D267-'Sch3-Perf Period Cash Flow'!X7,0),IF(MONTH(B268)=MONTH(EDATE($D$7,11)),IF(AND(H267&gt;D257,H267&lt;K37-L37), H267, MIN(D257,H267))-'Sch3-Perf Period Cash Flow'!X7,0))</f>
        <v>0</v>
      </c>
      <c r="F268" s="296">
        <f t="shared" ca="1" si="40"/>
        <v>0</v>
      </c>
      <c r="G268" s="296">
        <f t="shared" ca="1" si="41"/>
        <v>0</v>
      </c>
      <c r="H268" s="296">
        <f t="shared" ca="1" si="42"/>
        <v>20</v>
      </c>
      <c r="I268" s="460">
        <f t="shared" ca="1" si="37"/>
        <v>-20</v>
      </c>
    </row>
    <row r="269" spans="1:9">
      <c r="A269" s="295">
        <f t="shared" si="38"/>
        <v>252</v>
      </c>
      <c r="B269" s="300">
        <f t="shared" si="43"/>
        <v>7641</v>
      </c>
      <c r="C269" s="296">
        <f t="shared" ca="1" si="39"/>
        <v>20</v>
      </c>
      <c r="D269" s="296">
        <f ca="1">IF(H269&lt;0,0,IF((H268+G269)&lt;(K38-L38),H268+G269,K38-L38))</f>
        <v>0</v>
      </c>
      <c r="E269" s="296">
        <f ca="1">IF($D$10=1,IF(MONTH(B269)=MONTH($D$7),D268-'Sch3-Perf Period Cash Flow'!X7,0),IF(MONTH(B269)=MONTH(EDATE($D$7,11)),MIN(D257,H268)-'Sch3-Perf Period Cash Flow'!X7,0))</f>
        <v>-1</v>
      </c>
      <c r="F269" s="296">
        <f t="shared" ca="1" si="40"/>
        <v>-1</v>
      </c>
      <c r="G269" s="296">
        <f t="shared" ca="1" si="41"/>
        <v>0</v>
      </c>
      <c r="H269" s="296">
        <f t="shared" ca="1" si="42"/>
        <v>21</v>
      </c>
      <c r="I269" s="460">
        <f t="shared" ca="1" si="37"/>
        <v>-21</v>
      </c>
    </row>
    <row r="270" spans="1:9">
      <c r="A270" s="295">
        <f t="shared" si="38"/>
        <v>253</v>
      </c>
      <c r="B270" s="300">
        <f t="shared" si="43"/>
        <v>7672</v>
      </c>
      <c r="C270" s="296">
        <f t="shared" ca="1" si="39"/>
        <v>21</v>
      </c>
      <c r="D270" s="296"/>
      <c r="E270" s="296">
        <f>IF($D$10=1,IF(MONTH(B270)=MONTH($D$7),D269-'Sch3-Perf Period Cash Flow'!Y7,0),IF(MONTH(B270)=MONTH(EDATE($D$7,11)),MIN(D258,H269)-'Sch3-Perf Period Cash Flow'!Y7,0))</f>
        <v>0</v>
      </c>
      <c r="F270" s="296">
        <f t="shared" ca="1" si="40"/>
        <v>0</v>
      </c>
      <c r="G270" s="296">
        <f t="shared" ca="1" si="41"/>
        <v>0</v>
      </c>
      <c r="H270" s="296">
        <f t="shared" ca="1" si="42"/>
        <v>21</v>
      </c>
      <c r="I270" s="460">
        <f t="shared" ca="1" si="37"/>
        <v>-21</v>
      </c>
    </row>
    <row r="271" spans="1:9">
      <c r="A271" s="295">
        <f t="shared" si="38"/>
        <v>254</v>
      </c>
      <c r="B271" s="300">
        <f t="shared" si="43"/>
        <v>7703</v>
      </c>
      <c r="C271" s="296">
        <f t="shared" ca="1" si="39"/>
        <v>21</v>
      </c>
      <c r="D271" s="295"/>
      <c r="E271" s="296">
        <f t="shared" si="44"/>
        <v>0</v>
      </c>
      <c r="F271" s="296">
        <f t="shared" ca="1" si="40"/>
        <v>0</v>
      </c>
      <c r="G271" s="296">
        <f t="shared" ca="1" si="41"/>
        <v>0</v>
      </c>
      <c r="H271" s="296">
        <f t="shared" ca="1" si="42"/>
        <v>21</v>
      </c>
      <c r="I271" s="460">
        <f t="shared" ca="1" si="37"/>
        <v>-21</v>
      </c>
    </row>
    <row r="272" spans="1:9">
      <c r="A272" s="295">
        <f t="shared" si="38"/>
        <v>255</v>
      </c>
      <c r="B272" s="300">
        <f t="shared" si="43"/>
        <v>7731</v>
      </c>
      <c r="C272" s="296">
        <f t="shared" ca="1" si="39"/>
        <v>21</v>
      </c>
      <c r="D272" s="295"/>
      <c r="E272" s="296">
        <f t="shared" si="44"/>
        <v>0</v>
      </c>
      <c r="F272" s="296">
        <f t="shared" ca="1" si="40"/>
        <v>0</v>
      </c>
      <c r="G272" s="296">
        <f t="shared" ca="1" si="41"/>
        <v>0</v>
      </c>
      <c r="H272" s="296">
        <f t="shared" ca="1" si="42"/>
        <v>21</v>
      </c>
      <c r="I272" s="460">
        <f t="shared" ca="1" si="37"/>
        <v>-21</v>
      </c>
    </row>
    <row r="273" spans="1:9">
      <c r="A273" s="295">
        <f t="shared" si="38"/>
        <v>256</v>
      </c>
      <c r="B273" s="300">
        <f t="shared" si="43"/>
        <v>7762</v>
      </c>
      <c r="C273" s="296">
        <f t="shared" ca="1" si="39"/>
        <v>21</v>
      </c>
      <c r="D273" s="295"/>
      <c r="E273" s="296">
        <f t="shared" si="44"/>
        <v>0</v>
      </c>
      <c r="F273" s="296">
        <f t="shared" ca="1" si="40"/>
        <v>0</v>
      </c>
      <c r="G273" s="296">
        <f t="shared" ca="1" si="41"/>
        <v>0</v>
      </c>
      <c r="H273" s="296">
        <f t="shared" ca="1" si="42"/>
        <v>21</v>
      </c>
      <c r="I273" s="460">
        <f t="shared" ca="1" si="37"/>
        <v>-21</v>
      </c>
    </row>
    <row r="274" spans="1:9">
      <c r="A274" s="295">
        <f t="shared" si="38"/>
        <v>257</v>
      </c>
      <c r="B274" s="300">
        <f t="shared" si="43"/>
        <v>7792</v>
      </c>
      <c r="C274" s="296">
        <f t="shared" ca="1" si="39"/>
        <v>21</v>
      </c>
      <c r="D274" s="295"/>
      <c r="E274" s="296">
        <f t="shared" si="44"/>
        <v>0</v>
      </c>
      <c r="F274" s="296">
        <f t="shared" ca="1" si="40"/>
        <v>0</v>
      </c>
      <c r="G274" s="296">
        <f t="shared" ca="1" si="41"/>
        <v>0</v>
      </c>
      <c r="H274" s="296">
        <f t="shared" ca="1" si="42"/>
        <v>21</v>
      </c>
      <c r="I274" s="460">
        <f t="shared" ref="I274:I337" ca="1" si="45">ROUND((D274-H274),0)</f>
        <v>-21</v>
      </c>
    </row>
    <row r="275" spans="1:9">
      <c r="A275" s="295">
        <f t="shared" ref="A275:A338" si="46">IF(A274="","",IF(A274=$D$6,"",A274+1))</f>
        <v>258</v>
      </c>
      <c r="B275" s="300">
        <f t="shared" si="43"/>
        <v>7823</v>
      </c>
      <c r="C275" s="296">
        <f t="shared" ref="C275:C316" ca="1" si="47">IF(H274=0,0,H274)</f>
        <v>21</v>
      </c>
      <c r="D275" s="295"/>
      <c r="E275" s="296">
        <f t="shared" si="44"/>
        <v>0</v>
      </c>
      <c r="F275" s="296">
        <f t="shared" ref="F275:F338" ca="1" si="48">IF(E275="","",E275-G275)</f>
        <v>0</v>
      </c>
      <c r="G275" s="296">
        <f t="shared" ref="G275:G338" ca="1" si="49">ROUND((C275-E275)*$D$5,3)</f>
        <v>0</v>
      </c>
      <c r="H275" s="296">
        <f t="shared" ref="H275:H338" ca="1" si="50">IF(E275="","",ROUND(H274-F275,4))</f>
        <v>21</v>
      </c>
      <c r="I275" s="460">
        <f t="shared" ca="1" si="45"/>
        <v>-21</v>
      </c>
    </row>
    <row r="276" spans="1:9">
      <c r="A276" s="295">
        <f t="shared" si="46"/>
        <v>259</v>
      </c>
      <c r="B276" s="300">
        <f t="shared" ref="B276:B339" si="51">DATE(YEAR(B275),MONTH(B275)+1,1)</f>
        <v>7853</v>
      </c>
      <c r="C276" s="296">
        <f t="shared" ca="1" si="47"/>
        <v>21</v>
      </c>
      <c r="D276" s="295"/>
      <c r="E276" s="296">
        <f t="shared" si="44"/>
        <v>0</v>
      </c>
      <c r="F276" s="296">
        <f t="shared" ca="1" si="48"/>
        <v>0</v>
      </c>
      <c r="G276" s="296">
        <f t="shared" ca="1" si="49"/>
        <v>0</v>
      </c>
      <c r="H276" s="296">
        <f t="shared" ca="1" si="50"/>
        <v>21</v>
      </c>
      <c r="I276" s="460">
        <f t="shared" ca="1" si="45"/>
        <v>-21</v>
      </c>
    </row>
    <row r="277" spans="1:9">
      <c r="A277" s="295">
        <f t="shared" si="46"/>
        <v>260</v>
      </c>
      <c r="B277" s="300">
        <f t="shared" si="51"/>
        <v>7884</v>
      </c>
      <c r="C277" s="296">
        <f t="shared" ca="1" si="47"/>
        <v>21</v>
      </c>
      <c r="D277" s="295"/>
      <c r="E277" s="296">
        <f t="shared" si="44"/>
        <v>0</v>
      </c>
      <c r="F277" s="296">
        <f t="shared" ca="1" si="48"/>
        <v>0</v>
      </c>
      <c r="G277" s="296">
        <f t="shared" ca="1" si="49"/>
        <v>0</v>
      </c>
      <c r="H277" s="296">
        <f t="shared" ca="1" si="50"/>
        <v>21</v>
      </c>
      <c r="I277" s="460">
        <f t="shared" ca="1" si="45"/>
        <v>-21</v>
      </c>
    </row>
    <row r="278" spans="1:9">
      <c r="A278" s="295">
        <f t="shared" si="46"/>
        <v>261</v>
      </c>
      <c r="B278" s="300">
        <f t="shared" si="51"/>
        <v>7915</v>
      </c>
      <c r="C278" s="296">
        <f t="shared" ca="1" si="47"/>
        <v>21</v>
      </c>
      <c r="D278" s="295"/>
      <c r="E278" s="296">
        <f t="shared" si="44"/>
        <v>0</v>
      </c>
      <c r="F278" s="296">
        <f t="shared" ca="1" si="48"/>
        <v>0</v>
      </c>
      <c r="G278" s="296">
        <f t="shared" ca="1" si="49"/>
        <v>0</v>
      </c>
      <c r="H278" s="296">
        <f t="shared" ca="1" si="50"/>
        <v>21</v>
      </c>
      <c r="I278" s="460">
        <f t="shared" ca="1" si="45"/>
        <v>-21</v>
      </c>
    </row>
    <row r="279" spans="1:9">
      <c r="A279" s="295">
        <f t="shared" si="46"/>
        <v>262</v>
      </c>
      <c r="B279" s="300">
        <f t="shared" si="51"/>
        <v>7945</v>
      </c>
      <c r="C279" s="296">
        <f t="shared" ca="1" si="47"/>
        <v>21</v>
      </c>
      <c r="D279" s="295"/>
      <c r="E279" s="296">
        <f t="shared" si="44"/>
        <v>0</v>
      </c>
      <c r="F279" s="296">
        <f t="shared" ca="1" si="48"/>
        <v>0</v>
      </c>
      <c r="G279" s="296">
        <f t="shared" ca="1" si="49"/>
        <v>0</v>
      </c>
      <c r="H279" s="296">
        <f t="shared" ca="1" si="50"/>
        <v>21</v>
      </c>
      <c r="I279" s="460">
        <f t="shared" ca="1" si="45"/>
        <v>-21</v>
      </c>
    </row>
    <row r="280" spans="1:9">
      <c r="A280" s="295">
        <f t="shared" si="46"/>
        <v>263</v>
      </c>
      <c r="B280" s="300">
        <f t="shared" si="51"/>
        <v>7976</v>
      </c>
      <c r="C280" s="296">
        <f t="shared" ca="1" si="47"/>
        <v>21</v>
      </c>
      <c r="D280" s="295"/>
      <c r="E280" s="296">
        <f>IF($D$10=1,IF(MONTH(B280)=MONTH($D$7),D279-'Sch3-Perf Period Cash Flow'!Y7,0),IF(MONTH(B280)=MONTH(EDATE($D$7,11)),IF(AND(H279&gt;D269,H279&lt;K38-L38), H279, MIN(D269,H279))-'Sch3-Perf Period Cash Flow'!Y7,0))</f>
        <v>0</v>
      </c>
      <c r="F280" s="296">
        <f t="shared" ca="1" si="48"/>
        <v>0</v>
      </c>
      <c r="G280" s="296">
        <f t="shared" ca="1" si="49"/>
        <v>0</v>
      </c>
      <c r="H280" s="296">
        <f t="shared" ca="1" si="50"/>
        <v>21</v>
      </c>
      <c r="I280" s="460">
        <f t="shared" ca="1" si="45"/>
        <v>-21</v>
      </c>
    </row>
    <row r="281" spans="1:9">
      <c r="A281" s="295">
        <f t="shared" si="46"/>
        <v>264</v>
      </c>
      <c r="B281" s="300">
        <f t="shared" si="51"/>
        <v>8006</v>
      </c>
      <c r="C281" s="296">
        <f t="shared" ca="1" si="47"/>
        <v>21</v>
      </c>
      <c r="D281" s="296">
        <f ca="1">IF(H281&lt;0,0,IF((H280+G281)&lt;(K39-L39),H280+G281,K39-L39))</f>
        <v>0</v>
      </c>
      <c r="E281" s="296">
        <f ca="1">IF($D$10=1,IF(MONTH(B281)=MONTH($D$7),D280-'Sch3-Perf Period Cash Flow'!Y7,0),IF(MONTH(B281)=MONTH(EDATE($D$7,11)),MIN(D269,H280)-'Sch3-Perf Period Cash Flow'!Y7,0))</f>
        <v>-1</v>
      </c>
      <c r="F281" s="296">
        <f t="shared" ca="1" si="48"/>
        <v>-1</v>
      </c>
      <c r="G281" s="296">
        <f t="shared" ca="1" si="49"/>
        <v>0</v>
      </c>
      <c r="H281" s="296">
        <f t="shared" ca="1" si="50"/>
        <v>22</v>
      </c>
      <c r="I281" s="460">
        <f t="shared" ca="1" si="45"/>
        <v>-22</v>
      </c>
    </row>
    <row r="282" spans="1:9">
      <c r="A282" s="295">
        <f t="shared" si="46"/>
        <v>265</v>
      </c>
      <c r="B282" s="300">
        <f t="shared" si="51"/>
        <v>8037</v>
      </c>
      <c r="C282" s="296">
        <f t="shared" ca="1" si="47"/>
        <v>22</v>
      </c>
      <c r="D282" s="296"/>
      <c r="E282" s="296">
        <f>IF($D$10=1,IF(MONTH(B282)=MONTH($D$7),D281-'Sch3-Perf Period Cash Flow'!Z7,0),IF(MONTH(B282)=MONTH(EDATE($D$7,11)),MIN(D270,H281)-'Sch3-Perf Period Cash Flow'!Z7,0))</f>
        <v>0</v>
      </c>
      <c r="F282" s="296">
        <f t="shared" ca="1" si="48"/>
        <v>0</v>
      </c>
      <c r="G282" s="296">
        <f t="shared" ca="1" si="49"/>
        <v>0</v>
      </c>
      <c r="H282" s="296">
        <f t="shared" ca="1" si="50"/>
        <v>22</v>
      </c>
      <c r="I282" s="460">
        <f t="shared" ca="1" si="45"/>
        <v>-22</v>
      </c>
    </row>
    <row r="283" spans="1:9">
      <c r="A283" s="295">
        <f t="shared" si="46"/>
        <v>266</v>
      </c>
      <c r="B283" s="300">
        <f t="shared" si="51"/>
        <v>8068</v>
      </c>
      <c r="C283" s="296">
        <f t="shared" ca="1" si="47"/>
        <v>22</v>
      </c>
      <c r="D283" s="295"/>
      <c r="E283" s="296">
        <f t="shared" si="44"/>
        <v>0</v>
      </c>
      <c r="F283" s="296">
        <f t="shared" ca="1" si="48"/>
        <v>0</v>
      </c>
      <c r="G283" s="296">
        <f t="shared" ca="1" si="49"/>
        <v>0</v>
      </c>
      <c r="H283" s="296">
        <f t="shared" ca="1" si="50"/>
        <v>22</v>
      </c>
      <c r="I283" s="460">
        <f t="shared" ca="1" si="45"/>
        <v>-22</v>
      </c>
    </row>
    <row r="284" spans="1:9">
      <c r="A284" s="295">
        <f t="shared" si="46"/>
        <v>267</v>
      </c>
      <c r="B284" s="300">
        <f t="shared" si="51"/>
        <v>8096</v>
      </c>
      <c r="C284" s="296">
        <f t="shared" ca="1" si="47"/>
        <v>22</v>
      </c>
      <c r="D284" s="295"/>
      <c r="E284" s="296">
        <f t="shared" si="44"/>
        <v>0</v>
      </c>
      <c r="F284" s="296">
        <f t="shared" ca="1" si="48"/>
        <v>0</v>
      </c>
      <c r="G284" s="296">
        <f t="shared" ca="1" si="49"/>
        <v>0</v>
      </c>
      <c r="H284" s="296">
        <f t="shared" ca="1" si="50"/>
        <v>22</v>
      </c>
      <c r="I284" s="460">
        <f t="shared" ca="1" si="45"/>
        <v>-22</v>
      </c>
    </row>
    <row r="285" spans="1:9">
      <c r="A285" s="295">
        <f t="shared" si="46"/>
        <v>268</v>
      </c>
      <c r="B285" s="300">
        <f t="shared" si="51"/>
        <v>8127</v>
      </c>
      <c r="C285" s="296">
        <f t="shared" ca="1" si="47"/>
        <v>22</v>
      </c>
      <c r="D285" s="295"/>
      <c r="E285" s="296">
        <f t="shared" si="44"/>
        <v>0</v>
      </c>
      <c r="F285" s="296">
        <f t="shared" ca="1" si="48"/>
        <v>0</v>
      </c>
      <c r="G285" s="296">
        <f t="shared" ca="1" si="49"/>
        <v>0</v>
      </c>
      <c r="H285" s="296">
        <f t="shared" ca="1" si="50"/>
        <v>22</v>
      </c>
      <c r="I285" s="460">
        <f t="shared" ca="1" si="45"/>
        <v>-22</v>
      </c>
    </row>
    <row r="286" spans="1:9">
      <c r="A286" s="295">
        <f t="shared" si="46"/>
        <v>269</v>
      </c>
      <c r="B286" s="300">
        <f t="shared" si="51"/>
        <v>8157</v>
      </c>
      <c r="C286" s="296">
        <f t="shared" ca="1" si="47"/>
        <v>22</v>
      </c>
      <c r="D286" s="295"/>
      <c r="E286" s="296">
        <f t="shared" si="44"/>
        <v>0</v>
      </c>
      <c r="F286" s="296">
        <f t="shared" ca="1" si="48"/>
        <v>0</v>
      </c>
      <c r="G286" s="296">
        <f t="shared" ca="1" si="49"/>
        <v>0</v>
      </c>
      <c r="H286" s="296">
        <f t="shared" ca="1" si="50"/>
        <v>22</v>
      </c>
      <c r="I286" s="460">
        <f t="shared" ca="1" si="45"/>
        <v>-22</v>
      </c>
    </row>
    <row r="287" spans="1:9">
      <c r="A287" s="295">
        <f t="shared" si="46"/>
        <v>270</v>
      </c>
      <c r="B287" s="300">
        <f t="shared" si="51"/>
        <v>8188</v>
      </c>
      <c r="C287" s="296">
        <f t="shared" ca="1" si="47"/>
        <v>22</v>
      </c>
      <c r="D287" s="295"/>
      <c r="E287" s="296">
        <f t="shared" si="44"/>
        <v>0</v>
      </c>
      <c r="F287" s="296">
        <f t="shared" ca="1" si="48"/>
        <v>0</v>
      </c>
      <c r="G287" s="296">
        <f t="shared" ca="1" si="49"/>
        <v>0</v>
      </c>
      <c r="H287" s="296">
        <f t="shared" ca="1" si="50"/>
        <v>22</v>
      </c>
      <c r="I287" s="460">
        <f t="shared" ca="1" si="45"/>
        <v>-22</v>
      </c>
    </row>
    <row r="288" spans="1:9">
      <c r="A288" s="295">
        <f t="shared" si="46"/>
        <v>271</v>
      </c>
      <c r="B288" s="300">
        <f t="shared" si="51"/>
        <v>8218</v>
      </c>
      <c r="C288" s="296">
        <f t="shared" ca="1" si="47"/>
        <v>22</v>
      </c>
      <c r="D288" s="295"/>
      <c r="E288" s="296">
        <f t="shared" si="44"/>
        <v>0</v>
      </c>
      <c r="F288" s="296">
        <f t="shared" ca="1" si="48"/>
        <v>0</v>
      </c>
      <c r="G288" s="296">
        <f t="shared" ca="1" si="49"/>
        <v>0</v>
      </c>
      <c r="H288" s="296">
        <f t="shared" ca="1" si="50"/>
        <v>22</v>
      </c>
      <c r="I288" s="460">
        <f t="shared" ca="1" si="45"/>
        <v>-22</v>
      </c>
    </row>
    <row r="289" spans="1:12">
      <c r="A289" s="295">
        <f t="shared" si="46"/>
        <v>272</v>
      </c>
      <c r="B289" s="300">
        <f t="shared" si="51"/>
        <v>8249</v>
      </c>
      <c r="C289" s="296">
        <f t="shared" ca="1" si="47"/>
        <v>22</v>
      </c>
      <c r="D289" s="295"/>
      <c r="E289" s="296">
        <f t="shared" si="44"/>
        <v>0</v>
      </c>
      <c r="F289" s="296">
        <f t="shared" ca="1" si="48"/>
        <v>0</v>
      </c>
      <c r="G289" s="296">
        <f t="shared" ca="1" si="49"/>
        <v>0</v>
      </c>
      <c r="H289" s="296">
        <f t="shared" ca="1" si="50"/>
        <v>22</v>
      </c>
      <c r="I289" s="460">
        <f t="shared" ca="1" si="45"/>
        <v>-22</v>
      </c>
    </row>
    <row r="290" spans="1:12">
      <c r="A290" s="295">
        <f t="shared" si="46"/>
        <v>273</v>
      </c>
      <c r="B290" s="300">
        <f t="shared" si="51"/>
        <v>8280</v>
      </c>
      <c r="C290" s="296">
        <f t="shared" ca="1" si="47"/>
        <v>22</v>
      </c>
      <c r="D290" s="295"/>
      <c r="E290" s="296">
        <f t="shared" si="44"/>
        <v>0</v>
      </c>
      <c r="F290" s="296">
        <f t="shared" ca="1" si="48"/>
        <v>0</v>
      </c>
      <c r="G290" s="296">
        <f t="shared" ca="1" si="49"/>
        <v>0</v>
      </c>
      <c r="H290" s="296">
        <f t="shared" ca="1" si="50"/>
        <v>22</v>
      </c>
      <c r="I290" s="460">
        <f t="shared" ca="1" si="45"/>
        <v>-22</v>
      </c>
    </row>
    <row r="291" spans="1:12">
      <c r="A291" s="295">
        <f t="shared" si="46"/>
        <v>274</v>
      </c>
      <c r="B291" s="300">
        <f t="shared" si="51"/>
        <v>8310</v>
      </c>
      <c r="C291" s="296">
        <f t="shared" ca="1" si="47"/>
        <v>22</v>
      </c>
      <c r="D291" s="295"/>
      <c r="E291" s="296">
        <f t="shared" si="44"/>
        <v>0</v>
      </c>
      <c r="F291" s="296">
        <f t="shared" ca="1" si="48"/>
        <v>0</v>
      </c>
      <c r="G291" s="296">
        <f t="shared" ca="1" si="49"/>
        <v>0</v>
      </c>
      <c r="H291" s="296">
        <f t="shared" ca="1" si="50"/>
        <v>22</v>
      </c>
      <c r="I291" s="460">
        <f t="shared" ca="1" si="45"/>
        <v>-22</v>
      </c>
    </row>
    <row r="292" spans="1:12">
      <c r="A292" s="295">
        <f t="shared" si="46"/>
        <v>275</v>
      </c>
      <c r="B292" s="300">
        <f t="shared" si="51"/>
        <v>8341</v>
      </c>
      <c r="C292" s="296">
        <f t="shared" ca="1" si="47"/>
        <v>22</v>
      </c>
      <c r="D292" s="295"/>
      <c r="E292" s="296">
        <f>IF($D$10=1,IF(MONTH(B292)=MONTH($D$7),D291-'Sch3-Perf Period Cash Flow'!Z7,0),IF(MONTH(B292)=MONTH(EDATE($D$7,11)),IF(AND(H291&gt;D281,H291&lt;K39-L39), H291, MIN(D281,H291))-'Sch3-Perf Period Cash Flow'!Z7,0))</f>
        <v>0</v>
      </c>
      <c r="F292" s="296">
        <f t="shared" ca="1" si="48"/>
        <v>0</v>
      </c>
      <c r="G292" s="296">
        <f t="shared" ca="1" si="49"/>
        <v>0</v>
      </c>
      <c r="H292" s="296">
        <f t="shared" ca="1" si="50"/>
        <v>22</v>
      </c>
      <c r="I292" s="460">
        <f t="shared" ca="1" si="45"/>
        <v>-22</v>
      </c>
    </row>
    <row r="293" spans="1:12">
      <c r="A293" s="295">
        <f t="shared" si="46"/>
        <v>276</v>
      </c>
      <c r="B293" s="300">
        <f t="shared" si="51"/>
        <v>8371</v>
      </c>
      <c r="C293" s="296">
        <f t="shared" ca="1" si="47"/>
        <v>22</v>
      </c>
      <c r="D293" s="296">
        <f ca="1">IF(H293&lt;0,0,IF((H292+G293)&lt;(K40-L40),H292+G293,K40-L40))</f>
        <v>0</v>
      </c>
      <c r="E293" s="296">
        <f ca="1">IF($D$10=1,IF(MONTH(B293)=MONTH($D$7),D292-'Sch3-Perf Period Cash Flow'!Z7,0),IF(MONTH(B293)=MONTH(EDATE($D$7,11)),MIN(D281,H292)-'Sch3-Perf Period Cash Flow'!Z7,0))</f>
        <v>-1</v>
      </c>
      <c r="F293" s="296">
        <f t="shared" ca="1" si="48"/>
        <v>-1</v>
      </c>
      <c r="G293" s="296">
        <f t="shared" ca="1" si="49"/>
        <v>0</v>
      </c>
      <c r="H293" s="296">
        <f t="shared" ca="1" si="50"/>
        <v>23</v>
      </c>
      <c r="I293" s="460">
        <f t="shared" ca="1" si="45"/>
        <v>-23</v>
      </c>
    </row>
    <row r="294" spans="1:12">
      <c r="A294" s="295">
        <f t="shared" si="46"/>
        <v>277</v>
      </c>
      <c r="B294" s="300">
        <f t="shared" si="51"/>
        <v>8402</v>
      </c>
      <c r="C294" s="296">
        <f t="shared" ca="1" si="47"/>
        <v>23</v>
      </c>
      <c r="D294" s="295"/>
      <c r="E294" s="296">
        <f>IF($D$10=1,IF(MONTH(B294)=MONTH($D$7),D293-'Sch3-Perf Period Cash Flow'!AA7,0),IF(MONTH(B294)=MONTH(EDATE($D$7,11)),MIN(D282,H293)-'Sch3-Perf Period Cash Flow'!AA7,0))</f>
        <v>0</v>
      </c>
      <c r="F294" s="296">
        <f t="shared" ca="1" si="48"/>
        <v>0</v>
      </c>
      <c r="G294" s="296">
        <f t="shared" ca="1" si="49"/>
        <v>0</v>
      </c>
      <c r="H294" s="296">
        <f t="shared" ca="1" si="50"/>
        <v>23</v>
      </c>
      <c r="I294" s="460">
        <f t="shared" ca="1" si="45"/>
        <v>-23</v>
      </c>
    </row>
    <row r="295" spans="1:12">
      <c r="A295" s="295">
        <f t="shared" si="46"/>
        <v>278</v>
      </c>
      <c r="B295" s="300">
        <f t="shared" si="51"/>
        <v>8433</v>
      </c>
      <c r="C295" s="296">
        <f t="shared" ca="1" si="47"/>
        <v>23</v>
      </c>
      <c r="D295" s="295"/>
      <c r="E295" s="296">
        <f t="shared" si="44"/>
        <v>0</v>
      </c>
      <c r="F295" s="296">
        <f t="shared" ca="1" si="48"/>
        <v>0</v>
      </c>
      <c r="G295" s="296">
        <f t="shared" ca="1" si="49"/>
        <v>0</v>
      </c>
      <c r="H295" s="296">
        <f t="shared" ca="1" si="50"/>
        <v>23</v>
      </c>
      <c r="I295" s="460">
        <f t="shared" ca="1" si="45"/>
        <v>-23</v>
      </c>
    </row>
    <row r="296" spans="1:12">
      <c r="A296" s="295">
        <f t="shared" si="46"/>
        <v>279</v>
      </c>
      <c r="B296" s="300">
        <f t="shared" si="51"/>
        <v>8461</v>
      </c>
      <c r="C296" s="296">
        <f t="shared" ca="1" si="47"/>
        <v>23</v>
      </c>
      <c r="D296" s="295"/>
      <c r="E296" s="296">
        <f t="shared" si="44"/>
        <v>0</v>
      </c>
      <c r="F296" s="296">
        <f t="shared" ca="1" si="48"/>
        <v>0</v>
      </c>
      <c r="G296" s="296">
        <f t="shared" ca="1" si="49"/>
        <v>0</v>
      </c>
      <c r="H296" s="296">
        <f t="shared" ca="1" si="50"/>
        <v>23</v>
      </c>
      <c r="I296" s="460">
        <f t="shared" ca="1" si="45"/>
        <v>-23</v>
      </c>
    </row>
    <row r="297" spans="1:12">
      <c r="A297" s="295">
        <f t="shared" si="46"/>
        <v>280</v>
      </c>
      <c r="B297" s="300">
        <f t="shared" si="51"/>
        <v>8492</v>
      </c>
      <c r="C297" s="296">
        <f t="shared" ca="1" si="47"/>
        <v>23</v>
      </c>
      <c r="D297" s="295"/>
      <c r="E297" s="296">
        <f t="shared" si="44"/>
        <v>0</v>
      </c>
      <c r="F297" s="296">
        <f t="shared" ca="1" si="48"/>
        <v>0</v>
      </c>
      <c r="G297" s="296">
        <f t="shared" ca="1" si="49"/>
        <v>0</v>
      </c>
      <c r="H297" s="296">
        <f t="shared" ca="1" si="50"/>
        <v>23</v>
      </c>
      <c r="I297" s="460">
        <f t="shared" ca="1" si="45"/>
        <v>-23</v>
      </c>
    </row>
    <row r="298" spans="1:12">
      <c r="A298" s="295">
        <f t="shared" si="46"/>
        <v>281</v>
      </c>
      <c r="B298" s="300">
        <f t="shared" si="51"/>
        <v>8522</v>
      </c>
      <c r="C298" s="296">
        <f t="shared" ca="1" si="47"/>
        <v>23</v>
      </c>
      <c r="D298" s="295"/>
      <c r="E298" s="296">
        <f t="shared" si="44"/>
        <v>0</v>
      </c>
      <c r="F298" s="296">
        <f t="shared" ca="1" si="48"/>
        <v>0</v>
      </c>
      <c r="G298" s="296">
        <f t="shared" ca="1" si="49"/>
        <v>0</v>
      </c>
      <c r="H298" s="296">
        <f t="shared" ca="1" si="50"/>
        <v>23</v>
      </c>
      <c r="I298" s="460">
        <f t="shared" ca="1" si="45"/>
        <v>-23</v>
      </c>
    </row>
    <row r="299" spans="1:12">
      <c r="A299" s="295">
        <f t="shared" si="46"/>
        <v>282</v>
      </c>
      <c r="B299" s="300">
        <f t="shared" si="51"/>
        <v>8553</v>
      </c>
      <c r="C299" s="296">
        <f t="shared" ca="1" si="47"/>
        <v>23</v>
      </c>
      <c r="D299" s="295"/>
      <c r="E299" s="296">
        <f t="shared" si="44"/>
        <v>0</v>
      </c>
      <c r="F299" s="296">
        <f t="shared" ca="1" si="48"/>
        <v>0</v>
      </c>
      <c r="G299" s="296">
        <f t="shared" ca="1" si="49"/>
        <v>0</v>
      </c>
      <c r="H299" s="296">
        <f t="shared" ca="1" si="50"/>
        <v>23</v>
      </c>
      <c r="I299" s="460">
        <f t="shared" ca="1" si="45"/>
        <v>-23</v>
      </c>
    </row>
    <row r="300" spans="1:12">
      <c r="A300" s="295">
        <f t="shared" si="46"/>
        <v>283</v>
      </c>
      <c r="B300" s="300">
        <f t="shared" si="51"/>
        <v>8583</v>
      </c>
      <c r="C300" s="296">
        <f t="shared" ca="1" si="47"/>
        <v>23</v>
      </c>
      <c r="D300" s="295"/>
      <c r="E300" s="296">
        <f t="shared" si="44"/>
        <v>0</v>
      </c>
      <c r="F300" s="296">
        <f t="shared" ca="1" si="48"/>
        <v>0</v>
      </c>
      <c r="G300" s="296">
        <f t="shared" ca="1" si="49"/>
        <v>0</v>
      </c>
      <c r="H300" s="296">
        <f t="shared" ca="1" si="50"/>
        <v>23</v>
      </c>
      <c r="I300" s="460">
        <f t="shared" ca="1" si="45"/>
        <v>-23</v>
      </c>
    </row>
    <row r="301" spans="1:12">
      <c r="A301" s="463">
        <f t="shared" si="46"/>
        <v>284</v>
      </c>
      <c r="B301" s="464">
        <f t="shared" si="51"/>
        <v>8614</v>
      </c>
      <c r="C301" s="465">
        <f t="shared" ca="1" si="47"/>
        <v>23</v>
      </c>
      <c r="D301" s="463"/>
      <c r="E301" s="465">
        <f t="shared" si="44"/>
        <v>0</v>
      </c>
      <c r="F301" s="465">
        <f t="shared" ca="1" si="48"/>
        <v>0</v>
      </c>
      <c r="G301" s="465">
        <f t="shared" ca="1" si="49"/>
        <v>0</v>
      </c>
      <c r="H301" s="465">
        <f t="shared" ca="1" si="50"/>
        <v>23</v>
      </c>
      <c r="I301" s="466">
        <f t="shared" ca="1" si="45"/>
        <v>-23</v>
      </c>
      <c r="J301" s="467"/>
      <c r="K301" s="467"/>
      <c r="L301" s="467"/>
    </row>
    <row r="302" spans="1:12">
      <c r="A302" s="463">
        <f t="shared" si="46"/>
        <v>285</v>
      </c>
      <c r="B302" s="464">
        <f t="shared" si="51"/>
        <v>8645</v>
      </c>
      <c r="C302" s="465">
        <f t="shared" ca="1" si="47"/>
        <v>23</v>
      </c>
      <c r="D302" s="463"/>
      <c r="E302" s="465">
        <f t="shared" si="44"/>
        <v>0</v>
      </c>
      <c r="F302" s="465">
        <f ca="1">IF(E302="","",E302-G302)</f>
        <v>0</v>
      </c>
      <c r="G302" s="465">
        <f t="shared" ca="1" si="49"/>
        <v>0</v>
      </c>
      <c r="H302" s="465">
        <f t="shared" ca="1" si="50"/>
        <v>23</v>
      </c>
      <c r="I302" s="466">
        <f t="shared" ca="1" si="45"/>
        <v>-23</v>
      </c>
      <c r="J302" s="467"/>
      <c r="K302" s="467"/>
      <c r="L302" s="467"/>
    </row>
    <row r="303" spans="1:12">
      <c r="A303" s="463">
        <f t="shared" si="46"/>
        <v>286</v>
      </c>
      <c r="B303" s="464">
        <f t="shared" si="51"/>
        <v>8675</v>
      </c>
      <c r="C303" s="465">
        <f t="shared" ca="1" si="47"/>
        <v>23</v>
      </c>
      <c r="D303" s="463"/>
      <c r="E303" s="465">
        <f t="shared" si="44"/>
        <v>0</v>
      </c>
      <c r="F303" s="465">
        <f t="shared" ca="1" si="48"/>
        <v>0</v>
      </c>
      <c r="G303" s="465">
        <f t="shared" ca="1" si="49"/>
        <v>0</v>
      </c>
      <c r="H303" s="465">
        <f t="shared" ca="1" si="50"/>
        <v>23</v>
      </c>
      <c r="I303" s="466">
        <f t="shared" ca="1" si="45"/>
        <v>-23</v>
      </c>
      <c r="J303" s="467"/>
      <c r="K303" s="467"/>
      <c r="L303" s="467"/>
    </row>
    <row r="304" spans="1:12">
      <c r="A304" s="463">
        <f t="shared" si="46"/>
        <v>287</v>
      </c>
      <c r="B304" s="464">
        <f t="shared" si="51"/>
        <v>8706</v>
      </c>
      <c r="C304" s="465">
        <f t="shared" ca="1" si="47"/>
        <v>23</v>
      </c>
      <c r="D304" s="463"/>
      <c r="E304" s="465">
        <f>IF($D$10=1,IF(MONTH(B304)=MONTH($D$7),D303-'Sch3-Perf Period Cash Flow'!AA7,0),IF(MONTH(B304)=MONTH(EDATE($D$7,11)),IF(AND(H303&gt;D293,H303&lt;K40-L40), H303, MIN(D293,H303))-'Sch3-Perf Period Cash Flow'!AA7,0))</f>
        <v>0</v>
      </c>
      <c r="F304" s="465">
        <f t="shared" ca="1" si="48"/>
        <v>0</v>
      </c>
      <c r="G304" s="465">
        <f t="shared" ca="1" si="49"/>
        <v>0</v>
      </c>
      <c r="H304" s="465">
        <f t="shared" ca="1" si="50"/>
        <v>23</v>
      </c>
      <c r="I304" s="466">
        <f t="shared" ca="1" si="45"/>
        <v>-23</v>
      </c>
      <c r="J304" s="467"/>
      <c r="K304" s="467"/>
      <c r="L304" s="467"/>
    </row>
    <row r="305" spans="1:12">
      <c r="A305" s="463">
        <f t="shared" si="46"/>
        <v>288</v>
      </c>
      <c r="B305" s="464">
        <f t="shared" si="51"/>
        <v>8736</v>
      </c>
      <c r="C305" s="465">
        <f t="shared" ca="1" si="47"/>
        <v>23</v>
      </c>
      <c r="D305" s="465">
        <f ca="1">IF(H305&lt;0,0,IF((H304+G305)&lt;(K41-L41),H304+G305,K41-L41))</f>
        <v>0</v>
      </c>
      <c r="E305" s="465">
        <f ca="1">IF($D$10=1,IF(MONTH(B305)=MONTH($D$7),D304-'Sch3-Perf Period Cash Flow'!AA7,0),IF(MONTH(B305)=MONTH(EDATE($D$7,11)),MIN(D293,H304)-'Sch3-Perf Period Cash Flow'!AA7,0))</f>
        <v>-1</v>
      </c>
      <c r="F305" s="465">
        <f t="shared" ca="1" si="48"/>
        <v>-1</v>
      </c>
      <c r="G305" s="465">
        <f t="shared" ca="1" si="49"/>
        <v>0</v>
      </c>
      <c r="H305" s="465">
        <f t="shared" ca="1" si="50"/>
        <v>24</v>
      </c>
      <c r="I305" s="466">
        <f t="shared" ca="1" si="45"/>
        <v>-24</v>
      </c>
      <c r="J305" s="467"/>
      <c r="K305" s="467"/>
      <c r="L305" s="467"/>
    </row>
    <row r="306" spans="1:12">
      <c r="A306" s="463">
        <f t="shared" si="46"/>
        <v>289</v>
      </c>
      <c r="B306" s="464">
        <f t="shared" si="51"/>
        <v>8767</v>
      </c>
      <c r="C306" s="465">
        <f t="shared" ca="1" si="47"/>
        <v>24</v>
      </c>
      <c r="D306" s="463"/>
      <c r="E306" s="465">
        <f>IF($D$10=1,IF(MONTH(B306)=MONTH($D$7),D305-'Sch3-Perf Period Cash Flow'!AB7,0),IF(MONTH(B306)=MONTH(EDATE($D$7,11)),MIN(D294,H305)-'Sch3-Perf Period Cash Flow'!AB7,0))</f>
        <v>0</v>
      </c>
      <c r="F306" s="465">
        <f ca="1">IF(E306="","",E306-G306)</f>
        <v>0</v>
      </c>
      <c r="G306" s="465">
        <f t="shared" ca="1" si="49"/>
        <v>0</v>
      </c>
      <c r="H306" s="465">
        <f t="shared" ca="1" si="50"/>
        <v>24</v>
      </c>
      <c r="I306" s="466">
        <f t="shared" ca="1" si="45"/>
        <v>-24</v>
      </c>
      <c r="J306" s="467"/>
      <c r="K306" s="467"/>
      <c r="L306" s="467"/>
    </row>
    <row r="307" spans="1:12">
      <c r="A307" s="463">
        <f t="shared" si="46"/>
        <v>290</v>
      </c>
      <c r="B307" s="464">
        <f t="shared" si="51"/>
        <v>8798</v>
      </c>
      <c r="C307" s="465">
        <f t="shared" ca="1" si="47"/>
        <v>24</v>
      </c>
      <c r="D307" s="463"/>
      <c r="E307" s="465">
        <f t="shared" si="44"/>
        <v>0</v>
      </c>
      <c r="F307" s="465">
        <f t="shared" ca="1" si="48"/>
        <v>0</v>
      </c>
      <c r="G307" s="465">
        <f t="shared" ca="1" si="49"/>
        <v>0</v>
      </c>
      <c r="H307" s="465">
        <f t="shared" ca="1" si="50"/>
        <v>24</v>
      </c>
      <c r="I307" s="466">
        <f t="shared" ca="1" si="45"/>
        <v>-24</v>
      </c>
      <c r="J307" s="467"/>
      <c r="K307" s="467"/>
      <c r="L307" s="467"/>
    </row>
    <row r="308" spans="1:12">
      <c r="A308" s="463">
        <f t="shared" si="46"/>
        <v>291</v>
      </c>
      <c r="B308" s="464">
        <f t="shared" si="51"/>
        <v>8827</v>
      </c>
      <c r="C308" s="465">
        <f t="shared" ca="1" si="47"/>
        <v>24</v>
      </c>
      <c r="D308" s="463"/>
      <c r="E308" s="465">
        <f t="shared" si="44"/>
        <v>0</v>
      </c>
      <c r="F308" s="465">
        <f t="shared" ca="1" si="48"/>
        <v>0</v>
      </c>
      <c r="G308" s="465">
        <f t="shared" ca="1" si="49"/>
        <v>0</v>
      </c>
      <c r="H308" s="465">
        <f t="shared" ca="1" si="50"/>
        <v>24</v>
      </c>
      <c r="I308" s="466">
        <f t="shared" ca="1" si="45"/>
        <v>-24</v>
      </c>
      <c r="J308" s="467"/>
      <c r="K308" s="467"/>
      <c r="L308" s="467"/>
    </row>
    <row r="309" spans="1:12">
      <c r="A309" s="463">
        <f>IF(A308="","",IF(A308=$D$6,"",A308+1))</f>
        <v>292</v>
      </c>
      <c r="B309" s="464">
        <f t="shared" si="51"/>
        <v>8858</v>
      </c>
      <c r="C309" s="465">
        <f t="shared" ca="1" si="47"/>
        <v>24</v>
      </c>
      <c r="D309" s="463"/>
      <c r="E309" s="465">
        <f t="shared" si="44"/>
        <v>0</v>
      </c>
      <c r="F309" s="465">
        <f t="shared" ca="1" si="48"/>
        <v>0</v>
      </c>
      <c r="G309" s="465">
        <f t="shared" ca="1" si="49"/>
        <v>0</v>
      </c>
      <c r="H309" s="465">
        <f t="shared" ca="1" si="50"/>
        <v>24</v>
      </c>
      <c r="I309" s="466">
        <f t="shared" ca="1" si="45"/>
        <v>-24</v>
      </c>
      <c r="J309" s="467"/>
      <c r="K309" s="467"/>
      <c r="L309" s="467"/>
    </row>
    <row r="310" spans="1:12">
      <c r="A310" s="463">
        <f t="shared" si="46"/>
        <v>293</v>
      </c>
      <c r="B310" s="464">
        <f t="shared" si="51"/>
        <v>8888</v>
      </c>
      <c r="C310" s="465">
        <f t="shared" ca="1" si="47"/>
        <v>24</v>
      </c>
      <c r="D310" s="463"/>
      <c r="E310" s="465">
        <f t="shared" si="44"/>
        <v>0</v>
      </c>
      <c r="F310" s="465">
        <f t="shared" ca="1" si="48"/>
        <v>0</v>
      </c>
      <c r="G310" s="465">
        <f t="shared" ca="1" si="49"/>
        <v>0</v>
      </c>
      <c r="H310" s="465">
        <f t="shared" ca="1" si="50"/>
        <v>24</v>
      </c>
      <c r="I310" s="466">
        <f t="shared" ca="1" si="45"/>
        <v>-24</v>
      </c>
      <c r="J310" s="467"/>
      <c r="K310" s="467"/>
      <c r="L310" s="467"/>
    </row>
    <row r="311" spans="1:12">
      <c r="A311" s="463">
        <f t="shared" si="46"/>
        <v>294</v>
      </c>
      <c r="B311" s="464">
        <f t="shared" si="51"/>
        <v>8919</v>
      </c>
      <c r="C311" s="465">
        <f t="shared" ca="1" si="47"/>
        <v>24</v>
      </c>
      <c r="D311" s="463"/>
      <c r="E311" s="465">
        <f t="shared" si="44"/>
        <v>0</v>
      </c>
      <c r="F311" s="465">
        <f t="shared" ca="1" si="48"/>
        <v>0</v>
      </c>
      <c r="G311" s="465">
        <f t="shared" ca="1" si="49"/>
        <v>0</v>
      </c>
      <c r="H311" s="465">
        <f t="shared" ca="1" si="50"/>
        <v>24</v>
      </c>
      <c r="I311" s="466">
        <f t="shared" ca="1" si="45"/>
        <v>-24</v>
      </c>
      <c r="J311" s="467"/>
      <c r="K311" s="467"/>
      <c r="L311" s="467"/>
    </row>
    <row r="312" spans="1:12">
      <c r="A312" s="463">
        <f t="shared" si="46"/>
        <v>295</v>
      </c>
      <c r="B312" s="464">
        <f t="shared" si="51"/>
        <v>8949</v>
      </c>
      <c r="C312" s="465">
        <f t="shared" ca="1" si="47"/>
        <v>24</v>
      </c>
      <c r="D312" s="463"/>
      <c r="E312" s="465">
        <f t="shared" si="44"/>
        <v>0</v>
      </c>
      <c r="F312" s="465">
        <f t="shared" ca="1" si="48"/>
        <v>0</v>
      </c>
      <c r="G312" s="465">
        <f t="shared" ca="1" si="49"/>
        <v>0</v>
      </c>
      <c r="H312" s="465">
        <f t="shared" ca="1" si="50"/>
        <v>24</v>
      </c>
      <c r="I312" s="466">
        <f t="shared" ca="1" si="45"/>
        <v>-24</v>
      </c>
      <c r="J312" s="467"/>
      <c r="K312" s="467"/>
      <c r="L312" s="467"/>
    </row>
    <row r="313" spans="1:12">
      <c r="A313" s="463">
        <f t="shared" si="46"/>
        <v>296</v>
      </c>
      <c r="B313" s="464">
        <f t="shared" si="51"/>
        <v>8980</v>
      </c>
      <c r="C313" s="465">
        <f t="shared" ca="1" si="47"/>
        <v>24</v>
      </c>
      <c r="D313" s="463"/>
      <c r="E313" s="465">
        <f t="shared" si="44"/>
        <v>0</v>
      </c>
      <c r="F313" s="465">
        <f t="shared" ca="1" si="48"/>
        <v>0</v>
      </c>
      <c r="G313" s="465">
        <f t="shared" ca="1" si="49"/>
        <v>0</v>
      </c>
      <c r="H313" s="465">
        <f t="shared" ca="1" si="50"/>
        <v>24</v>
      </c>
      <c r="I313" s="466">
        <f t="shared" ca="1" si="45"/>
        <v>-24</v>
      </c>
      <c r="J313" s="467"/>
      <c r="K313" s="467"/>
      <c r="L313" s="467"/>
    </row>
    <row r="314" spans="1:12">
      <c r="A314" s="463">
        <f t="shared" si="46"/>
        <v>297</v>
      </c>
      <c r="B314" s="464">
        <f t="shared" si="51"/>
        <v>9011</v>
      </c>
      <c r="C314" s="465">
        <f t="shared" ca="1" si="47"/>
        <v>24</v>
      </c>
      <c r="D314" s="463"/>
      <c r="E314" s="465">
        <f t="shared" si="44"/>
        <v>0</v>
      </c>
      <c r="F314" s="465">
        <f t="shared" ca="1" si="48"/>
        <v>0</v>
      </c>
      <c r="G314" s="465">
        <f t="shared" ca="1" si="49"/>
        <v>0</v>
      </c>
      <c r="H314" s="465">
        <f t="shared" ca="1" si="50"/>
        <v>24</v>
      </c>
      <c r="I314" s="466">
        <f t="shared" ca="1" si="45"/>
        <v>-24</v>
      </c>
      <c r="J314" s="467"/>
      <c r="K314" s="467"/>
      <c r="L314" s="467"/>
    </row>
    <row r="315" spans="1:12">
      <c r="A315" s="463">
        <f t="shared" si="46"/>
        <v>298</v>
      </c>
      <c r="B315" s="464">
        <f t="shared" si="51"/>
        <v>9041</v>
      </c>
      <c r="C315" s="465">
        <f t="shared" ca="1" si="47"/>
        <v>24</v>
      </c>
      <c r="D315" s="463"/>
      <c r="E315" s="465">
        <f t="shared" si="44"/>
        <v>0</v>
      </c>
      <c r="F315" s="465">
        <f t="shared" ca="1" si="48"/>
        <v>0</v>
      </c>
      <c r="G315" s="465">
        <f t="shared" ca="1" si="49"/>
        <v>0</v>
      </c>
      <c r="H315" s="465">
        <f t="shared" ca="1" si="50"/>
        <v>24</v>
      </c>
      <c r="I315" s="466">
        <f t="shared" ca="1" si="45"/>
        <v>-24</v>
      </c>
      <c r="J315" s="467"/>
      <c r="K315" s="467"/>
      <c r="L315" s="467"/>
    </row>
    <row r="316" spans="1:12">
      <c r="A316" s="463">
        <f t="shared" si="46"/>
        <v>299</v>
      </c>
      <c r="B316" s="464">
        <f t="shared" si="51"/>
        <v>9072</v>
      </c>
      <c r="C316" s="465">
        <f t="shared" ca="1" si="47"/>
        <v>24</v>
      </c>
      <c r="D316" s="463"/>
      <c r="E316" s="465">
        <f>IF($D$10=1,IF(MONTH(B316)=MONTH($D$7),D315-'Sch3-Perf Period Cash Flow'!AB7,0),IF(MONTH(B316)=MONTH(EDATE($D$7,11)),IF(AND(H315&gt;D305,H315&lt;K41-L41), H315, MIN(D305,H315))-'Sch3-Perf Period Cash Flow'!AB7,0))</f>
        <v>0</v>
      </c>
      <c r="F316" s="465">
        <f t="shared" ca="1" si="48"/>
        <v>0</v>
      </c>
      <c r="G316" s="465">
        <f t="shared" ca="1" si="49"/>
        <v>0</v>
      </c>
      <c r="H316" s="465">
        <f t="shared" ca="1" si="50"/>
        <v>24</v>
      </c>
      <c r="I316" s="466">
        <f t="shared" ca="1" si="45"/>
        <v>-24</v>
      </c>
      <c r="J316" s="467"/>
      <c r="K316" s="467"/>
      <c r="L316" s="467"/>
    </row>
    <row r="317" spans="1:12">
      <c r="A317" s="463">
        <f t="shared" si="46"/>
        <v>300</v>
      </c>
      <c r="B317" s="464">
        <f t="shared" si="51"/>
        <v>9102</v>
      </c>
      <c r="C317" s="465">
        <f ca="1">IF(H316=0,0,H316)</f>
        <v>24</v>
      </c>
      <c r="D317" s="465">
        <f ca="1">IF(H317&lt;0,0,IF((H316+G317)&lt;(K42-L42),H316+G317,K42-L42))</f>
        <v>0</v>
      </c>
      <c r="E317" s="465">
        <f ca="1">IF($D$10=1,IF(MONTH(B317)=MONTH($D$7),D316-'Sch3-Perf Period Cash Flow'!AB7,0),IF(MONTH(B317)=MONTH(EDATE($D$7,11)),MIN(D305,H316)-'Sch3-Perf Period Cash Flow'!AB7,0))</f>
        <v>-1</v>
      </c>
      <c r="F317" s="465">
        <f t="shared" ca="1" si="48"/>
        <v>-1</v>
      </c>
      <c r="G317" s="465">
        <f t="shared" ca="1" si="49"/>
        <v>0</v>
      </c>
      <c r="H317" s="465">
        <f t="shared" ca="1" si="50"/>
        <v>25</v>
      </c>
      <c r="I317" s="466">
        <f t="shared" ca="1" si="45"/>
        <v>-25</v>
      </c>
      <c r="J317" s="467"/>
      <c r="K317" s="467"/>
      <c r="L317" s="467"/>
    </row>
    <row r="318" spans="1:12">
      <c r="A318" s="463">
        <f t="shared" si="46"/>
        <v>301</v>
      </c>
      <c r="B318" s="464">
        <f t="shared" si="51"/>
        <v>9133</v>
      </c>
      <c r="C318" s="465">
        <f t="shared" ref="C318:C334" ca="1" si="52">IF(H317=0,0,H317)</f>
        <v>25</v>
      </c>
      <c r="D318" s="463"/>
      <c r="E318" s="465">
        <f>IF($D$10=1,IF(MONTH(B318)=MONTH($D$7),D317-'Sch3-Perf Period Cash Flow'!AC7,0),IF(MONTH(B318)=MONTH(EDATE($D$7,11)),MIN(D306,H317)-'Sch3-Perf Period Cash Flow'!AC7,0))</f>
        <v>0</v>
      </c>
      <c r="F318" s="465">
        <f t="shared" ca="1" si="48"/>
        <v>0</v>
      </c>
      <c r="G318" s="465">
        <f t="shared" ca="1" si="49"/>
        <v>0</v>
      </c>
      <c r="H318" s="465">
        <f t="shared" ca="1" si="50"/>
        <v>25</v>
      </c>
      <c r="I318" s="466">
        <f t="shared" ca="1" si="45"/>
        <v>-25</v>
      </c>
      <c r="J318" s="467"/>
      <c r="K318" s="467"/>
      <c r="L318" s="467"/>
    </row>
    <row r="319" spans="1:12">
      <c r="A319" s="463">
        <f t="shared" si="46"/>
        <v>302</v>
      </c>
      <c r="B319" s="464">
        <f t="shared" si="51"/>
        <v>9164</v>
      </c>
      <c r="C319" s="465">
        <f t="shared" ca="1" si="52"/>
        <v>25</v>
      </c>
      <c r="D319" s="463"/>
      <c r="E319" s="465">
        <f t="shared" ref="E319:E339" si="53">IF($D$10=1,IF(MONTH(B319)=MONTH($D$7),D318,0),IF(MONTH(B319)=MONTH(EDATE($D$7,11)),MIN(D307,H318),0))</f>
        <v>0</v>
      </c>
      <c r="F319" s="465">
        <f t="shared" ca="1" si="48"/>
        <v>0</v>
      </c>
      <c r="G319" s="465">
        <f t="shared" ca="1" si="49"/>
        <v>0</v>
      </c>
      <c r="H319" s="465">
        <f t="shared" ca="1" si="50"/>
        <v>25</v>
      </c>
      <c r="I319" s="466">
        <f t="shared" ca="1" si="45"/>
        <v>-25</v>
      </c>
      <c r="J319" s="467"/>
      <c r="K319" s="467"/>
      <c r="L319" s="467"/>
    </row>
    <row r="320" spans="1:12">
      <c r="A320" s="463">
        <f t="shared" si="46"/>
        <v>303</v>
      </c>
      <c r="B320" s="464">
        <f t="shared" si="51"/>
        <v>9192</v>
      </c>
      <c r="C320" s="465">
        <f t="shared" ca="1" si="52"/>
        <v>25</v>
      </c>
      <c r="D320" s="463"/>
      <c r="E320" s="465">
        <f t="shared" si="53"/>
        <v>0</v>
      </c>
      <c r="F320" s="465">
        <f t="shared" ca="1" si="48"/>
        <v>0</v>
      </c>
      <c r="G320" s="465">
        <f t="shared" ca="1" si="49"/>
        <v>0</v>
      </c>
      <c r="H320" s="465">
        <f t="shared" ca="1" si="50"/>
        <v>25</v>
      </c>
      <c r="I320" s="466">
        <f t="shared" ca="1" si="45"/>
        <v>-25</v>
      </c>
      <c r="J320" s="467"/>
      <c r="K320" s="467"/>
      <c r="L320" s="467"/>
    </row>
    <row r="321" spans="1:12">
      <c r="A321" s="463">
        <f t="shared" si="46"/>
        <v>304</v>
      </c>
      <c r="B321" s="464">
        <f t="shared" si="51"/>
        <v>9223</v>
      </c>
      <c r="C321" s="465">
        <f t="shared" ca="1" si="52"/>
        <v>25</v>
      </c>
      <c r="D321" s="463"/>
      <c r="E321" s="465">
        <f t="shared" si="53"/>
        <v>0</v>
      </c>
      <c r="F321" s="465">
        <f t="shared" ca="1" si="48"/>
        <v>0</v>
      </c>
      <c r="G321" s="465">
        <f t="shared" ca="1" si="49"/>
        <v>0</v>
      </c>
      <c r="H321" s="465">
        <f t="shared" ca="1" si="50"/>
        <v>25</v>
      </c>
      <c r="I321" s="466">
        <f t="shared" ca="1" si="45"/>
        <v>-25</v>
      </c>
      <c r="J321" s="467"/>
      <c r="K321" s="467"/>
      <c r="L321" s="467"/>
    </row>
    <row r="322" spans="1:12">
      <c r="A322" s="463">
        <f t="shared" si="46"/>
        <v>305</v>
      </c>
      <c r="B322" s="464">
        <f t="shared" si="51"/>
        <v>9253</v>
      </c>
      <c r="C322" s="465">
        <f t="shared" ca="1" si="52"/>
        <v>25</v>
      </c>
      <c r="D322" s="463"/>
      <c r="E322" s="465">
        <f t="shared" si="53"/>
        <v>0</v>
      </c>
      <c r="F322" s="465">
        <f t="shared" ca="1" si="48"/>
        <v>0</v>
      </c>
      <c r="G322" s="465">
        <f t="shared" ca="1" si="49"/>
        <v>0</v>
      </c>
      <c r="H322" s="465">
        <f t="shared" ca="1" si="50"/>
        <v>25</v>
      </c>
      <c r="I322" s="466">
        <f t="shared" ca="1" si="45"/>
        <v>-25</v>
      </c>
      <c r="J322" s="467"/>
      <c r="K322" s="467"/>
      <c r="L322" s="467"/>
    </row>
    <row r="323" spans="1:12">
      <c r="A323" s="463">
        <f t="shared" si="46"/>
        <v>306</v>
      </c>
      <c r="B323" s="464">
        <f t="shared" si="51"/>
        <v>9284</v>
      </c>
      <c r="C323" s="465">
        <f t="shared" ca="1" si="52"/>
        <v>25</v>
      </c>
      <c r="D323" s="463"/>
      <c r="E323" s="465">
        <f t="shared" si="53"/>
        <v>0</v>
      </c>
      <c r="F323" s="465">
        <f t="shared" ca="1" si="48"/>
        <v>0</v>
      </c>
      <c r="G323" s="465">
        <f t="shared" ca="1" si="49"/>
        <v>0</v>
      </c>
      <c r="H323" s="465">
        <f t="shared" ca="1" si="50"/>
        <v>25</v>
      </c>
      <c r="I323" s="466">
        <f t="shared" ca="1" si="45"/>
        <v>-25</v>
      </c>
      <c r="J323" s="467"/>
      <c r="K323" s="467"/>
      <c r="L323" s="467"/>
    </row>
    <row r="324" spans="1:12">
      <c r="A324" s="463">
        <f t="shared" si="46"/>
        <v>307</v>
      </c>
      <c r="B324" s="464">
        <f t="shared" si="51"/>
        <v>9314</v>
      </c>
      <c r="C324" s="465">
        <f t="shared" ca="1" si="52"/>
        <v>25</v>
      </c>
      <c r="D324" s="463"/>
      <c r="E324" s="465">
        <f t="shared" si="53"/>
        <v>0</v>
      </c>
      <c r="F324" s="465">
        <f t="shared" ca="1" si="48"/>
        <v>0</v>
      </c>
      <c r="G324" s="465">
        <f t="shared" ca="1" si="49"/>
        <v>0</v>
      </c>
      <c r="H324" s="465">
        <f t="shared" ca="1" si="50"/>
        <v>25</v>
      </c>
      <c r="I324" s="466">
        <f t="shared" ca="1" si="45"/>
        <v>-25</v>
      </c>
      <c r="J324" s="467"/>
      <c r="K324" s="467"/>
      <c r="L324" s="467"/>
    </row>
    <row r="325" spans="1:12">
      <c r="A325" s="463">
        <f t="shared" si="46"/>
        <v>308</v>
      </c>
      <c r="B325" s="464">
        <f t="shared" si="51"/>
        <v>9345</v>
      </c>
      <c r="C325" s="465">
        <f t="shared" ca="1" si="52"/>
        <v>25</v>
      </c>
      <c r="D325" s="463"/>
      <c r="E325" s="465">
        <f t="shared" si="53"/>
        <v>0</v>
      </c>
      <c r="F325" s="465">
        <f t="shared" ca="1" si="48"/>
        <v>0</v>
      </c>
      <c r="G325" s="465">
        <f t="shared" ca="1" si="49"/>
        <v>0</v>
      </c>
      <c r="H325" s="465">
        <f t="shared" ca="1" si="50"/>
        <v>25</v>
      </c>
      <c r="I325" s="466">
        <f t="shared" ca="1" si="45"/>
        <v>-25</v>
      </c>
      <c r="J325" s="467"/>
      <c r="K325" s="467"/>
      <c r="L325" s="467"/>
    </row>
    <row r="326" spans="1:12">
      <c r="A326" s="463">
        <f t="shared" si="46"/>
        <v>309</v>
      </c>
      <c r="B326" s="464">
        <f t="shared" si="51"/>
        <v>9376</v>
      </c>
      <c r="C326" s="465">
        <f t="shared" ca="1" si="52"/>
        <v>25</v>
      </c>
      <c r="D326" s="463"/>
      <c r="E326" s="465">
        <f t="shared" si="53"/>
        <v>0</v>
      </c>
      <c r="F326" s="465">
        <f t="shared" ca="1" si="48"/>
        <v>0</v>
      </c>
      <c r="G326" s="465">
        <f t="shared" ca="1" si="49"/>
        <v>0</v>
      </c>
      <c r="H326" s="465">
        <f t="shared" ca="1" si="50"/>
        <v>25</v>
      </c>
      <c r="I326" s="466">
        <f t="shared" ca="1" si="45"/>
        <v>-25</v>
      </c>
      <c r="J326" s="467"/>
      <c r="K326" s="467"/>
      <c r="L326" s="467"/>
    </row>
    <row r="327" spans="1:12">
      <c r="A327" s="463">
        <f t="shared" si="46"/>
        <v>310</v>
      </c>
      <c r="B327" s="464">
        <f t="shared" si="51"/>
        <v>9406</v>
      </c>
      <c r="C327" s="465">
        <f t="shared" ca="1" si="52"/>
        <v>25</v>
      </c>
      <c r="D327" s="463"/>
      <c r="E327" s="465">
        <f t="shared" si="53"/>
        <v>0</v>
      </c>
      <c r="F327" s="465">
        <f t="shared" ca="1" si="48"/>
        <v>0</v>
      </c>
      <c r="G327" s="465">
        <f t="shared" ca="1" si="49"/>
        <v>0</v>
      </c>
      <c r="H327" s="465">
        <f t="shared" ca="1" si="50"/>
        <v>25</v>
      </c>
      <c r="I327" s="466">
        <f t="shared" ca="1" si="45"/>
        <v>-25</v>
      </c>
      <c r="J327" s="467"/>
      <c r="K327" s="467"/>
      <c r="L327" s="467"/>
    </row>
    <row r="328" spans="1:12">
      <c r="A328" s="463">
        <f t="shared" si="46"/>
        <v>311</v>
      </c>
      <c r="B328" s="464">
        <f t="shared" si="51"/>
        <v>9437</v>
      </c>
      <c r="C328" s="465">
        <f t="shared" ca="1" si="52"/>
        <v>25</v>
      </c>
      <c r="D328" s="463"/>
      <c r="E328" s="465">
        <f>IF($D$10=1,IF(MONTH(B328)=MONTH($D$7),D327-'Sch3-Perf Period Cash Flow'!AB7,0),IF(MONTH(B328)=MONTH(EDATE($D$7,11)),IF(AND(H327&gt;D317,H327&lt;K53-L53), H327, MIN(D317,H327))-'Sch3-Perf Period Cash Flow'!AB7,0))</f>
        <v>0</v>
      </c>
      <c r="F328" s="465">
        <f t="shared" ca="1" si="48"/>
        <v>0</v>
      </c>
      <c r="G328" s="465">
        <f t="shared" ca="1" si="49"/>
        <v>0</v>
      </c>
      <c r="H328" s="465">
        <f t="shared" ca="1" si="50"/>
        <v>25</v>
      </c>
      <c r="I328" s="466">
        <f t="shared" ca="1" si="45"/>
        <v>-25</v>
      </c>
      <c r="J328" s="467"/>
      <c r="K328" s="467"/>
      <c r="L328" s="467"/>
    </row>
    <row r="329" spans="1:12">
      <c r="A329" s="463">
        <f t="shared" si="46"/>
        <v>312</v>
      </c>
      <c r="B329" s="464">
        <f t="shared" si="51"/>
        <v>9467</v>
      </c>
      <c r="C329" s="465">
        <f t="shared" ca="1" si="52"/>
        <v>25</v>
      </c>
      <c r="D329" s="465">
        <f ca="1">IF(H329&lt;0,0,IF((H328+G329)&lt;(K43-L43),H328+G329,K43-L43))</f>
        <v>0</v>
      </c>
      <c r="E329" s="465">
        <f ca="1">IF($D$10=1,IF(MONTH(B329)=MONTH($D$7),D328-'Sch3-Perf Period Cash Flow'!AC7,0),IF(MONTH(B329)=MONTH(EDATE($D$7,11)),MIN(D317,H328)-'Sch3-Perf Period Cash Flow'!AC7,0))</f>
        <v>-1</v>
      </c>
      <c r="F329" s="465">
        <f t="shared" ca="1" si="48"/>
        <v>-1</v>
      </c>
      <c r="G329" s="465">
        <f t="shared" ca="1" si="49"/>
        <v>0</v>
      </c>
      <c r="H329" s="465">
        <f t="shared" ca="1" si="50"/>
        <v>26</v>
      </c>
      <c r="I329" s="466">
        <f t="shared" ca="1" si="45"/>
        <v>-26</v>
      </c>
      <c r="J329" s="467"/>
      <c r="K329" s="467"/>
      <c r="L329" s="467"/>
    </row>
    <row r="330" spans="1:12">
      <c r="A330" s="463">
        <f t="shared" si="46"/>
        <v>313</v>
      </c>
      <c r="B330" s="464">
        <f t="shared" si="51"/>
        <v>9498</v>
      </c>
      <c r="C330" s="465">
        <f t="shared" ca="1" si="52"/>
        <v>26</v>
      </c>
      <c r="D330" s="463"/>
      <c r="E330" s="465">
        <f>IF($D$10=1,IF(MONTH(B330)=MONTH($D$7),D329-'Sch3-Perf Period Cash Flow'!AD7,0),IF(MONTH(B330)=MONTH(EDATE($D$7,11)),MIN(D318,H329)-'Sch3-Perf Period Cash Flow'!AD7,0))</f>
        <v>0</v>
      </c>
      <c r="F330" s="465">
        <f t="shared" ca="1" si="48"/>
        <v>0</v>
      </c>
      <c r="G330" s="465">
        <f t="shared" ca="1" si="49"/>
        <v>0</v>
      </c>
      <c r="H330" s="465">
        <f t="shared" ca="1" si="50"/>
        <v>26</v>
      </c>
      <c r="I330" s="466">
        <f t="shared" ca="1" si="45"/>
        <v>-26</v>
      </c>
      <c r="J330" s="467"/>
      <c r="K330" s="467"/>
      <c r="L330" s="467"/>
    </row>
    <row r="331" spans="1:12">
      <c r="A331" s="463">
        <f t="shared" si="46"/>
        <v>314</v>
      </c>
      <c r="B331" s="464">
        <f t="shared" si="51"/>
        <v>9529</v>
      </c>
      <c r="C331" s="465">
        <f t="shared" ca="1" si="52"/>
        <v>26</v>
      </c>
      <c r="D331" s="463"/>
      <c r="E331" s="465">
        <f t="shared" si="53"/>
        <v>0</v>
      </c>
      <c r="F331" s="465">
        <f t="shared" ca="1" si="48"/>
        <v>0</v>
      </c>
      <c r="G331" s="465">
        <f t="shared" ca="1" si="49"/>
        <v>0</v>
      </c>
      <c r="H331" s="465">
        <f t="shared" ca="1" si="50"/>
        <v>26</v>
      </c>
      <c r="I331" s="466">
        <f t="shared" ca="1" si="45"/>
        <v>-26</v>
      </c>
      <c r="J331" s="467"/>
      <c r="K331" s="467"/>
      <c r="L331" s="467"/>
    </row>
    <row r="332" spans="1:12">
      <c r="A332" s="463">
        <f t="shared" si="46"/>
        <v>315</v>
      </c>
      <c r="B332" s="464">
        <f t="shared" si="51"/>
        <v>9557</v>
      </c>
      <c r="C332" s="465">
        <f t="shared" ca="1" si="52"/>
        <v>26</v>
      </c>
      <c r="D332" s="463"/>
      <c r="E332" s="465">
        <f t="shared" si="53"/>
        <v>0</v>
      </c>
      <c r="F332" s="465">
        <f t="shared" ca="1" si="48"/>
        <v>0</v>
      </c>
      <c r="G332" s="465">
        <f t="shared" ca="1" si="49"/>
        <v>0</v>
      </c>
      <c r="H332" s="465">
        <f t="shared" ca="1" si="50"/>
        <v>26</v>
      </c>
      <c r="I332" s="466">
        <f t="shared" ca="1" si="45"/>
        <v>-26</v>
      </c>
      <c r="J332" s="467"/>
      <c r="K332" s="467"/>
      <c r="L332" s="467"/>
    </row>
    <row r="333" spans="1:12">
      <c r="A333" s="463">
        <f t="shared" si="46"/>
        <v>316</v>
      </c>
      <c r="B333" s="464">
        <f t="shared" si="51"/>
        <v>9588</v>
      </c>
      <c r="C333" s="465">
        <f t="shared" ca="1" si="52"/>
        <v>26</v>
      </c>
      <c r="D333" s="463"/>
      <c r="E333" s="465">
        <f t="shared" si="53"/>
        <v>0</v>
      </c>
      <c r="F333" s="465">
        <f t="shared" ca="1" si="48"/>
        <v>0</v>
      </c>
      <c r="G333" s="465">
        <f t="shared" ca="1" si="49"/>
        <v>0</v>
      </c>
      <c r="H333" s="465">
        <f t="shared" ca="1" si="50"/>
        <v>26</v>
      </c>
      <c r="I333" s="466">
        <f t="shared" ca="1" si="45"/>
        <v>-26</v>
      </c>
      <c r="J333" s="467"/>
      <c r="K333" s="467"/>
      <c r="L333" s="467"/>
    </row>
    <row r="334" spans="1:12">
      <c r="A334" s="463">
        <f t="shared" si="46"/>
        <v>317</v>
      </c>
      <c r="B334" s="464">
        <f t="shared" si="51"/>
        <v>9618</v>
      </c>
      <c r="C334" s="465">
        <f t="shared" ca="1" si="52"/>
        <v>26</v>
      </c>
      <c r="D334" s="463"/>
      <c r="E334" s="465">
        <f t="shared" si="53"/>
        <v>0</v>
      </c>
      <c r="F334" s="465">
        <f t="shared" ca="1" si="48"/>
        <v>0</v>
      </c>
      <c r="G334" s="465">
        <f t="shared" ca="1" si="49"/>
        <v>0</v>
      </c>
      <c r="H334" s="465">
        <f t="shared" ca="1" si="50"/>
        <v>26</v>
      </c>
      <c r="I334" s="466">
        <f t="shared" ca="1" si="45"/>
        <v>-26</v>
      </c>
      <c r="J334" s="467"/>
      <c r="K334" s="467"/>
      <c r="L334" s="467"/>
    </row>
    <row r="335" spans="1:12">
      <c r="A335" s="463">
        <f t="shared" si="46"/>
        <v>318</v>
      </c>
      <c r="B335" s="464">
        <f t="shared" si="51"/>
        <v>9649</v>
      </c>
      <c r="C335" s="465">
        <f ca="1">IF(H334=0,0,H334)</f>
        <v>26</v>
      </c>
      <c r="D335" s="463"/>
      <c r="E335" s="465">
        <f t="shared" si="53"/>
        <v>0</v>
      </c>
      <c r="F335" s="465">
        <f t="shared" ca="1" si="48"/>
        <v>0</v>
      </c>
      <c r="G335" s="465">
        <f t="shared" ca="1" si="49"/>
        <v>0</v>
      </c>
      <c r="H335" s="465">
        <f t="shared" ca="1" si="50"/>
        <v>26</v>
      </c>
      <c r="I335" s="466">
        <f t="shared" ca="1" si="45"/>
        <v>-26</v>
      </c>
      <c r="J335" s="467"/>
      <c r="K335" s="467"/>
      <c r="L335" s="467"/>
    </row>
    <row r="336" spans="1:12">
      <c r="A336" s="463">
        <f t="shared" si="46"/>
        <v>319</v>
      </c>
      <c r="B336" s="464">
        <f t="shared" si="51"/>
        <v>9679</v>
      </c>
      <c r="C336" s="465">
        <f t="shared" ref="C336:C399" ca="1" si="54">IF(H335=0,0,H335)</f>
        <v>26</v>
      </c>
      <c r="D336" s="463"/>
      <c r="E336" s="465">
        <f t="shared" si="53"/>
        <v>0</v>
      </c>
      <c r="F336" s="465">
        <f t="shared" ca="1" si="48"/>
        <v>0</v>
      </c>
      <c r="G336" s="465">
        <f t="shared" ca="1" si="49"/>
        <v>0</v>
      </c>
      <c r="H336" s="465">
        <f t="shared" ca="1" si="50"/>
        <v>26</v>
      </c>
      <c r="I336" s="466">
        <f t="shared" ca="1" si="45"/>
        <v>-26</v>
      </c>
      <c r="J336" s="467"/>
      <c r="K336" s="467"/>
      <c r="L336" s="467"/>
    </row>
    <row r="337" spans="1:12">
      <c r="A337" s="463">
        <f t="shared" si="46"/>
        <v>320</v>
      </c>
      <c r="B337" s="464">
        <f t="shared" si="51"/>
        <v>9710</v>
      </c>
      <c r="C337" s="465">
        <f t="shared" ca="1" si="54"/>
        <v>26</v>
      </c>
      <c r="D337" s="463"/>
      <c r="E337" s="465">
        <f t="shared" si="53"/>
        <v>0</v>
      </c>
      <c r="F337" s="465">
        <f t="shared" ca="1" si="48"/>
        <v>0</v>
      </c>
      <c r="G337" s="465">
        <f t="shared" ca="1" si="49"/>
        <v>0</v>
      </c>
      <c r="H337" s="465">
        <f t="shared" ca="1" si="50"/>
        <v>26</v>
      </c>
      <c r="I337" s="466">
        <f t="shared" ca="1" si="45"/>
        <v>-26</v>
      </c>
      <c r="J337" s="467"/>
      <c r="K337" s="467"/>
      <c r="L337" s="467"/>
    </row>
    <row r="338" spans="1:12">
      <c r="A338" s="463">
        <f t="shared" si="46"/>
        <v>321</v>
      </c>
      <c r="B338" s="464">
        <f t="shared" si="51"/>
        <v>9741</v>
      </c>
      <c r="C338" s="465">
        <f t="shared" ca="1" si="54"/>
        <v>26</v>
      </c>
      <c r="D338" s="463"/>
      <c r="E338" s="465">
        <f t="shared" si="53"/>
        <v>0</v>
      </c>
      <c r="F338" s="465">
        <f t="shared" ca="1" si="48"/>
        <v>0</v>
      </c>
      <c r="G338" s="465">
        <f t="shared" ca="1" si="49"/>
        <v>0</v>
      </c>
      <c r="H338" s="465">
        <f t="shared" ca="1" si="50"/>
        <v>26</v>
      </c>
      <c r="I338" s="466">
        <f t="shared" ref="I338:I401" ca="1" si="55">ROUND((D338-H338),0)</f>
        <v>-26</v>
      </c>
      <c r="J338" s="467"/>
      <c r="K338" s="467"/>
      <c r="L338" s="467"/>
    </row>
    <row r="339" spans="1:12">
      <c r="A339" s="463">
        <f t="shared" ref="A339:A402" si="56">IF(A338="","",IF(A338=$D$6,"",A338+1))</f>
        <v>322</v>
      </c>
      <c r="B339" s="464">
        <f t="shared" si="51"/>
        <v>9771</v>
      </c>
      <c r="C339" s="465">
        <f t="shared" ca="1" si="54"/>
        <v>26</v>
      </c>
      <c r="D339" s="463"/>
      <c r="E339" s="465">
        <f t="shared" si="53"/>
        <v>0</v>
      </c>
      <c r="F339" s="465">
        <f t="shared" ref="F339:F402" ca="1" si="57">IF(E339="","",E339-G339)</f>
        <v>0</v>
      </c>
      <c r="G339" s="465">
        <f t="shared" ref="G339:G402" ca="1" si="58">ROUND((C339-E339)*$D$5,3)</f>
        <v>0</v>
      </c>
      <c r="H339" s="465">
        <f t="shared" ref="H339:H402" ca="1" si="59">IF(E339="","",ROUND(H338-F339,4))</f>
        <v>26</v>
      </c>
      <c r="I339" s="466">
        <f t="shared" ca="1" si="55"/>
        <v>-26</v>
      </c>
      <c r="J339" s="467"/>
      <c r="K339" s="467"/>
      <c r="L339" s="467"/>
    </row>
    <row r="340" spans="1:12">
      <c r="A340" s="463">
        <f t="shared" si="56"/>
        <v>323</v>
      </c>
      <c r="B340" s="464">
        <f t="shared" ref="B340:B403" si="60">DATE(YEAR(B339),MONTH(B339)+1,1)</f>
        <v>9802</v>
      </c>
      <c r="C340" s="465">
        <f t="shared" ca="1" si="54"/>
        <v>26</v>
      </c>
      <c r="D340" s="463"/>
      <c r="E340" s="465">
        <f>IF($D$10=1,IF(MONTH(B340)=MONTH($D$7),D339-'Sch3-Perf Period Cash Flow'!AC7,0),IF(MONTH(B340)=MONTH(EDATE($D$7,11)),IF(AND(H339&gt;D329,H339&lt;K65-L65), H339, MIN(D329,H339))-'Sch3-Perf Period Cash Flow'!AC7,0))</f>
        <v>0</v>
      </c>
      <c r="F340" s="465">
        <f t="shared" ca="1" si="57"/>
        <v>0</v>
      </c>
      <c r="G340" s="465">
        <f t="shared" ca="1" si="58"/>
        <v>0</v>
      </c>
      <c r="H340" s="465">
        <f t="shared" ca="1" si="59"/>
        <v>26</v>
      </c>
      <c r="I340" s="466">
        <f t="shared" ca="1" si="55"/>
        <v>-26</v>
      </c>
      <c r="J340" s="467"/>
      <c r="K340" s="467"/>
      <c r="L340" s="467"/>
    </row>
    <row r="341" spans="1:12">
      <c r="A341" s="463">
        <f t="shared" si="56"/>
        <v>324</v>
      </c>
      <c r="B341" s="464">
        <f t="shared" si="60"/>
        <v>9832</v>
      </c>
      <c r="C341" s="465">
        <f t="shared" ca="1" si="54"/>
        <v>26</v>
      </c>
      <c r="D341" s="465">
        <f ca="1">IF(H341&lt;0,0,IF((H340+G341)&lt;(K44-L44),H340+G341,K44-L44))</f>
        <v>0</v>
      </c>
      <c r="E341" s="465">
        <f ca="1">IF($D$10=1,IF(MONTH(B341)=MONTH($D$7),D340-'Sch3-Perf Period Cash Flow'!AD7,0),IF(MONTH(B341)=MONTH(EDATE($D$7,11)),MIN(D329,H340)-'Sch3-Perf Period Cash Flow'!AD7,0))</f>
        <v>-1</v>
      </c>
      <c r="F341" s="465">
        <f t="shared" ca="1" si="57"/>
        <v>-1</v>
      </c>
      <c r="G341" s="465">
        <f t="shared" ca="1" si="58"/>
        <v>0</v>
      </c>
      <c r="H341" s="465">
        <f t="shared" ca="1" si="59"/>
        <v>27</v>
      </c>
      <c r="I341" s="466">
        <f t="shared" ca="1" si="55"/>
        <v>-27</v>
      </c>
      <c r="J341" s="467"/>
      <c r="K341" s="467"/>
      <c r="L341" s="467"/>
    </row>
    <row r="342" spans="1:12">
      <c r="A342" s="463">
        <f t="shared" si="56"/>
        <v>325</v>
      </c>
      <c r="B342" s="464">
        <f t="shared" si="60"/>
        <v>9863</v>
      </c>
      <c r="C342" s="465">
        <f t="shared" ca="1" si="54"/>
        <v>27</v>
      </c>
      <c r="D342" s="463"/>
      <c r="E342" s="465">
        <f>IF($D$10=1,IF(MONTH(B342)=MONTH($D$7),D341-'Sch3-Perf Period Cash Flow'!AE7,0),IF(MONTH(B342)=MONTH(EDATE($D$7,11)),MIN(D330,H341)-'Sch3-Perf Period Cash Flow'!AE7,0))</f>
        <v>0</v>
      </c>
      <c r="F342" s="465">
        <f t="shared" ca="1" si="57"/>
        <v>0</v>
      </c>
      <c r="G342" s="465">
        <f t="shared" ca="1" si="58"/>
        <v>0</v>
      </c>
      <c r="H342" s="465">
        <f t="shared" ca="1" si="59"/>
        <v>27</v>
      </c>
      <c r="I342" s="466">
        <f t="shared" ca="1" si="55"/>
        <v>-27</v>
      </c>
      <c r="J342" s="467"/>
      <c r="K342" s="467"/>
      <c r="L342" s="467"/>
    </row>
    <row r="343" spans="1:12">
      <c r="A343" s="463">
        <f t="shared" si="56"/>
        <v>326</v>
      </c>
      <c r="B343" s="464">
        <f t="shared" si="60"/>
        <v>9894</v>
      </c>
      <c r="C343" s="465">
        <f t="shared" ca="1" si="54"/>
        <v>27</v>
      </c>
      <c r="D343" s="463"/>
      <c r="E343" s="465">
        <f t="shared" ref="E343:E363" si="61">IF($D$10=1,IF(MONTH(B343)=MONTH($D$7),D342,0),IF(MONTH(B343)=MONTH(EDATE($D$7,11)),MIN(D331,H342),0))</f>
        <v>0</v>
      </c>
      <c r="F343" s="465">
        <f t="shared" ca="1" si="57"/>
        <v>0</v>
      </c>
      <c r="G343" s="465">
        <f t="shared" ca="1" si="58"/>
        <v>0</v>
      </c>
      <c r="H343" s="465">
        <f t="shared" ca="1" si="59"/>
        <v>27</v>
      </c>
      <c r="I343" s="466">
        <f t="shared" ca="1" si="55"/>
        <v>-27</v>
      </c>
      <c r="J343" s="467"/>
      <c r="K343" s="467"/>
      <c r="L343" s="467"/>
    </row>
    <row r="344" spans="1:12">
      <c r="A344" s="463">
        <f t="shared" si="56"/>
        <v>327</v>
      </c>
      <c r="B344" s="464">
        <f t="shared" si="60"/>
        <v>9922</v>
      </c>
      <c r="C344" s="465">
        <f t="shared" ca="1" si="54"/>
        <v>27</v>
      </c>
      <c r="D344" s="463"/>
      <c r="E344" s="465">
        <f t="shared" si="61"/>
        <v>0</v>
      </c>
      <c r="F344" s="465">
        <f t="shared" ca="1" si="57"/>
        <v>0</v>
      </c>
      <c r="G344" s="465">
        <f t="shared" ca="1" si="58"/>
        <v>0</v>
      </c>
      <c r="H344" s="465">
        <f t="shared" ca="1" si="59"/>
        <v>27</v>
      </c>
      <c r="I344" s="466">
        <f t="shared" ca="1" si="55"/>
        <v>-27</v>
      </c>
      <c r="J344" s="467"/>
      <c r="K344" s="467"/>
      <c r="L344" s="467"/>
    </row>
    <row r="345" spans="1:12">
      <c r="A345" s="463">
        <f t="shared" si="56"/>
        <v>328</v>
      </c>
      <c r="B345" s="464">
        <f t="shared" si="60"/>
        <v>9953</v>
      </c>
      <c r="C345" s="465">
        <f t="shared" ca="1" si="54"/>
        <v>27</v>
      </c>
      <c r="D345" s="463"/>
      <c r="E345" s="465">
        <f t="shared" si="61"/>
        <v>0</v>
      </c>
      <c r="F345" s="465">
        <f t="shared" ca="1" si="57"/>
        <v>0</v>
      </c>
      <c r="G345" s="465">
        <f t="shared" ca="1" si="58"/>
        <v>0</v>
      </c>
      <c r="H345" s="465">
        <f t="shared" ca="1" si="59"/>
        <v>27</v>
      </c>
      <c r="I345" s="466">
        <f t="shared" ca="1" si="55"/>
        <v>-27</v>
      </c>
      <c r="J345" s="467"/>
      <c r="K345" s="467"/>
      <c r="L345" s="467"/>
    </row>
    <row r="346" spans="1:12">
      <c r="A346" s="463">
        <f t="shared" si="56"/>
        <v>329</v>
      </c>
      <c r="B346" s="464">
        <f t="shared" si="60"/>
        <v>9983</v>
      </c>
      <c r="C346" s="465">
        <f t="shared" ca="1" si="54"/>
        <v>27</v>
      </c>
      <c r="D346" s="463"/>
      <c r="E346" s="465">
        <f t="shared" si="61"/>
        <v>0</v>
      </c>
      <c r="F346" s="465">
        <f t="shared" ca="1" si="57"/>
        <v>0</v>
      </c>
      <c r="G346" s="465">
        <f t="shared" ca="1" si="58"/>
        <v>0</v>
      </c>
      <c r="H346" s="465">
        <f t="shared" ca="1" si="59"/>
        <v>27</v>
      </c>
      <c r="I346" s="466">
        <f t="shared" ca="1" si="55"/>
        <v>-27</v>
      </c>
      <c r="J346" s="467"/>
      <c r="K346" s="467"/>
      <c r="L346" s="467"/>
    </row>
    <row r="347" spans="1:12">
      <c r="A347" s="463">
        <f t="shared" si="56"/>
        <v>330</v>
      </c>
      <c r="B347" s="464">
        <f t="shared" si="60"/>
        <v>10014</v>
      </c>
      <c r="C347" s="465">
        <f t="shared" ca="1" si="54"/>
        <v>27</v>
      </c>
      <c r="D347" s="463"/>
      <c r="E347" s="465">
        <f t="shared" si="61"/>
        <v>0</v>
      </c>
      <c r="F347" s="465">
        <f t="shared" ca="1" si="57"/>
        <v>0</v>
      </c>
      <c r="G347" s="465">
        <f t="shared" ca="1" si="58"/>
        <v>0</v>
      </c>
      <c r="H347" s="465">
        <f t="shared" ca="1" si="59"/>
        <v>27</v>
      </c>
      <c r="I347" s="466">
        <f t="shared" ca="1" si="55"/>
        <v>-27</v>
      </c>
      <c r="J347" s="467"/>
      <c r="K347" s="467"/>
      <c r="L347" s="467"/>
    </row>
    <row r="348" spans="1:12">
      <c r="A348" s="463">
        <f t="shared" si="56"/>
        <v>331</v>
      </c>
      <c r="B348" s="464">
        <f t="shared" si="60"/>
        <v>10044</v>
      </c>
      <c r="C348" s="465">
        <f t="shared" ca="1" si="54"/>
        <v>27</v>
      </c>
      <c r="D348" s="463"/>
      <c r="E348" s="465">
        <f t="shared" si="61"/>
        <v>0</v>
      </c>
      <c r="F348" s="465">
        <f t="shared" ca="1" si="57"/>
        <v>0</v>
      </c>
      <c r="G348" s="465">
        <f t="shared" ca="1" si="58"/>
        <v>0</v>
      </c>
      <c r="H348" s="465">
        <f t="shared" ca="1" si="59"/>
        <v>27</v>
      </c>
      <c r="I348" s="466">
        <f t="shared" ca="1" si="55"/>
        <v>-27</v>
      </c>
      <c r="J348" s="467"/>
      <c r="K348" s="467"/>
      <c r="L348" s="467"/>
    </row>
    <row r="349" spans="1:12">
      <c r="A349" s="463">
        <f t="shared" si="56"/>
        <v>332</v>
      </c>
      <c r="B349" s="464">
        <f t="shared" si="60"/>
        <v>10075</v>
      </c>
      <c r="C349" s="465">
        <f t="shared" ca="1" si="54"/>
        <v>27</v>
      </c>
      <c r="D349" s="463"/>
      <c r="E349" s="465">
        <f t="shared" si="61"/>
        <v>0</v>
      </c>
      <c r="F349" s="465">
        <f t="shared" ca="1" si="57"/>
        <v>0</v>
      </c>
      <c r="G349" s="465">
        <f t="shared" ca="1" si="58"/>
        <v>0</v>
      </c>
      <c r="H349" s="465">
        <f t="shared" ca="1" si="59"/>
        <v>27</v>
      </c>
      <c r="I349" s="466">
        <f t="shared" ca="1" si="55"/>
        <v>-27</v>
      </c>
      <c r="J349" s="467"/>
      <c r="K349" s="467"/>
      <c r="L349" s="467"/>
    </row>
    <row r="350" spans="1:12">
      <c r="A350" s="463">
        <f t="shared" si="56"/>
        <v>333</v>
      </c>
      <c r="B350" s="464">
        <f t="shared" si="60"/>
        <v>10106</v>
      </c>
      <c r="C350" s="465">
        <f t="shared" ca="1" si="54"/>
        <v>27</v>
      </c>
      <c r="D350" s="463"/>
      <c r="E350" s="465">
        <f t="shared" si="61"/>
        <v>0</v>
      </c>
      <c r="F350" s="465">
        <f t="shared" ca="1" si="57"/>
        <v>0</v>
      </c>
      <c r="G350" s="465">
        <f t="shared" ca="1" si="58"/>
        <v>0</v>
      </c>
      <c r="H350" s="465">
        <f t="shared" ca="1" si="59"/>
        <v>27</v>
      </c>
      <c r="I350" s="466">
        <f t="shared" ca="1" si="55"/>
        <v>-27</v>
      </c>
      <c r="J350" s="467"/>
      <c r="K350" s="467"/>
      <c r="L350" s="467"/>
    </row>
    <row r="351" spans="1:12">
      <c r="A351" s="463">
        <f t="shared" si="56"/>
        <v>334</v>
      </c>
      <c r="B351" s="464">
        <f t="shared" si="60"/>
        <v>10136</v>
      </c>
      <c r="C351" s="465">
        <f t="shared" ca="1" si="54"/>
        <v>27</v>
      </c>
      <c r="D351" s="463"/>
      <c r="E351" s="465">
        <f t="shared" si="61"/>
        <v>0</v>
      </c>
      <c r="F351" s="465">
        <f t="shared" ca="1" si="57"/>
        <v>0</v>
      </c>
      <c r="G351" s="465">
        <f t="shared" ca="1" si="58"/>
        <v>0</v>
      </c>
      <c r="H351" s="465">
        <f t="shared" ca="1" si="59"/>
        <v>27</v>
      </c>
      <c r="I351" s="466">
        <f t="shared" ca="1" si="55"/>
        <v>-27</v>
      </c>
      <c r="J351" s="467"/>
      <c r="K351" s="467"/>
      <c r="L351" s="467"/>
    </row>
    <row r="352" spans="1:12">
      <c r="A352" s="463">
        <f t="shared" si="56"/>
        <v>335</v>
      </c>
      <c r="B352" s="464">
        <f t="shared" si="60"/>
        <v>10167</v>
      </c>
      <c r="C352" s="465">
        <f t="shared" ca="1" si="54"/>
        <v>27</v>
      </c>
      <c r="D352" s="463"/>
      <c r="E352" s="465">
        <f>IF($D$10=1,IF(MONTH(B352)=MONTH($D$7),D351-'Sch3-Perf Period Cash Flow'!AB43,0),IF(MONTH(B352)=MONTH(EDATE($D$7,11)),IF(AND(H351&gt;D341,H351&lt;K77-L77), H351, MIN(D341,H351))-'Sch3-Perf Period Cash Flow'!AB43,0))</f>
        <v>0</v>
      </c>
      <c r="F352" s="465">
        <f t="shared" ca="1" si="57"/>
        <v>0</v>
      </c>
      <c r="G352" s="465">
        <f t="shared" ca="1" si="58"/>
        <v>0</v>
      </c>
      <c r="H352" s="465">
        <f t="shared" ca="1" si="59"/>
        <v>27</v>
      </c>
      <c r="I352" s="466">
        <f t="shared" ca="1" si="55"/>
        <v>-27</v>
      </c>
      <c r="J352" s="467"/>
      <c r="K352" s="467"/>
      <c r="L352" s="467"/>
    </row>
    <row r="353" spans="1:12">
      <c r="A353" s="463">
        <f t="shared" si="56"/>
        <v>336</v>
      </c>
      <c r="B353" s="464">
        <f t="shared" si="60"/>
        <v>10197</v>
      </c>
      <c r="C353" s="465">
        <f t="shared" ca="1" si="54"/>
        <v>27</v>
      </c>
      <c r="D353" s="465">
        <f ca="1">IF(H353&lt;0,0,IF((H352+G353)&lt;(K45-L45),H352+G353,K45-L45))</f>
        <v>0</v>
      </c>
      <c r="E353" s="465">
        <f ca="1">IF($D$10=1,IF(MONTH(B353)=MONTH($D$7),D352-'Sch3-Perf Period Cash Flow'!AE7,0),IF(MONTH(B353)=MONTH(EDATE($D$7,11)),MIN(D341,H352)-'Sch3-Perf Period Cash Flow'!AE7,0))</f>
        <v>-1</v>
      </c>
      <c r="F353" s="465">
        <f t="shared" ca="1" si="57"/>
        <v>-1</v>
      </c>
      <c r="G353" s="465">
        <f t="shared" ca="1" si="58"/>
        <v>0</v>
      </c>
      <c r="H353" s="465">
        <f t="shared" ca="1" si="59"/>
        <v>28</v>
      </c>
      <c r="I353" s="466">
        <f t="shared" ca="1" si="55"/>
        <v>-28</v>
      </c>
      <c r="J353" s="467"/>
      <c r="K353" s="467"/>
      <c r="L353" s="467"/>
    </row>
    <row r="354" spans="1:12">
      <c r="A354" s="463">
        <f t="shared" si="56"/>
        <v>337</v>
      </c>
      <c r="B354" s="464">
        <f t="shared" si="60"/>
        <v>10228</v>
      </c>
      <c r="C354" s="465">
        <f t="shared" ca="1" si="54"/>
        <v>28</v>
      </c>
      <c r="D354" s="463"/>
      <c r="E354" s="465">
        <f>IF($D$10=1,IF(MONTH(B354)=MONTH($D$7),D353-'Sch3-Perf Period Cash Flow'!AF7,0),IF(MONTH(B354)=MONTH(EDATE($D$7,11)),MIN(D342,H353)-'Sch3-Perf Period Cash Flow'!AF7,0))</f>
        <v>0</v>
      </c>
      <c r="F354" s="465">
        <f t="shared" ca="1" si="57"/>
        <v>0</v>
      </c>
      <c r="G354" s="465">
        <f t="shared" ca="1" si="58"/>
        <v>0</v>
      </c>
      <c r="H354" s="465">
        <f t="shared" ca="1" si="59"/>
        <v>28</v>
      </c>
      <c r="I354" s="466">
        <f t="shared" ca="1" si="55"/>
        <v>-28</v>
      </c>
      <c r="J354" s="467"/>
      <c r="K354" s="467"/>
      <c r="L354" s="467"/>
    </row>
    <row r="355" spans="1:12">
      <c r="A355" s="463">
        <f t="shared" si="56"/>
        <v>338</v>
      </c>
      <c r="B355" s="464">
        <f t="shared" si="60"/>
        <v>10259</v>
      </c>
      <c r="C355" s="465">
        <f t="shared" ca="1" si="54"/>
        <v>28</v>
      </c>
      <c r="D355" s="463"/>
      <c r="E355" s="465">
        <f t="shared" si="61"/>
        <v>0</v>
      </c>
      <c r="F355" s="465">
        <f t="shared" ca="1" si="57"/>
        <v>0</v>
      </c>
      <c r="G355" s="465">
        <f t="shared" ca="1" si="58"/>
        <v>0</v>
      </c>
      <c r="H355" s="465">
        <f t="shared" ca="1" si="59"/>
        <v>28</v>
      </c>
      <c r="I355" s="466">
        <f t="shared" ca="1" si="55"/>
        <v>-28</v>
      </c>
      <c r="J355" s="467"/>
      <c r="K355" s="467"/>
      <c r="L355" s="467"/>
    </row>
    <row r="356" spans="1:12">
      <c r="A356" s="463">
        <f t="shared" si="56"/>
        <v>339</v>
      </c>
      <c r="B356" s="464">
        <f t="shared" si="60"/>
        <v>10288</v>
      </c>
      <c r="C356" s="465">
        <f t="shared" ca="1" si="54"/>
        <v>28</v>
      </c>
      <c r="D356" s="463"/>
      <c r="E356" s="465">
        <f t="shared" si="61"/>
        <v>0</v>
      </c>
      <c r="F356" s="465">
        <f t="shared" ca="1" si="57"/>
        <v>0</v>
      </c>
      <c r="G356" s="465">
        <f t="shared" ca="1" si="58"/>
        <v>0</v>
      </c>
      <c r="H356" s="465">
        <f t="shared" ca="1" si="59"/>
        <v>28</v>
      </c>
      <c r="I356" s="466">
        <f t="shared" ca="1" si="55"/>
        <v>-28</v>
      </c>
      <c r="J356" s="467"/>
      <c r="K356" s="467"/>
      <c r="L356" s="467"/>
    </row>
    <row r="357" spans="1:12">
      <c r="A357" s="463">
        <f t="shared" si="56"/>
        <v>340</v>
      </c>
      <c r="B357" s="464">
        <f t="shared" si="60"/>
        <v>10319</v>
      </c>
      <c r="C357" s="465">
        <f t="shared" ca="1" si="54"/>
        <v>28</v>
      </c>
      <c r="D357" s="463"/>
      <c r="E357" s="465">
        <f t="shared" si="61"/>
        <v>0</v>
      </c>
      <c r="F357" s="465">
        <f t="shared" ca="1" si="57"/>
        <v>0</v>
      </c>
      <c r="G357" s="465">
        <f t="shared" ca="1" si="58"/>
        <v>0</v>
      </c>
      <c r="H357" s="465">
        <f t="shared" ca="1" si="59"/>
        <v>28</v>
      </c>
      <c r="I357" s="466">
        <f t="shared" ca="1" si="55"/>
        <v>-28</v>
      </c>
      <c r="J357" s="467"/>
      <c r="K357" s="467"/>
      <c r="L357" s="467"/>
    </row>
    <row r="358" spans="1:12">
      <c r="A358" s="463">
        <f t="shared" si="56"/>
        <v>341</v>
      </c>
      <c r="B358" s="464">
        <f t="shared" si="60"/>
        <v>10349</v>
      </c>
      <c r="C358" s="465">
        <f t="shared" ca="1" si="54"/>
        <v>28</v>
      </c>
      <c r="D358" s="463"/>
      <c r="E358" s="465">
        <f t="shared" si="61"/>
        <v>0</v>
      </c>
      <c r="F358" s="465">
        <f t="shared" ca="1" si="57"/>
        <v>0</v>
      </c>
      <c r="G358" s="465">
        <f t="shared" ca="1" si="58"/>
        <v>0</v>
      </c>
      <c r="H358" s="465">
        <f t="shared" ca="1" si="59"/>
        <v>28</v>
      </c>
      <c r="I358" s="466">
        <f t="shared" ca="1" si="55"/>
        <v>-28</v>
      </c>
      <c r="J358" s="467"/>
      <c r="K358" s="467"/>
      <c r="L358" s="467"/>
    </row>
    <row r="359" spans="1:12">
      <c r="A359" s="463">
        <f t="shared" si="56"/>
        <v>342</v>
      </c>
      <c r="B359" s="464">
        <f t="shared" si="60"/>
        <v>10380</v>
      </c>
      <c r="C359" s="465">
        <f t="shared" ca="1" si="54"/>
        <v>28</v>
      </c>
      <c r="D359" s="463"/>
      <c r="E359" s="465">
        <f t="shared" si="61"/>
        <v>0</v>
      </c>
      <c r="F359" s="465">
        <f t="shared" ca="1" si="57"/>
        <v>0</v>
      </c>
      <c r="G359" s="465">
        <f t="shared" ca="1" si="58"/>
        <v>0</v>
      </c>
      <c r="H359" s="465">
        <f t="shared" ca="1" si="59"/>
        <v>28</v>
      </c>
      <c r="I359" s="466">
        <f t="shared" ca="1" si="55"/>
        <v>-28</v>
      </c>
      <c r="J359" s="467"/>
      <c r="K359" s="467"/>
      <c r="L359" s="467"/>
    </row>
    <row r="360" spans="1:12">
      <c r="A360" s="463">
        <f t="shared" si="56"/>
        <v>343</v>
      </c>
      <c r="B360" s="464">
        <f t="shared" si="60"/>
        <v>10410</v>
      </c>
      <c r="C360" s="465">
        <f t="shared" ca="1" si="54"/>
        <v>28</v>
      </c>
      <c r="D360" s="463"/>
      <c r="E360" s="465">
        <f t="shared" si="61"/>
        <v>0</v>
      </c>
      <c r="F360" s="465">
        <f t="shared" ca="1" si="57"/>
        <v>0</v>
      </c>
      <c r="G360" s="465">
        <f t="shared" ca="1" si="58"/>
        <v>0</v>
      </c>
      <c r="H360" s="465">
        <f t="shared" ca="1" si="59"/>
        <v>28</v>
      </c>
      <c r="I360" s="466">
        <f t="shared" ca="1" si="55"/>
        <v>-28</v>
      </c>
      <c r="J360" s="467"/>
      <c r="K360" s="467"/>
      <c r="L360" s="467"/>
    </row>
    <row r="361" spans="1:12">
      <c r="A361" s="463">
        <f t="shared" si="56"/>
        <v>344</v>
      </c>
      <c r="B361" s="464">
        <f t="shared" si="60"/>
        <v>10441</v>
      </c>
      <c r="C361" s="465">
        <f t="shared" ca="1" si="54"/>
        <v>28</v>
      </c>
      <c r="D361" s="463"/>
      <c r="E361" s="465">
        <f t="shared" si="61"/>
        <v>0</v>
      </c>
      <c r="F361" s="465">
        <f t="shared" ca="1" si="57"/>
        <v>0</v>
      </c>
      <c r="G361" s="465">
        <f t="shared" ca="1" si="58"/>
        <v>0</v>
      </c>
      <c r="H361" s="465">
        <f t="shared" ca="1" si="59"/>
        <v>28</v>
      </c>
      <c r="I361" s="466">
        <f t="shared" ca="1" si="55"/>
        <v>-28</v>
      </c>
      <c r="J361" s="467"/>
      <c r="K361" s="467"/>
      <c r="L361" s="467"/>
    </row>
    <row r="362" spans="1:12">
      <c r="A362" s="463">
        <f t="shared" si="56"/>
        <v>345</v>
      </c>
      <c r="B362" s="464">
        <f t="shared" si="60"/>
        <v>10472</v>
      </c>
      <c r="C362" s="465">
        <f t="shared" ca="1" si="54"/>
        <v>28</v>
      </c>
      <c r="D362" s="463"/>
      <c r="E362" s="465">
        <f t="shared" si="61"/>
        <v>0</v>
      </c>
      <c r="F362" s="465">
        <f t="shared" ca="1" si="57"/>
        <v>0</v>
      </c>
      <c r="G362" s="465">
        <f t="shared" ca="1" si="58"/>
        <v>0</v>
      </c>
      <c r="H362" s="465">
        <f t="shared" ca="1" si="59"/>
        <v>28</v>
      </c>
      <c r="I362" s="466">
        <f t="shared" ca="1" si="55"/>
        <v>-28</v>
      </c>
      <c r="J362" s="467"/>
      <c r="K362" s="467"/>
      <c r="L362" s="467"/>
    </row>
    <row r="363" spans="1:12">
      <c r="A363" s="463">
        <f t="shared" si="56"/>
        <v>346</v>
      </c>
      <c r="B363" s="464">
        <f t="shared" si="60"/>
        <v>10502</v>
      </c>
      <c r="C363" s="465">
        <f t="shared" ca="1" si="54"/>
        <v>28</v>
      </c>
      <c r="D363" s="463"/>
      <c r="E363" s="465">
        <f t="shared" si="61"/>
        <v>0</v>
      </c>
      <c r="F363" s="465">
        <f t="shared" ca="1" si="57"/>
        <v>0</v>
      </c>
      <c r="G363" s="465">
        <f t="shared" ca="1" si="58"/>
        <v>0</v>
      </c>
      <c r="H363" s="465">
        <f t="shared" ca="1" si="59"/>
        <v>28</v>
      </c>
      <c r="I363" s="466">
        <f t="shared" ca="1" si="55"/>
        <v>-28</v>
      </c>
      <c r="J363" s="467"/>
      <c r="K363" s="467"/>
      <c r="L363" s="467"/>
    </row>
    <row r="364" spans="1:12">
      <c r="A364" s="463">
        <f t="shared" si="56"/>
        <v>347</v>
      </c>
      <c r="B364" s="464">
        <f t="shared" si="60"/>
        <v>10533</v>
      </c>
      <c r="C364" s="465">
        <f t="shared" ca="1" si="54"/>
        <v>28</v>
      </c>
      <c r="D364" s="463"/>
      <c r="E364" s="465">
        <f>IF($D$10=1,IF(MONTH(B364)=MONTH($D$7),D363-'Sch3-Perf Period Cash Flow'!AB55,0),IF(MONTH(B364)=MONTH(EDATE($D$7,11)),IF(AND(H363&gt;D353,H363&lt;K89-L89), H363, MIN(D353,H363))-'Sch3-Perf Period Cash Flow'!AB55,0))</f>
        <v>0</v>
      </c>
      <c r="F364" s="465">
        <f t="shared" ca="1" si="57"/>
        <v>0</v>
      </c>
      <c r="G364" s="465">
        <f t="shared" ca="1" si="58"/>
        <v>0</v>
      </c>
      <c r="H364" s="465">
        <f t="shared" ca="1" si="59"/>
        <v>28</v>
      </c>
      <c r="I364" s="466">
        <f t="shared" ca="1" si="55"/>
        <v>-28</v>
      </c>
      <c r="J364" s="467"/>
      <c r="K364" s="467"/>
      <c r="L364" s="467"/>
    </row>
    <row r="365" spans="1:12">
      <c r="A365" s="463">
        <f t="shared" si="56"/>
        <v>348</v>
      </c>
      <c r="B365" s="464">
        <f t="shared" si="60"/>
        <v>10563</v>
      </c>
      <c r="C365" s="465">
        <f t="shared" ca="1" si="54"/>
        <v>28</v>
      </c>
      <c r="D365" s="465">
        <f ca="1">IF(H365&lt;0,0,IF((H364+G365)&lt;(K46-L46),H364+G365,K46-L46))</f>
        <v>0</v>
      </c>
      <c r="E365" s="465">
        <f ca="1">IF($D$10=1,IF(MONTH(B365)=MONTH($D$7),D364-'Sch3-Perf Period Cash Flow'!AF7,0),IF(MONTH(B365)=MONTH(EDATE($D$7,11)),MIN(D353,H364)-'Sch3-Perf Period Cash Flow'!AF7,0))</f>
        <v>-1</v>
      </c>
      <c r="F365" s="465">
        <f t="shared" ca="1" si="57"/>
        <v>-1</v>
      </c>
      <c r="G365" s="465">
        <f t="shared" ca="1" si="58"/>
        <v>0</v>
      </c>
      <c r="H365" s="465">
        <f t="shared" ca="1" si="59"/>
        <v>29</v>
      </c>
      <c r="I365" s="466">
        <f t="shared" ca="1" si="55"/>
        <v>-29</v>
      </c>
      <c r="J365" s="467"/>
      <c r="K365" s="467"/>
      <c r="L365" s="467"/>
    </row>
    <row r="366" spans="1:12">
      <c r="A366" s="463">
        <f t="shared" si="56"/>
        <v>349</v>
      </c>
      <c r="B366" s="464">
        <f t="shared" si="60"/>
        <v>10594</v>
      </c>
      <c r="C366" s="465">
        <f t="shared" ca="1" si="54"/>
        <v>29</v>
      </c>
      <c r="D366" s="463"/>
      <c r="E366" s="465">
        <f>IF($D$10=1,IF(MONTH(B366)=MONTH($D$7),D365-'Sch3-Perf Period Cash Flow'!AG7,0),IF(MONTH(B366)=MONTH(EDATE($D$7,11)),MIN(D354,H365)-'Sch3-Perf Period Cash Flow'!AG7,0))</f>
        <v>0</v>
      </c>
      <c r="F366" s="465">
        <f t="shared" ca="1" si="57"/>
        <v>0</v>
      </c>
      <c r="G366" s="465">
        <f t="shared" ca="1" si="58"/>
        <v>0</v>
      </c>
      <c r="H366" s="465">
        <f t="shared" ca="1" si="59"/>
        <v>29</v>
      </c>
      <c r="I366" s="466">
        <f t="shared" ca="1" si="55"/>
        <v>-29</v>
      </c>
      <c r="J366" s="467"/>
      <c r="K366" s="467"/>
      <c r="L366" s="467"/>
    </row>
    <row r="367" spans="1:12">
      <c r="A367" s="463">
        <f t="shared" si="56"/>
        <v>350</v>
      </c>
      <c r="B367" s="464">
        <f t="shared" si="60"/>
        <v>10625</v>
      </c>
      <c r="C367" s="465">
        <f t="shared" ca="1" si="54"/>
        <v>29</v>
      </c>
      <c r="D367" s="463"/>
      <c r="E367" s="465">
        <f t="shared" ref="E367:E387" si="62">IF($D$10=1,IF(MONTH(B367)=MONTH($D$7),D366,0),IF(MONTH(B367)=MONTH(EDATE($D$7,11)),MIN(D355,H366),0))</f>
        <v>0</v>
      </c>
      <c r="F367" s="465">
        <f t="shared" ca="1" si="57"/>
        <v>0</v>
      </c>
      <c r="G367" s="465">
        <f t="shared" ca="1" si="58"/>
        <v>0</v>
      </c>
      <c r="H367" s="465">
        <f t="shared" ca="1" si="59"/>
        <v>29</v>
      </c>
      <c r="I367" s="466">
        <f t="shared" ca="1" si="55"/>
        <v>-29</v>
      </c>
      <c r="J367" s="467"/>
      <c r="K367" s="467"/>
      <c r="L367" s="467"/>
    </row>
    <row r="368" spans="1:12">
      <c r="A368" s="463">
        <f t="shared" si="56"/>
        <v>351</v>
      </c>
      <c r="B368" s="464">
        <f t="shared" si="60"/>
        <v>10653</v>
      </c>
      <c r="C368" s="465">
        <f t="shared" ca="1" si="54"/>
        <v>29</v>
      </c>
      <c r="D368" s="463"/>
      <c r="E368" s="465">
        <f t="shared" si="62"/>
        <v>0</v>
      </c>
      <c r="F368" s="465">
        <f t="shared" ca="1" si="57"/>
        <v>0</v>
      </c>
      <c r="G368" s="465">
        <f t="shared" ca="1" si="58"/>
        <v>0</v>
      </c>
      <c r="H368" s="465">
        <f t="shared" ca="1" si="59"/>
        <v>29</v>
      </c>
      <c r="I368" s="466">
        <f t="shared" ca="1" si="55"/>
        <v>-29</v>
      </c>
      <c r="J368" s="467"/>
      <c r="K368" s="467"/>
      <c r="L368" s="467"/>
    </row>
    <row r="369" spans="1:12">
      <c r="A369" s="463">
        <f t="shared" si="56"/>
        <v>352</v>
      </c>
      <c r="B369" s="464">
        <f t="shared" si="60"/>
        <v>10684</v>
      </c>
      <c r="C369" s="465">
        <f t="shared" ca="1" si="54"/>
        <v>29</v>
      </c>
      <c r="D369" s="463"/>
      <c r="E369" s="465">
        <f t="shared" si="62"/>
        <v>0</v>
      </c>
      <c r="F369" s="465">
        <f t="shared" ca="1" si="57"/>
        <v>0</v>
      </c>
      <c r="G369" s="465">
        <f t="shared" ca="1" si="58"/>
        <v>0</v>
      </c>
      <c r="H369" s="465">
        <f t="shared" ca="1" si="59"/>
        <v>29</v>
      </c>
      <c r="I369" s="466">
        <f t="shared" ca="1" si="55"/>
        <v>-29</v>
      </c>
      <c r="J369" s="467"/>
      <c r="K369" s="467"/>
      <c r="L369" s="467"/>
    </row>
    <row r="370" spans="1:12">
      <c r="A370" s="463">
        <f t="shared" si="56"/>
        <v>353</v>
      </c>
      <c r="B370" s="464">
        <f t="shared" si="60"/>
        <v>10714</v>
      </c>
      <c r="C370" s="465">
        <f t="shared" ca="1" si="54"/>
        <v>29</v>
      </c>
      <c r="D370" s="463"/>
      <c r="E370" s="465">
        <f t="shared" si="62"/>
        <v>0</v>
      </c>
      <c r="F370" s="465">
        <f t="shared" ca="1" si="57"/>
        <v>0</v>
      </c>
      <c r="G370" s="465">
        <f t="shared" ca="1" si="58"/>
        <v>0</v>
      </c>
      <c r="H370" s="465">
        <f t="shared" ca="1" si="59"/>
        <v>29</v>
      </c>
      <c r="I370" s="466">
        <f t="shared" ca="1" si="55"/>
        <v>-29</v>
      </c>
      <c r="J370" s="467"/>
      <c r="K370" s="467"/>
      <c r="L370" s="467"/>
    </row>
    <row r="371" spans="1:12">
      <c r="A371" s="463">
        <f t="shared" si="56"/>
        <v>354</v>
      </c>
      <c r="B371" s="464">
        <f t="shared" si="60"/>
        <v>10745</v>
      </c>
      <c r="C371" s="465">
        <f t="shared" ca="1" si="54"/>
        <v>29</v>
      </c>
      <c r="D371" s="463"/>
      <c r="E371" s="465">
        <f t="shared" si="62"/>
        <v>0</v>
      </c>
      <c r="F371" s="465">
        <f t="shared" ca="1" si="57"/>
        <v>0</v>
      </c>
      <c r="G371" s="465">
        <f t="shared" ca="1" si="58"/>
        <v>0</v>
      </c>
      <c r="H371" s="465">
        <f t="shared" ca="1" si="59"/>
        <v>29</v>
      </c>
      <c r="I371" s="466">
        <f t="shared" ca="1" si="55"/>
        <v>-29</v>
      </c>
      <c r="J371" s="467"/>
      <c r="K371" s="467"/>
      <c r="L371" s="467"/>
    </row>
    <row r="372" spans="1:12">
      <c r="A372" s="463">
        <f t="shared" si="56"/>
        <v>355</v>
      </c>
      <c r="B372" s="464">
        <f t="shared" si="60"/>
        <v>10775</v>
      </c>
      <c r="C372" s="465">
        <f t="shared" ca="1" si="54"/>
        <v>29</v>
      </c>
      <c r="D372" s="463"/>
      <c r="E372" s="465">
        <f t="shared" si="62"/>
        <v>0</v>
      </c>
      <c r="F372" s="465">
        <f t="shared" ca="1" si="57"/>
        <v>0</v>
      </c>
      <c r="G372" s="465">
        <f t="shared" ca="1" si="58"/>
        <v>0</v>
      </c>
      <c r="H372" s="465">
        <f t="shared" ca="1" si="59"/>
        <v>29</v>
      </c>
      <c r="I372" s="466">
        <f t="shared" ca="1" si="55"/>
        <v>-29</v>
      </c>
      <c r="J372" s="467"/>
      <c r="K372" s="467"/>
      <c r="L372" s="467"/>
    </row>
    <row r="373" spans="1:12">
      <c r="A373" s="463">
        <f t="shared" si="56"/>
        <v>356</v>
      </c>
      <c r="B373" s="464">
        <f t="shared" si="60"/>
        <v>10806</v>
      </c>
      <c r="C373" s="465">
        <f t="shared" ca="1" si="54"/>
        <v>29</v>
      </c>
      <c r="D373" s="463"/>
      <c r="E373" s="465">
        <f t="shared" si="62"/>
        <v>0</v>
      </c>
      <c r="F373" s="465">
        <f t="shared" ca="1" si="57"/>
        <v>0</v>
      </c>
      <c r="G373" s="465">
        <f t="shared" ca="1" si="58"/>
        <v>0</v>
      </c>
      <c r="H373" s="465">
        <f t="shared" ca="1" si="59"/>
        <v>29</v>
      </c>
      <c r="I373" s="466">
        <f t="shared" ca="1" si="55"/>
        <v>-29</v>
      </c>
      <c r="J373" s="467"/>
      <c r="K373" s="467"/>
      <c r="L373" s="467"/>
    </row>
    <row r="374" spans="1:12">
      <c r="A374" s="463">
        <f t="shared" si="56"/>
        <v>357</v>
      </c>
      <c r="B374" s="464">
        <f t="shared" si="60"/>
        <v>10837</v>
      </c>
      <c r="C374" s="465">
        <f t="shared" ca="1" si="54"/>
        <v>29</v>
      </c>
      <c r="D374" s="463"/>
      <c r="E374" s="465">
        <f t="shared" si="62"/>
        <v>0</v>
      </c>
      <c r="F374" s="465">
        <f t="shared" ca="1" si="57"/>
        <v>0</v>
      </c>
      <c r="G374" s="465">
        <f t="shared" ca="1" si="58"/>
        <v>0</v>
      </c>
      <c r="H374" s="465">
        <f t="shared" ca="1" si="59"/>
        <v>29</v>
      </c>
      <c r="I374" s="466">
        <f t="shared" ca="1" si="55"/>
        <v>-29</v>
      </c>
      <c r="J374" s="467"/>
      <c r="K374" s="467"/>
      <c r="L374" s="467"/>
    </row>
    <row r="375" spans="1:12">
      <c r="A375" s="463">
        <f t="shared" si="56"/>
        <v>358</v>
      </c>
      <c r="B375" s="464">
        <f t="shared" si="60"/>
        <v>10867</v>
      </c>
      <c r="C375" s="465">
        <f t="shared" ca="1" si="54"/>
        <v>29</v>
      </c>
      <c r="D375" s="463"/>
      <c r="E375" s="465">
        <f t="shared" si="62"/>
        <v>0</v>
      </c>
      <c r="F375" s="465">
        <f t="shared" ca="1" si="57"/>
        <v>0</v>
      </c>
      <c r="G375" s="465">
        <f t="shared" ca="1" si="58"/>
        <v>0</v>
      </c>
      <c r="H375" s="465">
        <f t="shared" ca="1" si="59"/>
        <v>29</v>
      </c>
      <c r="I375" s="466">
        <f t="shared" ca="1" si="55"/>
        <v>-29</v>
      </c>
      <c r="J375" s="467"/>
      <c r="K375" s="467"/>
      <c r="L375" s="467"/>
    </row>
    <row r="376" spans="1:12">
      <c r="A376" s="463">
        <f t="shared" si="56"/>
        <v>359</v>
      </c>
      <c r="B376" s="464">
        <f t="shared" si="60"/>
        <v>10898</v>
      </c>
      <c r="C376" s="465">
        <f t="shared" ca="1" si="54"/>
        <v>29</v>
      </c>
      <c r="D376" s="463"/>
      <c r="E376" s="465">
        <f>IF($D$10=1,IF(MONTH(B376)=MONTH($D$7),D375-'Sch3-Perf Period Cash Flow'!AB67,0),IF(MONTH(B376)=MONTH(EDATE($D$7,11)),IF(AND(H375&gt;D365,H375&lt;K101-L101), H375, MIN(D365,H375))-'Sch3-Perf Period Cash Flow'!AB67,0))</f>
        <v>0</v>
      </c>
      <c r="F376" s="465">
        <f t="shared" ca="1" si="57"/>
        <v>0</v>
      </c>
      <c r="G376" s="465">
        <f t="shared" ca="1" si="58"/>
        <v>0</v>
      </c>
      <c r="H376" s="465">
        <f t="shared" ca="1" si="59"/>
        <v>29</v>
      </c>
      <c r="I376" s="466">
        <f t="shared" ca="1" si="55"/>
        <v>-29</v>
      </c>
      <c r="J376" s="467"/>
      <c r="K376" s="467"/>
      <c r="L376" s="467"/>
    </row>
    <row r="377" spans="1:12">
      <c r="A377" s="463">
        <f t="shared" si="56"/>
        <v>360</v>
      </c>
      <c r="B377" s="464">
        <f t="shared" si="60"/>
        <v>10928</v>
      </c>
      <c r="C377" s="465">
        <f t="shared" ca="1" si="54"/>
        <v>29</v>
      </c>
      <c r="D377" s="465">
        <f ca="1">IF(H377&lt;0,0,IF((H376+G377)&lt;(K47-L47),H376+G377,K47-L47))</f>
        <v>0</v>
      </c>
      <c r="E377" s="465">
        <f ca="1">IF($D$10=1,IF(MONTH(B377)=MONTH($D$7),D376-'Sch3-Perf Period Cash Flow'!AG7,0),IF(MONTH(B377)=MONTH(EDATE($D$7,11)),MIN(D365,H376)-'Sch3-Perf Period Cash Flow'!AG7,0))</f>
        <v>-1</v>
      </c>
      <c r="F377" s="465">
        <f t="shared" ca="1" si="57"/>
        <v>-1</v>
      </c>
      <c r="G377" s="465">
        <f t="shared" ca="1" si="58"/>
        <v>0</v>
      </c>
      <c r="H377" s="465">
        <f t="shared" ca="1" si="59"/>
        <v>30</v>
      </c>
      <c r="I377" s="466">
        <f t="shared" ca="1" si="55"/>
        <v>-30</v>
      </c>
      <c r="J377" s="467"/>
      <c r="K377" s="467"/>
      <c r="L377" s="467"/>
    </row>
    <row r="378" spans="1:12">
      <c r="A378" s="463">
        <f t="shared" si="56"/>
        <v>361</v>
      </c>
      <c r="B378" s="464">
        <f t="shared" si="60"/>
        <v>10959</v>
      </c>
      <c r="C378" s="465">
        <f t="shared" ca="1" si="54"/>
        <v>30</v>
      </c>
      <c r="D378" s="463"/>
      <c r="E378" s="465">
        <f>IF($D$10=1,IF(MONTH(B378)=MONTH($D$7),D377-'Sch3-Perf Period Cash Flow'!AH7,0),IF(MONTH(B378)=MONTH(EDATE($D$7,11)),MIN(D366,H377)-'Sch3-Perf Period Cash Flow'!AH7,0))</f>
        <v>0</v>
      </c>
      <c r="F378" s="465">
        <f t="shared" ca="1" si="57"/>
        <v>0</v>
      </c>
      <c r="G378" s="465">
        <f t="shared" ca="1" si="58"/>
        <v>0</v>
      </c>
      <c r="H378" s="465">
        <f t="shared" ca="1" si="59"/>
        <v>30</v>
      </c>
      <c r="I378" s="466">
        <f t="shared" ca="1" si="55"/>
        <v>-30</v>
      </c>
      <c r="J378" s="467"/>
      <c r="K378" s="467"/>
      <c r="L378" s="467"/>
    </row>
    <row r="379" spans="1:12">
      <c r="A379" s="463">
        <f t="shared" si="56"/>
        <v>362</v>
      </c>
      <c r="B379" s="464">
        <f t="shared" si="60"/>
        <v>10990</v>
      </c>
      <c r="C379" s="465">
        <f t="shared" ca="1" si="54"/>
        <v>30</v>
      </c>
      <c r="D379" s="463"/>
      <c r="E379" s="465">
        <f t="shared" si="62"/>
        <v>0</v>
      </c>
      <c r="F379" s="465">
        <f t="shared" ca="1" si="57"/>
        <v>0</v>
      </c>
      <c r="G379" s="465">
        <f t="shared" ca="1" si="58"/>
        <v>0</v>
      </c>
      <c r="H379" s="465">
        <f t="shared" ca="1" si="59"/>
        <v>30</v>
      </c>
      <c r="I379" s="466">
        <f t="shared" ca="1" si="55"/>
        <v>-30</v>
      </c>
      <c r="J379" s="467"/>
      <c r="K379" s="467"/>
      <c r="L379" s="467"/>
    </row>
    <row r="380" spans="1:12">
      <c r="A380" s="463">
        <f t="shared" si="56"/>
        <v>363</v>
      </c>
      <c r="B380" s="464">
        <f t="shared" si="60"/>
        <v>11018</v>
      </c>
      <c r="C380" s="465">
        <f t="shared" ca="1" si="54"/>
        <v>30</v>
      </c>
      <c r="D380" s="463"/>
      <c r="E380" s="465">
        <f t="shared" si="62"/>
        <v>0</v>
      </c>
      <c r="F380" s="465">
        <f t="shared" ca="1" si="57"/>
        <v>0</v>
      </c>
      <c r="G380" s="465">
        <f t="shared" ca="1" si="58"/>
        <v>0</v>
      </c>
      <c r="H380" s="465">
        <f t="shared" ca="1" si="59"/>
        <v>30</v>
      </c>
      <c r="I380" s="466">
        <f t="shared" ca="1" si="55"/>
        <v>-30</v>
      </c>
      <c r="J380" s="467"/>
      <c r="K380" s="467"/>
      <c r="L380" s="467"/>
    </row>
    <row r="381" spans="1:12">
      <c r="A381" s="463">
        <f t="shared" si="56"/>
        <v>364</v>
      </c>
      <c r="B381" s="464">
        <f t="shared" si="60"/>
        <v>11049</v>
      </c>
      <c r="C381" s="465">
        <f t="shared" ca="1" si="54"/>
        <v>30</v>
      </c>
      <c r="D381" s="463"/>
      <c r="E381" s="465">
        <f t="shared" si="62"/>
        <v>0</v>
      </c>
      <c r="F381" s="465">
        <f t="shared" ca="1" si="57"/>
        <v>0</v>
      </c>
      <c r="G381" s="465">
        <f t="shared" ca="1" si="58"/>
        <v>0</v>
      </c>
      <c r="H381" s="465">
        <f t="shared" ca="1" si="59"/>
        <v>30</v>
      </c>
      <c r="I381" s="466">
        <f t="shared" ca="1" si="55"/>
        <v>-30</v>
      </c>
      <c r="J381" s="467"/>
      <c r="K381" s="467"/>
      <c r="L381" s="467"/>
    </row>
    <row r="382" spans="1:12">
      <c r="A382" s="463">
        <f t="shared" si="56"/>
        <v>365</v>
      </c>
      <c r="B382" s="464">
        <f t="shared" si="60"/>
        <v>11079</v>
      </c>
      <c r="C382" s="465">
        <f t="shared" ca="1" si="54"/>
        <v>30</v>
      </c>
      <c r="D382" s="463"/>
      <c r="E382" s="465">
        <f t="shared" si="62"/>
        <v>0</v>
      </c>
      <c r="F382" s="465">
        <f t="shared" ca="1" si="57"/>
        <v>0</v>
      </c>
      <c r="G382" s="465">
        <f t="shared" ca="1" si="58"/>
        <v>0</v>
      </c>
      <c r="H382" s="465">
        <f t="shared" ca="1" si="59"/>
        <v>30</v>
      </c>
      <c r="I382" s="466">
        <f t="shared" ca="1" si="55"/>
        <v>-30</v>
      </c>
      <c r="J382" s="467"/>
      <c r="K382" s="467"/>
      <c r="L382" s="467"/>
    </row>
    <row r="383" spans="1:12">
      <c r="A383" s="463">
        <f t="shared" si="56"/>
        <v>366</v>
      </c>
      <c r="B383" s="464">
        <f t="shared" si="60"/>
        <v>11110</v>
      </c>
      <c r="C383" s="465">
        <f t="shared" ca="1" si="54"/>
        <v>30</v>
      </c>
      <c r="D383" s="463"/>
      <c r="E383" s="465">
        <f t="shared" si="62"/>
        <v>0</v>
      </c>
      <c r="F383" s="465">
        <f t="shared" ca="1" si="57"/>
        <v>0</v>
      </c>
      <c r="G383" s="465">
        <f t="shared" ca="1" si="58"/>
        <v>0</v>
      </c>
      <c r="H383" s="465">
        <f t="shared" ca="1" si="59"/>
        <v>30</v>
      </c>
      <c r="I383" s="466">
        <f t="shared" ca="1" si="55"/>
        <v>-30</v>
      </c>
      <c r="J383" s="467"/>
      <c r="K383" s="467"/>
      <c r="L383" s="467"/>
    </row>
    <row r="384" spans="1:12">
      <c r="A384" s="463">
        <f t="shared" si="56"/>
        <v>367</v>
      </c>
      <c r="B384" s="464">
        <f t="shared" si="60"/>
        <v>11140</v>
      </c>
      <c r="C384" s="465">
        <f t="shared" ca="1" si="54"/>
        <v>30</v>
      </c>
      <c r="D384" s="463"/>
      <c r="E384" s="465">
        <f t="shared" si="62"/>
        <v>0</v>
      </c>
      <c r="F384" s="465">
        <f t="shared" ca="1" si="57"/>
        <v>0</v>
      </c>
      <c r="G384" s="465">
        <f t="shared" ca="1" si="58"/>
        <v>0</v>
      </c>
      <c r="H384" s="465">
        <f t="shared" ca="1" si="59"/>
        <v>30</v>
      </c>
      <c r="I384" s="466">
        <f t="shared" ca="1" si="55"/>
        <v>-30</v>
      </c>
      <c r="J384" s="467"/>
      <c r="K384" s="467"/>
      <c r="L384" s="467"/>
    </row>
    <row r="385" spans="1:12">
      <c r="A385" s="463">
        <f t="shared" si="56"/>
        <v>368</v>
      </c>
      <c r="B385" s="464">
        <f t="shared" si="60"/>
        <v>11171</v>
      </c>
      <c r="C385" s="465">
        <f t="shared" ca="1" si="54"/>
        <v>30</v>
      </c>
      <c r="D385" s="463"/>
      <c r="E385" s="465">
        <f t="shared" si="62"/>
        <v>0</v>
      </c>
      <c r="F385" s="465">
        <f t="shared" ca="1" si="57"/>
        <v>0</v>
      </c>
      <c r="G385" s="465">
        <f t="shared" ca="1" si="58"/>
        <v>0</v>
      </c>
      <c r="H385" s="465">
        <f t="shared" ca="1" si="59"/>
        <v>30</v>
      </c>
      <c r="I385" s="466">
        <f t="shared" ca="1" si="55"/>
        <v>-30</v>
      </c>
      <c r="J385" s="467"/>
      <c r="K385" s="467"/>
      <c r="L385" s="467"/>
    </row>
    <row r="386" spans="1:12">
      <c r="A386" s="463">
        <f t="shared" si="56"/>
        <v>369</v>
      </c>
      <c r="B386" s="464">
        <f t="shared" si="60"/>
        <v>11202</v>
      </c>
      <c r="C386" s="465">
        <f t="shared" ca="1" si="54"/>
        <v>30</v>
      </c>
      <c r="D386" s="463"/>
      <c r="E386" s="465">
        <f t="shared" si="62"/>
        <v>0</v>
      </c>
      <c r="F386" s="465">
        <f t="shared" ca="1" si="57"/>
        <v>0</v>
      </c>
      <c r="G386" s="465">
        <f t="shared" ca="1" si="58"/>
        <v>0</v>
      </c>
      <c r="H386" s="465">
        <f t="shared" ca="1" si="59"/>
        <v>30</v>
      </c>
      <c r="I386" s="466">
        <f t="shared" ca="1" si="55"/>
        <v>-30</v>
      </c>
      <c r="J386" s="467"/>
      <c r="K386" s="467"/>
      <c r="L386" s="467"/>
    </row>
    <row r="387" spans="1:12">
      <c r="A387" s="463">
        <f t="shared" si="56"/>
        <v>370</v>
      </c>
      <c r="B387" s="464">
        <f t="shared" si="60"/>
        <v>11232</v>
      </c>
      <c r="C387" s="465">
        <f t="shared" ca="1" si="54"/>
        <v>30</v>
      </c>
      <c r="D387" s="463"/>
      <c r="E387" s="465">
        <f t="shared" si="62"/>
        <v>0</v>
      </c>
      <c r="F387" s="465">
        <f t="shared" ca="1" si="57"/>
        <v>0</v>
      </c>
      <c r="G387" s="465">
        <f t="shared" ca="1" si="58"/>
        <v>0</v>
      </c>
      <c r="H387" s="465">
        <f t="shared" ca="1" si="59"/>
        <v>30</v>
      </c>
      <c r="I387" s="466">
        <f t="shared" ca="1" si="55"/>
        <v>-30</v>
      </c>
      <c r="J387" s="467"/>
      <c r="K387" s="467"/>
      <c r="L387" s="467"/>
    </row>
    <row r="388" spans="1:12">
      <c r="A388" s="463">
        <f t="shared" si="56"/>
        <v>371</v>
      </c>
      <c r="B388" s="464">
        <f t="shared" si="60"/>
        <v>11263</v>
      </c>
      <c r="C388" s="465">
        <f t="shared" ca="1" si="54"/>
        <v>30</v>
      </c>
      <c r="D388" s="463"/>
      <c r="E388" s="465">
        <f>IF($D$10=1,IF(MONTH(B388)=MONTH($D$7),D387-'Sch3-Perf Period Cash Flow'!AB79,0),IF(MONTH(B388)=MONTH(EDATE($D$7,11)),IF(AND(H387&gt;D377,H387&lt;K113-L113), H387, MIN(D377,H387))-'Sch3-Perf Period Cash Flow'!AB79,0))</f>
        <v>0</v>
      </c>
      <c r="F388" s="465">
        <f t="shared" ca="1" si="57"/>
        <v>0</v>
      </c>
      <c r="G388" s="465">
        <f t="shared" ca="1" si="58"/>
        <v>0</v>
      </c>
      <c r="H388" s="465">
        <f t="shared" ca="1" si="59"/>
        <v>30</v>
      </c>
      <c r="I388" s="466">
        <f t="shared" ca="1" si="55"/>
        <v>-30</v>
      </c>
      <c r="J388" s="467"/>
      <c r="K388" s="467"/>
      <c r="L388" s="467"/>
    </row>
    <row r="389" spans="1:12">
      <c r="A389" s="463">
        <f t="shared" si="56"/>
        <v>372</v>
      </c>
      <c r="B389" s="464">
        <f t="shared" si="60"/>
        <v>11293</v>
      </c>
      <c r="C389" s="465">
        <f t="shared" ca="1" si="54"/>
        <v>30</v>
      </c>
      <c r="D389" s="465">
        <f ca="1">IF(H389&lt;0,0,IF((H388+G389)&lt;(K48-L48),H388+G389,K48-L48))</f>
        <v>0</v>
      </c>
      <c r="E389" s="465">
        <f ca="1">IF($D$10=1,IF(MONTH(B389)=MONTH($D$7),D388-'Sch3-Perf Period Cash Flow'!AH7,0),IF(MONTH(B389)=MONTH(EDATE($D$7,11)),MIN(D377,H388)-'Sch3-Perf Period Cash Flow'!AH7,0))</f>
        <v>-1</v>
      </c>
      <c r="F389" s="465">
        <f t="shared" ca="1" si="57"/>
        <v>-1</v>
      </c>
      <c r="G389" s="465">
        <f t="shared" ca="1" si="58"/>
        <v>0</v>
      </c>
      <c r="H389" s="465">
        <f t="shared" ca="1" si="59"/>
        <v>31</v>
      </c>
      <c r="I389" s="466">
        <f t="shared" ca="1" si="55"/>
        <v>-31</v>
      </c>
      <c r="J389" s="467"/>
      <c r="K389" s="467"/>
      <c r="L389" s="467"/>
    </row>
    <row r="390" spans="1:12">
      <c r="A390" s="463">
        <f t="shared" si="56"/>
        <v>373</v>
      </c>
      <c r="B390" s="464">
        <f t="shared" si="60"/>
        <v>11324</v>
      </c>
      <c r="C390" s="465">
        <f t="shared" ca="1" si="54"/>
        <v>31</v>
      </c>
      <c r="D390" s="463"/>
      <c r="E390" s="465">
        <f>IF($D$10=1,IF(MONTH(B390)=MONTH($D$7),D389-'Sch3-Perf Period Cash Flow'!AI7,0),IF(MONTH(B390)=MONTH(EDATE($D$7,11)),MIN(D378,H389)-'Sch3-Perf Period Cash Flow'!AI7,0))</f>
        <v>0</v>
      </c>
      <c r="F390" s="465">
        <f t="shared" ca="1" si="57"/>
        <v>0</v>
      </c>
      <c r="G390" s="465">
        <f t="shared" ca="1" si="58"/>
        <v>0</v>
      </c>
      <c r="H390" s="465">
        <f t="shared" ca="1" si="59"/>
        <v>31</v>
      </c>
      <c r="I390" s="466">
        <f t="shared" ca="1" si="55"/>
        <v>-31</v>
      </c>
      <c r="J390" s="467"/>
      <c r="K390" s="467"/>
      <c r="L390" s="467"/>
    </row>
    <row r="391" spans="1:12">
      <c r="A391" s="463">
        <f t="shared" si="56"/>
        <v>374</v>
      </c>
      <c r="B391" s="464">
        <f t="shared" si="60"/>
        <v>11355</v>
      </c>
      <c r="C391" s="465">
        <f t="shared" ca="1" si="54"/>
        <v>31</v>
      </c>
      <c r="D391" s="463"/>
      <c r="E391" s="465">
        <f t="shared" ref="E391:E411" si="63">IF($D$10=1,IF(MONTH(B391)=MONTH($D$7),D390,0),IF(MONTH(B391)=MONTH(EDATE($D$7,11)),MIN(D379,H390),0))</f>
        <v>0</v>
      </c>
      <c r="F391" s="465">
        <f t="shared" ca="1" si="57"/>
        <v>0</v>
      </c>
      <c r="G391" s="465">
        <f t="shared" ca="1" si="58"/>
        <v>0</v>
      </c>
      <c r="H391" s="465">
        <f t="shared" ca="1" si="59"/>
        <v>31</v>
      </c>
      <c r="I391" s="466">
        <f t="shared" ca="1" si="55"/>
        <v>-31</v>
      </c>
      <c r="J391" s="467"/>
      <c r="K391" s="467"/>
      <c r="L391" s="467"/>
    </row>
    <row r="392" spans="1:12">
      <c r="A392" s="463">
        <f t="shared" si="56"/>
        <v>375</v>
      </c>
      <c r="B392" s="464">
        <f t="shared" si="60"/>
        <v>11383</v>
      </c>
      <c r="C392" s="465">
        <f t="shared" ca="1" si="54"/>
        <v>31</v>
      </c>
      <c r="D392" s="463"/>
      <c r="E392" s="465">
        <f t="shared" si="63"/>
        <v>0</v>
      </c>
      <c r="F392" s="465">
        <f t="shared" ca="1" si="57"/>
        <v>0</v>
      </c>
      <c r="G392" s="465">
        <f t="shared" ca="1" si="58"/>
        <v>0</v>
      </c>
      <c r="H392" s="465">
        <f t="shared" ca="1" si="59"/>
        <v>31</v>
      </c>
      <c r="I392" s="466">
        <f t="shared" ca="1" si="55"/>
        <v>-31</v>
      </c>
      <c r="J392" s="467"/>
      <c r="K392" s="467"/>
      <c r="L392" s="467"/>
    </row>
    <row r="393" spans="1:12">
      <c r="A393" s="463">
        <f t="shared" si="56"/>
        <v>376</v>
      </c>
      <c r="B393" s="464">
        <f t="shared" si="60"/>
        <v>11414</v>
      </c>
      <c r="C393" s="465">
        <f t="shared" ca="1" si="54"/>
        <v>31</v>
      </c>
      <c r="D393" s="463"/>
      <c r="E393" s="465">
        <f t="shared" si="63"/>
        <v>0</v>
      </c>
      <c r="F393" s="465">
        <f t="shared" ca="1" si="57"/>
        <v>0</v>
      </c>
      <c r="G393" s="465">
        <f t="shared" ca="1" si="58"/>
        <v>0</v>
      </c>
      <c r="H393" s="465">
        <f t="shared" ca="1" si="59"/>
        <v>31</v>
      </c>
      <c r="I393" s="466">
        <f t="shared" ca="1" si="55"/>
        <v>-31</v>
      </c>
      <c r="J393" s="467"/>
      <c r="K393" s="467"/>
      <c r="L393" s="467"/>
    </row>
    <row r="394" spans="1:12">
      <c r="A394" s="463">
        <f t="shared" si="56"/>
        <v>377</v>
      </c>
      <c r="B394" s="464">
        <f t="shared" si="60"/>
        <v>11444</v>
      </c>
      <c r="C394" s="465">
        <f t="shared" ca="1" si="54"/>
        <v>31</v>
      </c>
      <c r="D394" s="463"/>
      <c r="E394" s="465">
        <f t="shared" si="63"/>
        <v>0</v>
      </c>
      <c r="F394" s="465">
        <f t="shared" ca="1" si="57"/>
        <v>0</v>
      </c>
      <c r="G394" s="465">
        <f t="shared" ca="1" si="58"/>
        <v>0</v>
      </c>
      <c r="H394" s="465">
        <f t="shared" ca="1" si="59"/>
        <v>31</v>
      </c>
      <c r="I394" s="466">
        <f t="shared" ca="1" si="55"/>
        <v>-31</v>
      </c>
      <c r="J394" s="467"/>
      <c r="K394" s="467"/>
      <c r="L394" s="467"/>
    </row>
    <row r="395" spans="1:12">
      <c r="A395" s="463">
        <f t="shared" si="56"/>
        <v>378</v>
      </c>
      <c r="B395" s="464">
        <f t="shared" si="60"/>
        <v>11475</v>
      </c>
      <c r="C395" s="465">
        <f t="shared" ca="1" si="54"/>
        <v>31</v>
      </c>
      <c r="D395" s="463"/>
      <c r="E395" s="465">
        <f t="shared" si="63"/>
        <v>0</v>
      </c>
      <c r="F395" s="465">
        <f t="shared" ca="1" si="57"/>
        <v>0</v>
      </c>
      <c r="G395" s="465">
        <f t="shared" ca="1" si="58"/>
        <v>0</v>
      </c>
      <c r="H395" s="465">
        <f t="shared" ca="1" si="59"/>
        <v>31</v>
      </c>
      <c r="I395" s="466">
        <f t="shared" ca="1" si="55"/>
        <v>-31</v>
      </c>
      <c r="J395" s="467"/>
      <c r="K395" s="467"/>
      <c r="L395" s="467"/>
    </row>
    <row r="396" spans="1:12">
      <c r="A396" s="463">
        <f t="shared" si="56"/>
        <v>379</v>
      </c>
      <c r="B396" s="464">
        <f t="shared" si="60"/>
        <v>11505</v>
      </c>
      <c r="C396" s="465">
        <f t="shared" ca="1" si="54"/>
        <v>31</v>
      </c>
      <c r="D396" s="463"/>
      <c r="E396" s="465">
        <f t="shared" si="63"/>
        <v>0</v>
      </c>
      <c r="F396" s="465">
        <f t="shared" ca="1" si="57"/>
        <v>0</v>
      </c>
      <c r="G396" s="465">
        <f t="shared" ca="1" si="58"/>
        <v>0</v>
      </c>
      <c r="H396" s="465">
        <f t="shared" ca="1" si="59"/>
        <v>31</v>
      </c>
      <c r="I396" s="466">
        <f t="shared" ca="1" si="55"/>
        <v>-31</v>
      </c>
      <c r="J396" s="467"/>
      <c r="K396" s="467"/>
      <c r="L396" s="467"/>
    </row>
    <row r="397" spans="1:12">
      <c r="A397" s="463">
        <f t="shared" si="56"/>
        <v>380</v>
      </c>
      <c r="B397" s="464">
        <f t="shared" si="60"/>
        <v>11536</v>
      </c>
      <c r="C397" s="465">
        <f t="shared" ca="1" si="54"/>
        <v>31</v>
      </c>
      <c r="D397" s="463"/>
      <c r="E397" s="465">
        <f t="shared" si="63"/>
        <v>0</v>
      </c>
      <c r="F397" s="465">
        <f t="shared" ca="1" si="57"/>
        <v>0</v>
      </c>
      <c r="G397" s="465">
        <f t="shared" ca="1" si="58"/>
        <v>0</v>
      </c>
      <c r="H397" s="465">
        <f t="shared" ca="1" si="59"/>
        <v>31</v>
      </c>
      <c r="I397" s="466">
        <f t="shared" ca="1" si="55"/>
        <v>-31</v>
      </c>
      <c r="J397" s="467"/>
      <c r="K397" s="467"/>
      <c r="L397" s="467"/>
    </row>
    <row r="398" spans="1:12">
      <c r="A398" s="463">
        <f t="shared" si="56"/>
        <v>381</v>
      </c>
      <c r="B398" s="464">
        <f t="shared" si="60"/>
        <v>11567</v>
      </c>
      <c r="C398" s="465">
        <f t="shared" ca="1" si="54"/>
        <v>31</v>
      </c>
      <c r="D398" s="463"/>
      <c r="E398" s="465">
        <f t="shared" si="63"/>
        <v>0</v>
      </c>
      <c r="F398" s="465">
        <f t="shared" ca="1" si="57"/>
        <v>0</v>
      </c>
      <c r="G398" s="465">
        <f t="shared" ca="1" si="58"/>
        <v>0</v>
      </c>
      <c r="H398" s="465">
        <f t="shared" ca="1" si="59"/>
        <v>31</v>
      </c>
      <c r="I398" s="466">
        <f t="shared" ca="1" si="55"/>
        <v>-31</v>
      </c>
      <c r="J398" s="467"/>
      <c r="K398" s="467"/>
      <c r="L398" s="467"/>
    </row>
    <row r="399" spans="1:12">
      <c r="A399" s="463">
        <f t="shared" si="56"/>
        <v>382</v>
      </c>
      <c r="B399" s="464">
        <f t="shared" si="60"/>
        <v>11597</v>
      </c>
      <c r="C399" s="465">
        <f t="shared" ca="1" si="54"/>
        <v>31</v>
      </c>
      <c r="D399" s="463"/>
      <c r="E399" s="465">
        <f t="shared" si="63"/>
        <v>0</v>
      </c>
      <c r="F399" s="465">
        <f t="shared" ca="1" si="57"/>
        <v>0</v>
      </c>
      <c r="G399" s="465">
        <f t="shared" ca="1" si="58"/>
        <v>0</v>
      </c>
      <c r="H399" s="465">
        <f t="shared" ca="1" si="59"/>
        <v>31</v>
      </c>
      <c r="I399" s="466">
        <f t="shared" ca="1" si="55"/>
        <v>-31</v>
      </c>
      <c r="J399" s="467"/>
      <c r="K399" s="467"/>
      <c r="L399" s="467"/>
    </row>
    <row r="400" spans="1:12">
      <c r="A400" s="463">
        <f t="shared" si="56"/>
        <v>383</v>
      </c>
      <c r="B400" s="464">
        <f t="shared" si="60"/>
        <v>11628</v>
      </c>
      <c r="C400" s="465">
        <f t="shared" ref="C400:C463" ca="1" si="64">IF(H399=0,0,H399)</f>
        <v>31</v>
      </c>
      <c r="D400" s="463"/>
      <c r="E400" s="465">
        <f>IF($D$10=1,IF(MONTH(B400)=MONTH($D$7),D399-'Sch3-Perf Period Cash Flow'!AB91,0),IF(MONTH(B400)=MONTH(EDATE($D$7,11)),IF(AND(H399&gt;D389,H399&lt;K125-L125), H399, MIN(D389,H399))-'Sch3-Perf Period Cash Flow'!AB91,0))</f>
        <v>0</v>
      </c>
      <c r="F400" s="465">
        <f t="shared" ca="1" si="57"/>
        <v>0</v>
      </c>
      <c r="G400" s="465">
        <f t="shared" ca="1" si="58"/>
        <v>0</v>
      </c>
      <c r="H400" s="465">
        <f t="shared" ca="1" si="59"/>
        <v>31</v>
      </c>
      <c r="I400" s="466">
        <f t="shared" ca="1" si="55"/>
        <v>-31</v>
      </c>
      <c r="J400" s="467"/>
      <c r="K400" s="467"/>
      <c r="L400" s="467"/>
    </row>
    <row r="401" spans="1:12">
      <c r="A401" s="463">
        <f t="shared" si="56"/>
        <v>384</v>
      </c>
      <c r="B401" s="464">
        <f t="shared" si="60"/>
        <v>11658</v>
      </c>
      <c r="C401" s="465">
        <f t="shared" ca="1" si="64"/>
        <v>31</v>
      </c>
      <c r="D401" s="465">
        <f ca="1">IF(H401&lt;0,0,IF((H400+G401)&lt;(K49-L49),H400+G401,K49-L49))</f>
        <v>0</v>
      </c>
      <c r="E401" s="465">
        <f ca="1">IF($D$10=1,IF(MONTH(B401)=MONTH($D$7),D400-'Sch3-Perf Period Cash Flow'!AI7,0),IF(MONTH(B401)=MONTH(EDATE($D$7,11)),MIN(D389,H400)-'Sch3-Perf Period Cash Flow'!AI7,0))</f>
        <v>-1</v>
      </c>
      <c r="F401" s="465">
        <f t="shared" ca="1" si="57"/>
        <v>-1</v>
      </c>
      <c r="G401" s="465">
        <f t="shared" ca="1" si="58"/>
        <v>0</v>
      </c>
      <c r="H401" s="465">
        <f t="shared" ca="1" si="59"/>
        <v>32</v>
      </c>
      <c r="I401" s="466">
        <f t="shared" ca="1" si="55"/>
        <v>-32</v>
      </c>
      <c r="J401" s="467"/>
      <c r="K401" s="467"/>
      <c r="L401" s="467"/>
    </row>
    <row r="402" spans="1:12">
      <c r="A402" s="463">
        <f t="shared" si="56"/>
        <v>385</v>
      </c>
      <c r="B402" s="464">
        <f t="shared" si="60"/>
        <v>11689</v>
      </c>
      <c r="C402" s="465">
        <f t="shared" ca="1" si="64"/>
        <v>32</v>
      </c>
      <c r="D402" s="463"/>
      <c r="E402" s="465">
        <f>IF($D$10=1,IF(MONTH(B402)=MONTH($D$7),D401-'Sch3-Perf Period Cash Flow'!AJ7,0),IF(MONTH(B402)=MONTH(EDATE($D$7,11)),MIN(D390,H401)-'Sch3-Perf Period Cash Flow'!AJ7,0))</f>
        <v>0</v>
      </c>
      <c r="F402" s="465">
        <f t="shared" ca="1" si="57"/>
        <v>0</v>
      </c>
      <c r="G402" s="465">
        <f t="shared" ca="1" si="58"/>
        <v>0</v>
      </c>
      <c r="H402" s="465">
        <f t="shared" ca="1" si="59"/>
        <v>32</v>
      </c>
      <c r="I402" s="466">
        <f t="shared" ref="I402:I465" ca="1" si="65">ROUND((D402-H402),0)</f>
        <v>-32</v>
      </c>
      <c r="J402" s="467"/>
      <c r="K402" s="467"/>
      <c r="L402" s="467"/>
    </row>
    <row r="403" spans="1:12">
      <c r="A403" s="463">
        <f t="shared" ref="A403:A466" si="66">IF(A402="","",IF(A402=$D$6,"",A402+1))</f>
        <v>386</v>
      </c>
      <c r="B403" s="464">
        <f t="shared" si="60"/>
        <v>11720</v>
      </c>
      <c r="C403" s="465">
        <f t="shared" ca="1" si="64"/>
        <v>32</v>
      </c>
      <c r="D403" s="463"/>
      <c r="E403" s="465">
        <f t="shared" si="63"/>
        <v>0</v>
      </c>
      <c r="F403" s="465">
        <f t="shared" ref="F403:F466" ca="1" si="67">IF(E403="","",E403-G403)</f>
        <v>0</v>
      </c>
      <c r="G403" s="465">
        <f t="shared" ref="G403:G466" ca="1" si="68">ROUND((C403-E403)*$D$5,3)</f>
        <v>0</v>
      </c>
      <c r="H403" s="465">
        <f t="shared" ref="H403:H466" ca="1" si="69">IF(E403="","",ROUND(H402-F403,4))</f>
        <v>32</v>
      </c>
      <c r="I403" s="466">
        <f t="shared" ca="1" si="65"/>
        <v>-32</v>
      </c>
      <c r="J403" s="467"/>
      <c r="K403" s="467"/>
      <c r="L403" s="467"/>
    </row>
    <row r="404" spans="1:12">
      <c r="A404" s="463">
        <f t="shared" si="66"/>
        <v>387</v>
      </c>
      <c r="B404" s="464">
        <f t="shared" ref="B404:B467" si="70">DATE(YEAR(B403),MONTH(B403)+1,1)</f>
        <v>11749</v>
      </c>
      <c r="C404" s="465">
        <f t="shared" ca="1" si="64"/>
        <v>32</v>
      </c>
      <c r="D404" s="463"/>
      <c r="E404" s="465">
        <f t="shared" si="63"/>
        <v>0</v>
      </c>
      <c r="F404" s="465">
        <f t="shared" ca="1" si="67"/>
        <v>0</v>
      </c>
      <c r="G404" s="465">
        <f t="shared" ca="1" si="68"/>
        <v>0</v>
      </c>
      <c r="H404" s="465">
        <f t="shared" ca="1" si="69"/>
        <v>32</v>
      </c>
      <c r="I404" s="466">
        <f t="shared" ca="1" si="65"/>
        <v>-32</v>
      </c>
      <c r="J404" s="467"/>
      <c r="K404" s="467"/>
      <c r="L404" s="467"/>
    </row>
    <row r="405" spans="1:12">
      <c r="A405" s="463">
        <f t="shared" si="66"/>
        <v>388</v>
      </c>
      <c r="B405" s="464">
        <f t="shared" si="70"/>
        <v>11780</v>
      </c>
      <c r="C405" s="465">
        <f t="shared" ca="1" si="64"/>
        <v>32</v>
      </c>
      <c r="D405" s="463"/>
      <c r="E405" s="465">
        <f t="shared" si="63"/>
        <v>0</v>
      </c>
      <c r="F405" s="465">
        <f t="shared" ca="1" si="67"/>
        <v>0</v>
      </c>
      <c r="G405" s="465">
        <f t="shared" ca="1" si="68"/>
        <v>0</v>
      </c>
      <c r="H405" s="465">
        <f t="shared" ca="1" si="69"/>
        <v>32</v>
      </c>
      <c r="I405" s="466">
        <f t="shared" ca="1" si="65"/>
        <v>-32</v>
      </c>
      <c r="J405" s="467"/>
      <c r="K405" s="467"/>
      <c r="L405" s="467"/>
    </row>
    <row r="406" spans="1:12">
      <c r="A406" s="463">
        <f t="shared" si="66"/>
        <v>389</v>
      </c>
      <c r="B406" s="464">
        <f t="shared" si="70"/>
        <v>11810</v>
      </c>
      <c r="C406" s="465">
        <f t="shared" ca="1" si="64"/>
        <v>32</v>
      </c>
      <c r="D406" s="463"/>
      <c r="E406" s="465">
        <f t="shared" si="63"/>
        <v>0</v>
      </c>
      <c r="F406" s="465">
        <f t="shared" ca="1" si="67"/>
        <v>0</v>
      </c>
      <c r="G406" s="465">
        <f t="shared" ca="1" si="68"/>
        <v>0</v>
      </c>
      <c r="H406" s="465">
        <f t="shared" ca="1" si="69"/>
        <v>32</v>
      </c>
      <c r="I406" s="466">
        <f t="shared" ca="1" si="65"/>
        <v>-32</v>
      </c>
      <c r="J406" s="467"/>
      <c r="K406" s="467"/>
      <c r="L406" s="467"/>
    </row>
    <row r="407" spans="1:12">
      <c r="A407" s="463">
        <f t="shared" si="66"/>
        <v>390</v>
      </c>
      <c r="B407" s="464">
        <f t="shared" si="70"/>
        <v>11841</v>
      </c>
      <c r="C407" s="465">
        <f t="shared" ca="1" si="64"/>
        <v>32</v>
      </c>
      <c r="D407" s="463"/>
      <c r="E407" s="465">
        <f t="shared" si="63"/>
        <v>0</v>
      </c>
      <c r="F407" s="465">
        <f t="shared" ca="1" si="67"/>
        <v>0</v>
      </c>
      <c r="G407" s="465">
        <f t="shared" ca="1" si="68"/>
        <v>0</v>
      </c>
      <c r="H407" s="465">
        <f t="shared" ca="1" si="69"/>
        <v>32</v>
      </c>
      <c r="I407" s="466">
        <f t="shared" ca="1" si="65"/>
        <v>-32</v>
      </c>
      <c r="J407" s="467"/>
      <c r="K407" s="467"/>
      <c r="L407" s="467"/>
    </row>
    <row r="408" spans="1:12">
      <c r="A408" s="463">
        <f t="shared" si="66"/>
        <v>391</v>
      </c>
      <c r="B408" s="464">
        <f t="shared" si="70"/>
        <v>11871</v>
      </c>
      <c r="C408" s="465">
        <f t="shared" ca="1" si="64"/>
        <v>32</v>
      </c>
      <c r="D408" s="463"/>
      <c r="E408" s="465">
        <f t="shared" si="63"/>
        <v>0</v>
      </c>
      <c r="F408" s="465">
        <f t="shared" ca="1" si="67"/>
        <v>0</v>
      </c>
      <c r="G408" s="465">
        <f t="shared" ca="1" si="68"/>
        <v>0</v>
      </c>
      <c r="H408" s="465">
        <f t="shared" ca="1" si="69"/>
        <v>32</v>
      </c>
      <c r="I408" s="466">
        <f t="shared" ca="1" si="65"/>
        <v>-32</v>
      </c>
      <c r="J408" s="467"/>
      <c r="K408" s="467"/>
      <c r="L408" s="467"/>
    </row>
    <row r="409" spans="1:12">
      <c r="A409" s="463">
        <f t="shared" si="66"/>
        <v>392</v>
      </c>
      <c r="B409" s="464">
        <f t="shared" si="70"/>
        <v>11902</v>
      </c>
      <c r="C409" s="465">
        <f t="shared" ca="1" si="64"/>
        <v>32</v>
      </c>
      <c r="D409" s="463"/>
      <c r="E409" s="465">
        <f t="shared" si="63"/>
        <v>0</v>
      </c>
      <c r="F409" s="465">
        <f t="shared" ca="1" si="67"/>
        <v>0</v>
      </c>
      <c r="G409" s="465">
        <f t="shared" ca="1" si="68"/>
        <v>0</v>
      </c>
      <c r="H409" s="465">
        <f t="shared" ca="1" si="69"/>
        <v>32</v>
      </c>
      <c r="I409" s="466">
        <f t="shared" ca="1" si="65"/>
        <v>-32</v>
      </c>
      <c r="J409" s="467"/>
      <c r="K409" s="467"/>
      <c r="L409" s="467"/>
    </row>
    <row r="410" spans="1:12">
      <c r="A410" s="463">
        <f t="shared" si="66"/>
        <v>393</v>
      </c>
      <c r="B410" s="464">
        <f t="shared" si="70"/>
        <v>11933</v>
      </c>
      <c r="C410" s="465">
        <f t="shared" ca="1" si="64"/>
        <v>32</v>
      </c>
      <c r="D410" s="463"/>
      <c r="E410" s="465">
        <f t="shared" si="63"/>
        <v>0</v>
      </c>
      <c r="F410" s="465">
        <f t="shared" ca="1" si="67"/>
        <v>0</v>
      </c>
      <c r="G410" s="465">
        <f t="shared" ca="1" si="68"/>
        <v>0</v>
      </c>
      <c r="H410" s="465">
        <f t="shared" ca="1" si="69"/>
        <v>32</v>
      </c>
      <c r="I410" s="466">
        <f t="shared" ca="1" si="65"/>
        <v>-32</v>
      </c>
      <c r="J410" s="467"/>
      <c r="K410" s="467"/>
      <c r="L410" s="467"/>
    </row>
    <row r="411" spans="1:12">
      <c r="A411" s="463">
        <f t="shared" si="66"/>
        <v>394</v>
      </c>
      <c r="B411" s="464">
        <f t="shared" si="70"/>
        <v>11963</v>
      </c>
      <c r="C411" s="465">
        <f t="shared" ca="1" si="64"/>
        <v>32</v>
      </c>
      <c r="D411" s="463"/>
      <c r="E411" s="465">
        <f t="shared" si="63"/>
        <v>0</v>
      </c>
      <c r="F411" s="465">
        <f t="shared" ca="1" si="67"/>
        <v>0</v>
      </c>
      <c r="G411" s="465">
        <f t="shared" ca="1" si="68"/>
        <v>0</v>
      </c>
      <c r="H411" s="465">
        <f t="shared" ca="1" si="69"/>
        <v>32</v>
      </c>
      <c r="I411" s="466">
        <f t="shared" ca="1" si="65"/>
        <v>-32</v>
      </c>
      <c r="J411" s="467"/>
      <c r="K411" s="467"/>
      <c r="L411" s="467"/>
    </row>
    <row r="412" spans="1:12">
      <c r="A412" s="463">
        <f t="shared" si="66"/>
        <v>395</v>
      </c>
      <c r="B412" s="464">
        <f t="shared" si="70"/>
        <v>11994</v>
      </c>
      <c r="C412" s="465">
        <f t="shared" ca="1" si="64"/>
        <v>32</v>
      </c>
      <c r="D412" s="463"/>
      <c r="E412" s="465">
        <f>IF($D$10=1,IF(MONTH(B412)=MONTH($D$7),D411-'Sch3-Perf Period Cash Flow'!AB103,0),IF(MONTH(B412)=MONTH(EDATE($D$7,11)),IF(AND(H411&gt;D401,H411&lt;K137-L137), H411, MIN(D401,H411))-'Sch3-Perf Period Cash Flow'!AB103,0))</f>
        <v>0</v>
      </c>
      <c r="F412" s="465">
        <f t="shared" ca="1" si="67"/>
        <v>0</v>
      </c>
      <c r="G412" s="465">
        <f t="shared" ca="1" si="68"/>
        <v>0</v>
      </c>
      <c r="H412" s="465">
        <f t="shared" ca="1" si="69"/>
        <v>32</v>
      </c>
      <c r="I412" s="466">
        <f t="shared" ca="1" si="65"/>
        <v>-32</v>
      </c>
      <c r="J412" s="467"/>
      <c r="K412" s="467"/>
      <c r="L412" s="467"/>
    </row>
    <row r="413" spans="1:12">
      <c r="A413" s="463">
        <f t="shared" si="66"/>
        <v>396</v>
      </c>
      <c r="B413" s="464">
        <f t="shared" si="70"/>
        <v>12024</v>
      </c>
      <c r="C413" s="465">
        <f t="shared" ca="1" si="64"/>
        <v>32</v>
      </c>
      <c r="D413" s="465">
        <f ca="1">IF(H413&lt;0,0,IF((H412+G413)&lt;(K50-L50),H412+G413,K50-L50))</f>
        <v>0</v>
      </c>
      <c r="E413" s="465">
        <f ca="1">IF($D$10=1,IF(MONTH(B413)=MONTH($D$7),D412-'Sch3-Perf Period Cash Flow'!AJ7,0),IF(MONTH(B413)=MONTH(EDATE($D$7,11)),MIN(D401,H412)-'Sch3-Perf Period Cash Flow'!AJ7,0))</f>
        <v>-1</v>
      </c>
      <c r="F413" s="465">
        <f t="shared" ca="1" si="67"/>
        <v>-1</v>
      </c>
      <c r="G413" s="465">
        <f t="shared" ca="1" si="68"/>
        <v>0</v>
      </c>
      <c r="H413" s="465">
        <f t="shared" ca="1" si="69"/>
        <v>33</v>
      </c>
      <c r="I413" s="466">
        <f t="shared" ca="1" si="65"/>
        <v>-33</v>
      </c>
      <c r="J413" s="467"/>
      <c r="K413" s="467"/>
      <c r="L413" s="467"/>
    </row>
    <row r="414" spans="1:12">
      <c r="A414" s="463">
        <f t="shared" si="66"/>
        <v>397</v>
      </c>
      <c r="B414" s="464">
        <f t="shared" si="70"/>
        <v>12055</v>
      </c>
      <c r="C414" s="465">
        <f t="shared" ca="1" si="64"/>
        <v>33</v>
      </c>
      <c r="D414" s="463"/>
      <c r="E414" s="465">
        <f>IF($D$10=1,IF(MONTH(B414)=MONTH($D$7),D413-'Sch3-Perf Period Cash Flow'!AK7,0),IF(MONTH(B414)=MONTH(EDATE($D$7,11)),MIN(D402,H413)-'Sch3-Perf Period Cash Flow'!AK7,0))</f>
        <v>0</v>
      </c>
      <c r="F414" s="465">
        <f t="shared" ca="1" si="67"/>
        <v>0</v>
      </c>
      <c r="G414" s="465">
        <f t="shared" ca="1" si="68"/>
        <v>0</v>
      </c>
      <c r="H414" s="465">
        <f t="shared" ca="1" si="69"/>
        <v>33</v>
      </c>
      <c r="I414" s="466">
        <f t="shared" ca="1" si="65"/>
        <v>-33</v>
      </c>
      <c r="J414" s="467"/>
      <c r="K414" s="467"/>
      <c r="L414" s="467"/>
    </row>
    <row r="415" spans="1:12">
      <c r="A415" s="463">
        <f t="shared" si="66"/>
        <v>398</v>
      </c>
      <c r="B415" s="464">
        <f t="shared" si="70"/>
        <v>12086</v>
      </c>
      <c r="C415" s="465">
        <f t="shared" ca="1" si="64"/>
        <v>33</v>
      </c>
      <c r="D415" s="463"/>
      <c r="E415" s="465">
        <f t="shared" ref="E415:E435" si="71">IF($D$10=1,IF(MONTH(B415)=MONTH($D$7),D414,0),IF(MONTH(B415)=MONTH(EDATE($D$7,11)),MIN(D403,H414),0))</f>
        <v>0</v>
      </c>
      <c r="F415" s="465">
        <f t="shared" ca="1" si="67"/>
        <v>0</v>
      </c>
      <c r="G415" s="465">
        <f t="shared" ca="1" si="68"/>
        <v>0</v>
      </c>
      <c r="H415" s="465">
        <f t="shared" ca="1" si="69"/>
        <v>33</v>
      </c>
      <c r="I415" s="466">
        <f t="shared" ca="1" si="65"/>
        <v>-33</v>
      </c>
      <c r="J415" s="467"/>
      <c r="K415" s="467"/>
      <c r="L415" s="467"/>
    </row>
    <row r="416" spans="1:12">
      <c r="A416" s="463">
        <f t="shared" si="66"/>
        <v>399</v>
      </c>
      <c r="B416" s="464">
        <f t="shared" si="70"/>
        <v>12114</v>
      </c>
      <c r="C416" s="465">
        <f t="shared" ca="1" si="64"/>
        <v>33</v>
      </c>
      <c r="D416" s="463"/>
      <c r="E416" s="465">
        <f t="shared" si="71"/>
        <v>0</v>
      </c>
      <c r="F416" s="465">
        <f t="shared" ca="1" si="67"/>
        <v>0</v>
      </c>
      <c r="G416" s="465">
        <f t="shared" ca="1" si="68"/>
        <v>0</v>
      </c>
      <c r="H416" s="465">
        <f t="shared" ca="1" si="69"/>
        <v>33</v>
      </c>
      <c r="I416" s="466">
        <f t="shared" ca="1" si="65"/>
        <v>-33</v>
      </c>
      <c r="J416" s="467"/>
      <c r="K416" s="467"/>
      <c r="L416" s="467"/>
    </row>
    <row r="417" spans="1:12">
      <c r="A417" s="463">
        <f t="shared" si="66"/>
        <v>400</v>
      </c>
      <c r="B417" s="464">
        <f t="shared" si="70"/>
        <v>12145</v>
      </c>
      <c r="C417" s="465">
        <f t="shared" ca="1" si="64"/>
        <v>33</v>
      </c>
      <c r="D417" s="463"/>
      <c r="E417" s="465">
        <f t="shared" si="71"/>
        <v>0</v>
      </c>
      <c r="F417" s="465">
        <f t="shared" ca="1" si="67"/>
        <v>0</v>
      </c>
      <c r="G417" s="465">
        <f t="shared" ca="1" si="68"/>
        <v>0</v>
      </c>
      <c r="H417" s="465">
        <f t="shared" ca="1" si="69"/>
        <v>33</v>
      </c>
      <c r="I417" s="466">
        <f t="shared" ca="1" si="65"/>
        <v>-33</v>
      </c>
      <c r="J417" s="467"/>
      <c r="K417" s="467"/>
      <c r="L417" s="467"/>
    </row>
    <row r="418" spans="1:12">
      <c r="A418" s="463">
        <f t="shared" si="66"/>
        <v>401</v>
      </c>
      <c r="B418" s="464">
        <f t="shared" si="70"/>
        <v>12175</v>
      </c>
      <c r="C418" s="465">
        <f t="shared" ca="1" si="64"/>
        <v>33</v>
      </c>
      <c r="D418" s="463"/>
      <c r="E418" s="465">
        <f t="shared" si="71"/>
        <v>0</v>
      </c>
      <c r="F418" s="465">
        <f t="shared" ca="1" si="67"/>
        <v>0</v>
      </c>
      <c r="G418" s="465">
        <f t="shared" ca="1" si="68"/>
        <v>0</v>
      </c>
      <c r="H418" s="465">
        <f t="shared" ca="1" si="69"/>
        <v>33</v>
      </c>
      <c r="I418" s="466">
        <f t="shared" ca="1" si="65"/>
        <v>-33</v>
      </c>
      <c r="J418" s="467"/>
      <c r="K418" s="467"/>
      <c r="L418" s="467"/>
    </row>
    <row r="419" spans="1:12">
      <c r="A419" s="463">
        <f t="shared" si="66"/>
        <v>402</v>
      </c>
      <c r="B419" s="464">
        <f t="shared" si="70"/>
        <v>12206</v>
      </c>
      <c r="C419" s="465">
        <f t="shared" ca="1" si="64"/>
        <v>33</v>
      </c>
      <c r="D419" s="463"/>
      <c r="E419" s="465">
        <f t="shared" si="71"/>
        <v>0</v>
      </c>
      <c r="F419" s="465">
        <f t="shared" ca="1" si="67"/>
        <v>0</v>
      </c>
      <c r="G419" s="465">
        <f t="shared" ca="1" si="68"/>
        <v>0</v>
      </c>
      <c r="H419" s="465">
        <f t="shared" ca="1" si="69"/>
        <v>33</v>
      </c>
      <c r="I419" s="466">
        <f t="shared" ca="1" si="65"/>
        <v>-33</v>
      </c>
      <c r="J419" s="467"/>
      <c r="K419" s="467"/>
      <c r="L419" s="467"/>
    </row>
    <row r="420" spans="1:12">
      <c r="A420" s="463">
        <f t="shared" si="66"/>
        <v>403</v>
      </c>
      <c r="B420" s="464">
        <f t="shared" si="70"/>
        <v>12236</v>
      </c>
      <c r="C420" s="465">
        <f t="shared" ca="1" si="64"/>
        <v>33</v>
      </c>
      <c r="D420" s="463"/>
      <c r="E420" s="465">
        <f t="shared" si="71"/>
        <v>0</v>
      </c>
      <c r="F420" s="465">
        <f t="shared" ca="1" si="67"/>
        <v>0</v>
      </c>
      <c r="G420" s="465">
        <f t="shared" ca="1" si="68"/>
        <v>0</v>
      </c>
      <c r="H420" s="465">
        <f t="shared" ca="1" si="69"/>
        <v>33</v>
      </c>
      <c r="I420" s="466">
        <f t="shared" ca="1" si="65"/>
        <v>-33</v>
      </c>
      <c r="J420" s="467"/>
      <c r="K420" s="467"/>
      <c r="L420" s="467"/>
    </row>
    <row r="421" spans="1:12">
      <c r="A421" s="463">
        <f t="shared" si="66"/>
        <v>404</v>
      </c>
      <c r="B421" s="464">
        <f t="shared" si="70"/>
        <v>12267</v>
      </c>
      <c r="C421" s="465">
        <f t="shared" ca="1" si="64"/>
        <v>33</v>
      </c>
      <c r="D421" s="463"/>
      <c r="E421" s="465">
        <f t="shared" si="71"/>
        <v>0</v>
      </c>
      <c r="F421" s="465">
        <f t="shared" ca="1" si="67"/>
        <v>0</v>
      </c>
      <c r="G421" s="465">
        <f t="shared" ca="1" si="68"/>
        <v>0</v>
      </c>
      <c r="H421" s="465">
        <f t="shared" ca="1" si="69"/>
        <v>33</v>
      </c>
      <c r="I421" s="466">
        <f t="shared" ca="1" si="65"/>
        <v>-33</v>
      </c>
      <c r="J421" s="467"/>
      <c r="K421" s="467"/>
      <c r="L421" s="467"/>
    </row>
    <row r="422" spans="1:12">
      <c r="A422" s="463">
        <f t="shared" si="66"/>
        <v>405</v>
      </c>
      <c r="B422" s="464">
        <f t="shared" si="70"/>
        <v>12298</v>
      </c>
      <c r="C422" s="465">
        <f t="shared" ca="1" si="64"/>
        <v>33</v>
      </c>
      <c r="D422" s="463"/>
      <c r="E422" s="465">
        <f t="shared" si="71"/>
        <v>0</v>
      </c>
      <c r="F422" s="465">
        <f t="shared" ca="1" si="67"/>
        <v>0</v>
      </c>
      <c r="G422" s="465">
        <f t="shared" ca="1" si="68"/>
        <v>0</v>
      </c>
      <c r="H422" s="465">
        <f t="shared" ca="1" si="69"/>
        <v>33</v>
      </c>
      <c r="I422" s="466">
        <f t="shared" ca="1" si="65"/>
        <v>-33</v>
      </c>
      <c r="J422" s="467"/>
      <c r="K422" s="467"/>
      <c r="L422" s="467"/>
    </row>
    <row r="423" spans="1:12">
      <c r="A423" s="463">
        <f t="shared" si="66"/>
        <v>406</v>
      </c>
      <c r="B423" s="464">
        <f t="shared" si="70"/>
        <v>12328</v>
      </c>
      <c r="C423" s="465">
        <f t="shared" ca="1" si="64"/>
        <v>33</v>
      </c>
      <c r="D423" s="463"/>
      <c r="E423" s="465">
        <f t="shared" si="71"/>
        <v>0</v>
      </c>
      <c r="F423" s="465">
        <f t="shared" ca="1" si="67"/>
        <v>0</v>
      </c>
      <c r="G423" s="465">
        <f t="shared" ca="1" si="68"/>
        <v>0</v>
      </c>
      <c r="H423" s="465">
        <f t="shared" ca="1" si="69"/>
        <v>33</v>
      </c>
      <c r="I423" s="466">
        <f t="shared" ca="1" si="65"/>
        <v>-33</v>
      </c>
      <c r="J423" s="467"/>
      <c r="K423" s="467"/>
      <c r="L423" s="467"/>
    </row>
    <row r="424" spans="1:12">
      <c r="A424" s="463">
        <f t="shared" si="66"/>
        <v>407</v>
      </c>
      <c r="B424" s="464">
        <f t="shared" si="70"/>
        <v>12359</v>
      </c>
      <c r="C424" s="465">
        <f t="shared" ca="1" si="64"/>
        <v>33</v>
      </c>
      <c r="D424" s="463"/>
      <c r="E424" s="465">
        <f>IF($D$10=1,IF(MONTH(B424)=MONTH($D$7),D423-'Sch3-Perf Period Cash Flow'!AB115,0),IF(MONTH(B424)=MONTH(EDATE($D$7,11)),IF(AND(H423&gt;D413,H423&lt;K149-L149), H423, MIN(D413,H423))-'Sch3-Perf Period Cash Flow'!AB115,0))</f>
        <v>0</v>
      </c>
      <c r="F424" s="465">
        <f t="shared" ca="1" si="67"/>
        <v>0</v>
      </c>
      <c r="G424" s="465">
        <f t="shared" ca="1" si="68"/>
        <v>0</v>
      </c>
      <c r="H424" s="465">
        <f t="shared" ca="1" si="69"/>
        <v>33</v>
      </c>
      <c r="I424" s="466">
        <f t="shared" ca="1" si="65"/>
        <v>-33</v>
      </c>
      <c r="J424" s="467"/>
      <c r="K424" s="467"/>
      <c r="L424" s="467"/>
    </row>
    <row r="425" spans="1:12">
      <c r="A425" s="463">
        <f t="shared" si="66"/>
        <v>408</v>
      </c>
      <c r="B425" s="464">
        <f t="shared" si="70"/>
        <v>12389</v>
      </c>
      <c r="C425" s="465">
        <f t="shared" ca="1" si="64"/>
        <v>33</v>
      </c>
      <c r="D425" s="465">
        <f ca="1">IF(H425&lt;0,0,IF((H424+G425)&lt;(K51-L51),H424+G425,K51-L51))</f>
        <v>0</v>
      </c>
      <c r="E425" s="465">
        <f ca="1">IF($D$10=1,IF(MONTH(B425)=MONTH($D$7),D424-'Sch3-Perf Period Cash Flow'!AK7,0),IF(MONTH(B425)=MONTH(EDATE($D$7,11)),MIN(D413,H424)-'Sch3-Perf Period Cash Flow'!AK7,0))</f>
        <v>-1</v>
      </c>
      <c r="F425" s="465">
        <f t="shared" ca="1" si="67"/>
        <v>-1</v>
      </c>
      <c r="G425" s="465">
        <f t="shared" ca="1" si="68"/>
        <v>0</v>
      </c>
      <c r="H425" s="465">
        <f t="shared" ca="1" si="69"/>
        <v>34</v>
      </c>
      <c r="I425" s="466">
        <f t="shared" ca="1" si="65"/>
        <v>-34</v>
      </c>
      <c r="J425" s="467"/>
      <c r="K425" s="467"/>
      <c r="L425" s="467"/>
    </row>
    <row r="426" spans="1:12">
      <c r="A426" s="463">
        <f t="shared" si="66"/>
        <v>409</v>
      </c>
      <c r="B426" s="464">
        <f t="shared" si="70"/>
        <v>12420</v>
      </c>
      <c r="C426" s="465">
        <f t="shared" ca="1" si="64"/>
        <v>34</v>
      </c>
      <c r="D426" s="463"/>
      <c r="E426" s="465">
        <f>IF($D$10=1,IF(MONTH(B426)=MONTH($D$7),D425-'Sch3-Perf Period Cash Flow'!AL7,0),IF(MONTH(B426)=MONTH(EDATE($D$7,11)),MIN(D414,H425)-'Sch3-Perf Period Cash Flow'!AL7,0))</f>
        <v>0</v>
      </c>
      <c r="F426" s="465">
        <f t="shared" ca="1" si="67"/>
        <v>0</v>
      </c>
      <c r="G426" s="465">
        <f t="shared" ca="1" si="68"/>
        <v>0</v>
      </c>
      <c r="H426" s="465">
        <f t="shared" ca="1" si="69"/>
        <v>34</v>
      </c>
      <c r="I426" s="466">
        <f t="shared" ca="1" si="65"/>
        <v>-34</v>
      </c>
      <c r="J426" s="467"/>
      <c r="K426" s="467"/>
      <c r="L426" s="467"/>
    </row>
    <row r="427" spans="1:12">
      <c r="A427" s="463">
        <f t="shared" si="66"/>
        <v>410</v>
      </c>
      <c r="B427" s="464">
        <f t="shared" si="70"/>
        <v>12451</v>
      </c>
      <c r="C427" s="465">
        <f t="shared" ca="1" si="64"/>
        <v>34</v>
      </c>
      <c r="D427" s="463"/>
      <c r="E427" s="465">
        <f t="shared" si="71"/>
        <v>0</v>
      </c>
      <c r="F427" s="465">
        <f t="shared" ca="1" si="67"/>
        <v>0</v>
      </c>
      <c r="G427" s="465">
        <f t="shared" ca="1" si="68"/>
        <v>0</v>
      </c>
      <c r="H427" s="465">
        <f t="shared" ca="1" si="69"/>
        <v>34</v>
      </c>
      <c r="I427" s="466">
        <f t="shared" ca="1" si="65"/>
        <v>-34</v>
      </c>
      <c r="J427" s="467"/>
      <c r="K427" s="467"/>
      <c r="L427" s="467"/>
    </row>
    <row r="428" spans="1:12">
      <c r="A428" s="463">
        <f t="shared" si="66"/>
        <v>411</v>
      </c>
      <c r="B428" s="464">
        <f t="shared" si="70"/>
        <v>12479</v>
      </c>
      <c r="C428" s="465">
        <f t="shared" ca="1" si="64"/>
        <v>34</v>
      </c>
      <c r="D428" s="463"/>
      <c r="E428" s="465">
        <f t="shared" si="71"/>
        <v>0</v>
      </c>
      <c r="F428" s="465">
        <f t="shared" ca="1" si="67"/>
        <v>0</v>
      </c>
      <c r="G428" s="465">
        <f t="shared" ca="1" si="68"/>
        <v>0</v>
      </c>
      <c r="H428" s="465">
        <f t="shared" ca="1" si="69"/>
        <v>34</v>
      </c>
      <c r="I428" s="466">
        <f t="shared" ca="1" si="65"/>
        <v>-34</v>
      </c>
      <c r="J428" s="467"/>
      <c r="K428" s="467"/>
      <c r="L428" s="467"/>
    </row>
    <row r="429" spans="1:12">
      <c r="A429" s="463">
        <f t="shared" si="66"/>
        <v>412</v>
      </c>
      <c r="B429" s="464">
        <f t="shared" si="70"/>
        <v>12510</v>
      </c>
      <c r="C429" s="465">
        <f t="shared" ca="1" si="64"/>
        <v>34</v>
      </c>
      <c r="D429" s="463"/>
      <c r="E429" s="465">
        <f t="shared" si="71"/>
        <v>0</v>
      </c>
      <c r="F429" s="465">
        <f t="shared" ca="1" si="67"/>
        <v>0</v>
      </c>
      <c r="G429" s="465">
        <f t="shared" ca="1" si="68"/>
        <v>0</v>
      </c>
      <c r="H429" s="465">
        <f t="shared" ca="1" si="69"/>
        <v>34</v>
      </c>
      <c r="I429" s="466">
        <f t="shared" ca="1" si="65"/>
        <v>-34</v>
      </c>
      <c r="J429" s="467"/>
      <c r="K429" s="467"/>
      <c r="L429" s="467"/>
    </row>
    <row r="430" spans="1:12">
      <c r="A430" s="463">
        <f t="shared" si="66"/>
        <v>413</v>
      </c>
      <c r="B430" s="464">
        <f t="shared" si="70"/>
        <v>12540</v>
      </c>
      <c r="C430" s="465">
        <f t="shared" ca="1" si="64"/>
        <v>34</v>
      </c>
      <c r="D430" s="463"/>
      <c r="E430" s="465">
        <f t="shared" si="71"/>
        <v>0</v>
      </c>
      <c r="F430" s="465">
        <f t="shared" ca="1" si="67"/>
        <v>0</v>
      </c>
      <c r="G430" s="465">
        <f t="shared" ca="1" si="68"/>
        <v>0</v>
      </c>
      <c r="H430" s="465">
        <f t="shared" ca="1" si="69"/>
        <v>34</v>
      </c>
      <c r="I430" s="466">
        <f t="shared" ca="1" si="65"/>
        <v>-34</v>
      </c>
      <c r="J430" s="467"/>
      <c r="K430" s="467"/>
      <c r="L430" s="467"/>
    </row>
    <row r="431" spans="1:12">
      <c r="A431" s="463">
        <f t="shared" si="66"/>
        <v>414</v>
      </c>
      <c r="B431" s="464">
        <f t="shared" si="70"/>
        <v>12571</v>
      </c>
      <c r="C431" s="465">
        <f t="shared" ca="1" si="64"/>
        <v>34</v>
      </c>
      <c r="D431" s="463"/>
      <c r="E431" s="465">
        <f t="shared" si="71"/>
        <v>0</v>
      </c>
      <c r="F431" s="465">
        <f t="shared" ca="1" si="67"/>
        <v>0</v>
      </c>
      <c r="G431" s="465">
        <f t="shared" ca="1" si="68"/>
        <v>0</v>
      </c>
      <c r="H431" s="465">
        <f t="shared" ca="1" si="69"/>
        <v>34</v>
      </c>
      <c r="I431" s="466">
        <f t="shared" ca="1" si="65"/>
        <v>-34</v>
      </c>
      <c r="J431" s="467"/>
      <c r="K431" s="467"/>
      <c r="L431" s="467"/>
    </row>
    <row r="432" spans="1:12">
      <c r="A432" s="463">
        <f t="shared" si="66"/>
        <v>415</v>
      </c>
      <c r="B432" s="464">
        <f t="shared" si="70"/>
        <v>12601</v>
      </c>
      <c r="C432" s="465">
        <f t="shared" ca="1" si="64"/>
        <v>34</v>
      </c>
      <c r="D432" s="463"/>
      <c r="E432" s="465">
        <f t="shared" si="71"/>
        <v>0</v>
      </c>
      <c r="F432" s="465">
        <f t="shared" ca="1" si="67"/>
        <v>0</v>
      </c>
      <c r="G432" s="465">
        <f t="shared" ca="1" si="68"/>
        <v>0</v>
      </c>
      <c r="H432" s="465">
        <f t="shared" ca="1" si="69"/>
        <v>34</v>
      </c>
      <c r="I432" s="466">
        <f t="shared" ca="1" si="65"/>
        <v>-34</v>
      </c>
      <c r="J432" s="467"/>
      <c r="K432" s="467"/>
      <c r="L432" s="467"/>
    </row>
    <row r="433" spans="1:12">
      <c r="A433" s="463">
        <f t="shared" si="66"/>
        <v>416</v>
      </c>
      <c r="B433" s="464">
        <f t="shared" si="70"/>
        <v>12632</v>
      </c>
      <c r="C433" s="465">
        <f t="shared" ca="1" si="64"/>
        <v>34</v>
      </c>
      <c r="D433" s="463"/>
      <c r="E433" s="465">
        <f t="shared" si="71"/>
        <v>0</v>
      </c>
      <c r="F433" s="465">
        <f t="shared" ca="1" si="67"/>
        <v>0</v>
      </c>
      <c r="G433" s="465">
        <f t="shared" ca="1" si="68"/>
        <v>0</v>
      </c>
      <c r="H433" s="465">
        <f t="shared" ca="1" si="69"/>
        <v>34</v>
      </c>
      <c r="I433" s="466">
        <f t="shared" ca="1" si="65"/>
        <v>-34</v>
      </c>
      <c r="J433" s="467"/>
      <c r="K433" s="467"/>
      <c r="L433" s="467"/>
    </row>
    <row r="434" spans="1:12">
      <c r="A434" s="463">
        <f t="shared" si="66"/>
        <v>417</v>
      </c>
      <c r="B434" s="464">
        <f t="shared" si="70"/>
        <v>12663</v>
      </c>
      <c r="C434" s="465">
        <f t="shared" ca="1" si="64"/>
        <v>34</v>
      </c>
      <c r="D434" s="463"/>
      <c r="E434" s="465">
        <f t="shared" si="71"/>
        <v>0</v>
      </c>
      <c r="F434" s="465">
        <f t="shared" ca="1" si="67"/>
        <v>0</v>
      </c>
      <c r="G434" s="465">
        <f t="shared" ca="1" si="68"/>
        <v>0</v>
      </c>
      <c r="H434" s="465">
        <f t="shared" ca="1" si="69"/>
        <v>34</v>
      </c>
      <c r="I434" s="466">
        <f t="shared" ca="1" si="65"/>
        <v>-34</v>
      </c>
      <c r="J434" s="467"/>
      <c r="K434" s="467"/>
      <c r="L434" s="467"/>
    </row>
    <row r="435" spans="1:12">
      <c r="A435" s="463">
        <f t="shared" si="66"/>
        <v>418</v>
      </c>
      <c r="B435" s="464">
        <f t="shared" si="70"/>
        <v>12693</v>
      </c>
      <c r="C435" s="465">
        <f t="shared" ca="1" si="64"/>
        <v>34</v>
      </c>
      <c r="D435" s="463"/>
      <c r="E435" s="465">
        <f t="shared" si="71"/>
        <v>0</v>
      </c>
      <c r="F435" s="465">
        <f t="shared" ca="1" si="67"/>
        <v>0</v>
      </c>
      <c r="G435" s="465">
        <f t="shared" ca="1" si="68"/>
        <v>0</v>
      </c>
      <c r="H435" s="465">
        <f t="shared" ca="1" si="69"/>
        <v>34</v>
      </c>
      <c r="I435" s="466">
        <f t="shared" ca="1" si="65"/>
        <v>-34</v>
      </c>
      <c r="J435" s="467"/>
      <c r="K435" s="467"/>
      <c r="L435" s="467"/>
    </row>
    <row r="436" spans="1:12">
      <c r="A436" s="463">
        <f t="shared" si="66"/>
        <v>419</v>
      </c>
      <c r="B436" s="464">
        <f t="shared" si="70"/>
        <v>12724</v>
      </c>
      <c r="C436" s="465">
        <f t="shared" ca="1" si="64"/>
        <v>34</v>
      </c>
      <c r="D436" s="463"/>
      <c r="E436" s="465">
        <f>IF($D$10=1,IF(MONTH(B436)=MONTH($D$7),D435-'Sch3-Perf Period Cash Flow'!AB127,0),IF(MONTH(B436)=MONTH(EDATE($D$7,11)),IF(AND(H435&gt;D425,H435&lt;K161-L161), H435, MIN(D425,H435))-'Sch3-Perf Period Cash Flow'!AB127,0))</f>
        <v>0</v>
      </c>
      <c r="F436" s="465">
        <f t="shared" ca="1" si="67"/>
        <v>0</v>
      </c>
      <c r="G436" s="465">
        <f t="shared" ca="1" si="68"/>
        <v>0</v>
      </c>
      <c r="H436" s="465">
        <f t="shared" ca="1" si="69"/>
        <v>34</v>
      </c>
      <c r="I436" s="466">
        <f t="shared" ca="1" si="65"/>
        <v>-34</v>
      </c>
      <c r="J436" s="467"/>
      <c r="K436" s="467"/>
      <c r="L436" s="467"/>
    </row>
    <row r="437" spans="1:12">
      <c r="A437" s="463">
        <f t="shared" si="66"/>
        <v>420</v>
      </c>
      <c r="B437" s="464">
        <f t="shared" si="70"/>
        <v>12754</v>
      </c>
      <c r="C437" s="465">
        <f t="shared" ca="1" si="64"/>
        <v>34</v>
      </c>
      <c r="D437" s="465">
        <f ca="1">IF(H437&lt;0,0,IF((H436+G437)&lt;(K52-L52),H436+G437,K52-L52))</f>
        <v>0</v>
      </c>
      <c r="E437" s="465">
        <f ca="1">IF($D$10=1,IF(MONTH(B437)=MONTH($D$7),D436-'Sch3-Perf Period Cash Flow'!AL7,0),IF(MONTH(B437)=MONTH(EDATE($D$7,11)),MIN(D425,H436)-'Sch3-Perf Period Cash Flow'!AL7,0))</f>
        <v>-1</v>
      </c>
      <c r="F437" s="465">
        <f t="shared" ca="1" si="67"/>
        <v>-1</v>
      </c>
      <c r="G437" s="465">
        <f t="shared" ca="1" si="68"/>
        <v>0</v>
      </c>
      <c r="H437" s="465">
        <f t="shared" ca="1" si="69"/>
        <v>35</v>
      </c>
      <c r="I437" s="466">
        <f t="shared" ca="1" si="65"/>
        <v>-35</v>
      </c>
      <c r="J437" s="467"/>
      <c r="K437" s="467"/>
      <c r="L437" s="467"/>
    </row>
    <row r="438" spans="1:12">
      <c r="A438" s="463">
        <f t="shared" si="66"/>
        <v>421</v>
      </c>
      <c r="B438" s="464">
        <f t="shared" si="70"/>
        <v>12785</v>
      </c>
      <c r="C438" s="465">
        <f t="shared" ca="1" si="64"/>
        <v>35</v>
      </c>
      <c r="D438" s="463"/>
      <c r="E438" s="465">
        <f>IF($D$10=1,IF(MONTH(B438)=MONTH($D$7),D437-'Sch3-Perf Period Cash Flow'!AM7,0),IF(MONTH(B438)=MONTH(EDATE($D$7,11)),MIN(D426,H437)-'Sch3-Perf Period Cash Flow'!AM7,0))</f>
        <v>0</v>
      </c>
      <c r="F438" s="465">
        <f t="shared" ca="1" si="67"/>
        <v>0</v>
      </c>
      <c r="G438" s="465">
        <f t="shared" ca="1" si="68"/>
        <v>0</v>
      </c>
      <c r="H438" s="465">
        <f t="shared" ca="1" si="69"/>
        <v>35</v>
      </c>
      <c r="I438" s="466">
        <f t="shared" ca="1" si="65"/>
        <v>-35</v>
      </c>
      <c r="J438" s="467"/>
      <c r="K438" s="467"/>
      <c r="L438" s="467"/>
    </row>
    <row r="439" spans="1:12">
      <c r="A439" s="463">
        <f t="shared" si="66"/>
        <v>422</v>
      </c>
      <c r="B439" s="464">
        <f t="shared" si="70"/>
        <v>12816</v>
      </c>
      <c r="C439" s="465">
        <f t="shared" ca="1" si="64"/>
        <v>35</v>
      </c>
      <c r="D439" s="463"/>
      <c r="E439" s="465">
        <f t="shared" ref="E439:E459" si="72">IF($D$10=1,IF(MONTH(B439)=MONTH($D$7),D438,0),IF(MONTH(B439)=MONTH(EDATE($D$7,11)),MIN(D427,H438),0))</f>
        <v>0</v>
      </c>
      <c r="F439" s="465">
        <f t="shared" ca="1" si="67"/>
        <v>0</v>
      </c>
      <c r="G439" s="465">
        <f t="shared" ca="1" si="68"/>
        <v>0</v>
      </c>
      <c r="H439" s="465">
        <f t="shared" ca="1" si="69"/>
        <v>35</v>
      </c>
      <c r="I439" s="466">
        <f t="shared" ca="1" si="65"/>
        <v>-35</v>
      </c>
      <c r="J439" s="467"/>
      <c r="K439" s="467"/>
      <c r="L439" s="467"/>
    </row>
    <row r="440" spans="1:12">
      <c r="A440" s="463">
        <f t="shared" si="66"/>
        <v>423</v>
      </c>
      <c r="B440" s="464">
        <f t="shared" si="70"/>
        <v>12844</v>
      </c>
      <c r="C440" s="465">
        <f t="shared" ca="1" si="64"/>
        <v>35</v>
      </c>
      <c r="D440" s="463"/>
      <c r="E440" s="465">
        <f t="shared" si="72"/>
        <v>0</v>
      </c>
      <c r="F440" s="465">
        <f t="shared" ca="1" si="67"/>
        <v>0</v>
      </c>
      <c r="G440" s="465">
        <f t="shared" ca="1" si="68"/>
        <v>0</v>
      </c>
      <c r="H440" s="465">
        <f t="shared" ca="1" si="69"/>
        <v>35</v>
      </c>
      <c r="I440" s="466">
        <f t="shared" ca="1" si="65"/>
        <v>-35</v>
      </c>
      <c r="J440" s="467"/>
      <c r="K440" s="467"/>
      <c r="L440" s="467"/>
    </row>
    <row r="441" spans="1:12">
      <c r="A441" s="463">
        <f t="shared" si="66"/>
        <v>424</v>
      </c>
      <c r="B441" s="464">
        <f t="shared" si="70"/>
        <v>12875</v>
      </c>
      <c r="C441" s="465">
        <f t="shared" ca="1" si="64"/>
        <v>35</v>
      </c>
      <c r="D441" s="463"/>
      <c r="E441" s="465">
        <f t="shared" si="72"/>
        <v>0</v>
      </c>
      <c r="F441" s="465">
        <f t="shared" ca="1" si="67"/>
        <v>0</v>
      </c>
      <c r="G441" s="465">
        <f t="shared" ca="1" si="68"/>
        <v>0</v>
      </c>
      <c r="H441" s="465">
        <f t="shared" ca="1" si="69"/>
        <v>35</v>
      </c>
      <c r="I441" s="466">
        <f t="shared" ca="1" si="65"/>
        <v>-35</v>
      </c>
      <c r="J441" s="467"/>
      <c r="K441" s="467"/>
      <c r="L441" s="467"/>
    </row>
    <row r="442" spans="1:12">
      <c r="A442" s="463">
        <f t="shared" si="66"/>
        <v>425</v>
      </c>
      <c r="B442" s="464">
        <f t="shared" si="70"/>
        <v>12905</v>
      </c>
      <c r="C442" s="465">
        <f t="shared" ca="1" si="64"/>
        <v>35</v>
      </c>
      <c r="D442" s="463"/>
      <c r="E442" s="465">
        <f t="shared" si="72"/>
        <v>0</v>
      </c>
      <c r="F442" s="465">
        <f t="shared" ca="1" si="67"/>
        <v>0</v>
      </c>
      <c r="G442" s="465">
        <f t="shared" ca="1" si="68"/>
        <v>0</v>
      </c>
      <c r="H442" s="465">
        <f t="shared" ca="1" si="69"/>
        <v>35</v>
      </c>
      <c r="I442" s="466">
        <f t="shared" ca="1" si="65"/>
        <v>-35</v>
      </c>
      <c r="J442" s="467"/>
      <c r="K442" s="467"/>
      <c r="L442" s="467"/>
    </row>
    <row r="443" spans="1:12">
      <c r="A443" s="463">
        <f t="shared" si="66"/>
        <v>426</v>
      </c>
      <c r="B443" s="464">
        <f t="shared" si="70"/>
        <v>12936</v>
      </c>
      <c r="C443" s="465">
        <f t="shared" ca="1" si="64"/>
        <v>35</v>
      </c>
      <c r="D443" s="463"/>
      <c r="E443" s="465">
        <f t="shared" si="72"/>
        <v>0</v>
      </c>
      <c r="F443" s="465">
        <f t="shared" ca="1" si="67"/>
        <v>0</v>
      </c>
      <c r="G443" s="465">
        <f t="shared" ca="1" si="68"/>
        <v>0</v>
      </c>
      <c r="H443" s="465">
        <f t="shared" ca="1" si="69"/>
        <v>35</v>
      </c>
      <c r="I443" s="466">
        <f t="shared" ca="1" si="65"/>
        <v>-35</v>
      </c>
      <c r="J443" s="467"/>
      <c r="K443" s="467"/>
      <c r="L443" s="467"/>
    </row>
    <row r="444" spans="1:12">
      <c r="A444" s="463">
        <f t="shared" si="66"/>
        <v>427</v>
      </c>
      <c r="B444" s="464">
        <f t="shared" si="70"/>
        <v>12966</v>
      </c>
      <c r="C444" s="465">
        <f t="shared" ca="1" si="64"/>
        <v>35</v>
      </c>
      <c r="D444" s="463"/>
      <c r="E444" s="465">
        <f t="shared" si="72"/>
        <v>0</v>
      </c>
      <c r="F444" s="465">
        <f t="shared" ca="1" si="67"/>
        <v>0</v>
      </c>
      <c r="G444" s="465">
        <f t="shared" ca="1" si="68"/>
        <v>0</v>
      </c>
      <c r="H444" s="465">
        <f t="shared" ca="1" si="69"/>
        <v>35</v>
      </c>
      <c r="I444" s="466">
        <f t="shared" ca="1" si="65"/>
        <v>-35</v>
      </c>
      <c r="J444" s="467"/>
      <c r="K444" s="467"/>
      <c r="L444" s="467"/>
    </row>
    <row r="445" spans="1:12">
      <c r="A445" s="463">
        <f t="shared" si="66"/>
        <v>428</v>
      </c>
      <c r="B445" s="464">
        <f t="shared" si="70"/>
        <v>12997</v>
      </c>
      <c r="C445" s="465">
        <f t="shared" ca="1" si="64"/>
        <v>35</v>
      </c>
      <c r="D445" s="463"/>
      <c r="E445" s="465">
        <f t="shared" si="72"/>
        <v>0</v>
      </c>
      <c r="F445" s="465">
        <f t="shared" ca="1" si="67"/>
        <v>0</v>
      </c>
      <c r="G445" s="465">
        <f t="shared" ca="1" si="68"/>
        <v>0</v>
      </c>
      <c r="H445" s="465">
        <f t="shared" ca="1" si="69"/>
        <v>35</v>
      </c>
      <c r="I445" s="466">
        <f t="shared" ca="1" si="65"/>
        <v>-35</v>
      </c>
      <c r="J445" s="467"/>
      <c r="K445" s="467"/>
      <c r="L445" s="467"/>
    </row>
    <row r="446" spans="1:12">
      <c r="A446" s="463">
        <f t="shared" si="66"/>
        <v>429</v>
      </c>
      <c r="B446" s="464">
        <f t="shared" si="70"/>
        <v>13028</v>
      </c>
      <c r="C446" s="465">
        <f t="shared" ca="1" si="64"/>
        <v>35</v>
      </c>
      <c r="D446" s="463"/>
      <c r="E446" s="465">
        <f t="shared" si="72"/>
        <v>0</v>
      </c>
      <c r="F446" s="465">
        <f t="shared" ca="1" si="67"/>
        <v>0</v>
      </c>
      <c r="G446" s="465">
        <f t="shared" ca="1" si="68"/>
        <v>0</v>
      </c>
      <c r="H446" s="465">
        <f t="shared" ca="1" si="69"/>
        <v>35</v>
      </c>
      <c r="I446" s="466">
        <f t="shared" ca="1" si="65"/>
        <v>-35</v>
      </c>
      <c r="J446" s="467"/>
      <c r="K446" s="467"/>
      <c r="L446" s="467"/>
    </row>
    <row r="447" spans="1:12">
      <c r="A447" s="463">
        <f t="shared" si="66"/>
        <v>430</v>
      </c>
      <c r="B447" s="464">
        <f t="shared" si="70"/>
        <v>13058</v>
      </c>
      <c r="C447" s="465">
        <f t="shared" ca="1" si="64"/>
        <v>35</v>
      </c>
      <c r="D447" s="463"/>
      <c r="E447" s="465">
        <f t="shared" si="72"/>
        <v>0</v>
      </c>
      <c r="F447" s="465">
        <f t="shared" ca="1" si="67"/>
        <v>0</v>
      </c>
      <c r="G447" s="465">
        <f t="shared" ca="1" si="68"/>
        <v>0</v>
      </c>
      <c r="H447" s="465">
        <f t="shared" ca="1" si="69"/>
        <v>35</v>
      </c>
      <c r="I447" s="466">
        <f t="shared" ca="1" si="65"/>
        <v>-35</v>
      </c>
      <c r="J447" s="467"/>
      <c r="K447" s="467"/>
      <c r="L447" s="467"/>
    </row>
    <row r="448" spans="1:12">
      <c r="A448" s="463">
        <f t="shared" si="66"/>
        <v>431</v>
      </c>
      <c r="B448" s="464">
        <f t="shared" si="70"/>
        <v>13089</v>
      </c>
      <c r="C448" s="465">
        <f t="shared" ca="1" si="64"/>
        <v>35</v>
      </c>
      <c r="D448" s="463"/>
      <c r="E448" s="465">
        <f>IF($D$10=1,IF(MONTH(B448)=MONTH($D$7),D447-'Sch3-Perf Period Cash Flow'!AB139,0),IF(MONTH(B448)=MONTH(EDATE($D$7,11)),IF(AND(H447&gt;D437,H447&lt;K173-L173), H447, MIN(D437,H447))-'Sch3-Perf Period Cash Flow'!AB139,0))</f>
        <v>0</v>
      </c>
      <c r="F448" s="465">
        <f t="shared" ca="1" si="67"/>
        <v>0</v>
      </c>
      <c r="G448" s="465">
        <f t="shared" ca="1" si="68"/>
        <v>0</v>
      </c>
      <c r="H448" s="465">
        <f t="shared" ca="1" si="69"/>
        <v>35</v>
      </c>
      <c r="I448" s="466">
        <f t="shared" ca="1" si="65"/>
        <v>-35</v>
      </c>
      <c r="J448" s="467"/>
      <c r="K448" s="467"/>
      <c r="L448" s="467"/>
    </row>
    <row r="449" spans="1:12">
      <c r="A449" s="463">
        <f t="shared" si="66"/>
        <v>432</v>
      </c>
      <c r="B449" s="464">
        <f t="shared" si="70"/>
        <v>13119</v>
      </c>
      <c r="C449" s="465">
        <f t="shared" ca="1" si="64"/>
        <v>35</v>
      </c>
      <c r="D449" s="465">
        <f ca="1">IF(H449&lt;0,0,IF((H448+G449)&lt;(K53-L53),H448+G449,K53-L53))</f>
        <v>0</v>
      </c>
      <c r="E449" s="465">
        <f ca="1">IF($D$10=1,IF(MONTH(B449)=MONTH($D$7),D448-'Sch3-Perf Period Cash Flow'!AM7,0),IF(MONTH(B449)=MONTH(EDATE($D$7,11)),MIN(D437,H448)-'Sch3-Perf Period Cash Flow'!AM7,0))</f>
        <v>-1</v>
      </c>
      <c r="F449" s="465">
        <f t="shared" ca="1" si="67"/>
        <v>-1</v>
      </c>
      <c r="G449" s="465">
        <f t="shared" ca="1" si="68"/>
        <v>0</v>
      </c>
      <c r="H449" s="465">
        <f t="shared" ca="1" si="69"/>
        <v>36</v>
      </c>
      <c r="I449" s="466">
        <f t="shared" ca="1" si="65"/>
        <v>-36</v>
      </c>
      <c r="J449" s="467"/>
      <c r="K449" s="467"/>
      <c r="L449" s="467"/>
    </row>
    <row r="450" spans="1:12">
      <c r="A450" s="463">
        <f t="shared" si="66"/>
        <v>433</v>
      </c>
      <c r="B450" s="464">
        <f t="shared" si="70"/>
        <v>13150</v>
      </c>
      <c r="C450" s="465">
        <f t="shared" ca="1" si="64"/>
        <v>36</v>
      </c>
      <c r="D450" s="463"/>
      <c r="E450" s="465">
        <f>IF($D$10=1,IF(MONTH(B450)=MONTH($D$7),D449-'Sch3-Perf Period Cash Flow'!AN7,0),IF(MONTH(B450)=MONTH(EDATE($D$7,11)),MIN(D438,H449)-'Sch3-Perf Period Cash Flow'!AN7,0))</f>
        <v>0</v>
      </c>
      <c r="F450" s="465">
        <f t="shared" ca="1" si="67"/>
        <v>0</v>
      </c>
      <c r="G450" s="465">
        <f t="shared" ca="1" si="68"/>
        <v>0</v>
      </c>
      <c r="H450" s="465">
        <f t="shared" ca="1" si="69"/>
        <v>36</v>
      </c>
      <c r="I450" s="466">
        <f t="shared" ca="1" si="65"/>
        <v>-36</v>
      </c>
      <c r="J450" s="467"/>
      <c r="K450" s="467"/>
      <c r="L450" s="467"/>
    </row>
    <row r="451" spans="1:12">
      <c r="A451" s="463">
        <f t="shared" si="66"/>
        <v>434</v>
      </c>
      <c r="B451" s="464">
        <f t="shared" si="70"/>
        <v>13181</v>
      </c>
      <c r="C451" s="465">
        <f t="shared" ca="1" si="64"/>
        <v>36</v>
      </c>
      <c r="D451" s="463"/>
      <c r="E451" s="465">
        <f t="shared" si="72"/>
        <v>0</v>
      </c>
      <c r="F451" s="465">
        <f t="shared" ca="1" si="67"/>
        <v>0</v>
      </c>
      <c r="G451" s="465">
        <f t="shared" ca="1" si="68"/>
        <v>0</v>
      </c>
      <c r="H451" s="465">
        <f t="shared" ca="1" si="69"/>
        <v>36</v>
      </c>
      <c r="I451" s="466">
        <f t="shared" ca="1" si="65"/>
        <v>-36</v>
      </c>
      <c r="J451" s="467"/>
      <c r="K451" s="467"/>
      <c r="L451" s="467"/>
    </row>
    <row r="452" spans="1:12">
      <c r="A452" s="463">
        <f t="shared" si="66"/>
        <v>435</v>
      </c>
      <c r="B452" s="464">
        <f t="shared" si="70"/>
        <v>13210</v>
      </c>
      <c r="C452" s="465">
        <f t="shared" ca="1" si="64"/>
        <v>36</v>
      </c>
      <c r="D452" s="463"/>
      <c r="E452" s="465">
        <f t="shared" si="72"/>
        <v>0</v>
      </c>
      <c r="F452" s="465">
        <f t="shared" ca="1" si="67"/>
        <v>0</v>
      </c>
      <c r="G452" s="465">
        <f t="shared" ca="1" si="68"/>
        <v>0</v>
      </c>
      <c r="H452" s="465">
        <f t="shared" ca="1" si="69"/>
        <v>36</v>
      </c>
      <c r="I452" s="466">
        <f t="shared" ca="1" si="65"/>
        <v>-36</v>
      </c>
      <c r="J452" s="467"/>
      <c r="K452" s="467"/>
      <c r="L452" s="467"/>
    </row>
    <row r="453" spans="1:12">
      <c r="A453" s="463">
        <f t="shared" si="66"/>
        <v>436</v>
      </c>
      <c r="B453" s="464">
        <f t="shared" si="70"/>
        <v>13241</v>
      </c>
      <c r="C453" s="465">
        <f t="shared" ca="1" si="64"/>
        <v>36</v>
      </c>
      <c r="D453" s="463"/>
      <c r="E453" s="465">
        <f t="shared" si="72"/>
        <v>0</v>
      </c>
      <c r="F453" s="465">
        <f t="shared" ca="1" si="67"/>
        <v>0</v>
      </c>
      <c r="G453" s="465">
        <f t="shared" ca="1" si="68"/>
        <v>0</v>
      </c>
      <c r="H453" s="465">
        <f t="shared" ca="1" si="69"/>
        <v>36</v>
      </c>
      <c r="I453" s="466">
        <f t="shared" ca="1" si="65"/>
        <v>-36</v>
      </c>
      <c r="J453" s="467"/>
      <c r="K453" s="467"/>
      <c r="L453" s="467"/>
    </row>
    <row r="454" spans="1:12">
      <c r="A454" s="463">
        <f t="shared" si="66"/>
        <v>437</v>
      </c>
      <c r="B454" s="464">
        <f t="shared" si="70"/>
        <v>13271</v>
      </c>
      <c r="C454" s="465">
        <f t="shared" ca="1" si="64"/>
        <v>36</v>
      </c>
      <c r="D454" s="463"/>
      <c r="E454" s="465">
        <f t="shared" si="72"/>
        <v>0</v>
      </c>
      <c r="F454" s="465">
        <f t="shared" ca="1" si="67"/>
        <v>0</v>
      </c>
      <c r="G454" s="465">
        <f t="shared" ca="1" si="68"/>
        <v>0</v>
      </c>
      <c r="H454" s="465">
        <f t="shared" ca="1" si="69"/>
        <v>36</v>
      </c>
      <c r="I454" s="466">
        <f t="shared" ca="1" si="65"/>
        <v>-36</v>
      </c>
      <c r="J454" s="467"/>
      <c r="K454" s="467"/>
      <c r="L454" s="467"/>
    </row>
    <row r="455" spans="1:12">
      <c r="A455" s="463">
        <f t="shared" si="66"/>
        <v>438</v>
      </c>
      <c r="B455" s="464">
        <f t="shared" si="70"/>
        <v>13302</v>
      </c>
      <c r="C455" s="465">
        <f t="shared" ca="1" si="64"/>
        <v>36</v>
      </c>
      <c r="D455" s="463"/>
      <c r="E455" s="465">
        <f t="shared" si="72"/>
        <v>0</v>
      </c>
      <c r="F455" s="465">
        <f t="shared" ca="1" si="67"/>
        <v>0</v>
      </c>
      <c r="G455" s="465">
        <f t="shared" ca="1" si="68"/>
        <v>0</v>
      </c>
      <c r="H455" s="465">
        <f t="shared" ca="1" si="69"/>
        <v>36</v>
      </c>
      <c r="I455" s="466">
        <f t="shared" ca="1" si="65"/>
        <v>-36</v>
      </c>
      <c r="J455" s="467"/>
      <c r="K455" s="467"/>
      <c r="L455" s="467"/>
    </row>
    <row r="456" spans="1:12">
      <c r="A456" s="463">
        <f t="shared" si="66"/>
        <v>439</v>
      </c>
      <c r="B456" s="464">
        <f t="shared" si="70"/>
        <v>13332</v>
      </c>
      <c r="C456" s="465">
        <f t="shared" ca="1" si="64"/>
        <v>36</v>
      </c>
      <c r="D456" s="463"/>
      <c r="E456" s="465">
        <f t="shared" si="72"/>
        <v>0</v>
      </c>
      <c r="F456" s="465">
        <f t="shared" ca="1" si="67"/>
        <v>0</v>
      </c>
      <c r="G456" s="465">
        <f t="shared" ca="1" si="68"/>
        <v>0</v>
      </c>
      <c r="H456" s="465">
        <f t="shared" ca="1" si="69"/>
        <v>36</v>
      </c>
      <c r="I456" s="466">
        <f t="shared" ca="1" si="65"/>
        <v>-36</v>
      </c>
      <c r="J456" s="467"/>
      <c r="K456" s="467"/>
      <c r="L456" s="467"/>
    </row>
    <row r="457" spans="1:12">
      <c r="A457" s="463">
        <f t="shared" si="66"/>
        <v>440</v>
      </c>
      <c r="B457" s="464">
        <f t="shared" si="70"/>
        <v>13363</v>
      </c>
      <c r="C457" s="465">
        <f t="shared" ca="1" si="64"/>
        <v>36</v>
      </c>
      <c r="D457" s="463"/>
      <c r="E457" s="465">
        <f t="shared" si="72"/>
        <v>0</v>
      </c>
      <c r="F457" s="465">
        <f t="shared" ca="1" si="67"/>
        <v>0</v>
      </c>
      <c r="G457" s="465">
        <f t="shared" ca="1" si="68"/>
        <v>0</v>
      </c>
      <c r="H457" s="465">
        <f t="shared" ca="1" si="69"/>
        <v>36</v>
      </c>
      <c r="I457" s="466">
        <f t="shared" ca="1" si="65"/>
        <v>-36</v>
      </c>
      <c r="J457" s="467"/>
      <c r="K457" s="467"/>
      <c r="L457" s="467"/>
    </row>
    <row r="458" spans="1:12">
      <c r="A458" s="463">
        <f t="shared" si="66"/>
        <v>441</v>
      </c>
      <c r="B458" s="464">
        <f t="shared" si="70"/>
        <v>13394</v>
      </c>
      <c r="C458" s="465">
        <f t="shared" ca="1" si="64"/>
        <v>36</v>
      </c>
      <c r="D458" s="463"/>
      <c r="E458" s="465">
        <f t="shared" si="72"/>
        <v>0</v>
      </c>
      <c r="F458" s="465">
        <f t="shared" ca="1" si="67"/>
        <v>0</v>
      </c>
      <c r="G458" s="465">
        <f t="shared" ca="1" si="68"/>
        <v>0</v>
      </c>
      <c r="H458" s="465">
        <f t="shared" ca="1" si="69"/>
        <v>36</v>
      </c>
      <c r="I458" s="466">
        <f t="shared" ca="1" si="65"/>
        <v>-36</v>
      </c>
      <c r="J458" s="467"/>
      <c r="K458" s="467"/>
      <c r="L458" s="467"/>
    </row>
    <row r="459" spans="1:12">
      <c r="A459" s="463">
        <f t="shared" si="66"/>
        <v>442</v>
      </c>
      <c r="B459" s="464">
        <f t="shared" si="70"/>
        <v>13424</v>
      </c>
      <c r="C459" s="465">
        <f t="shared" ca="1" si="64"/>
        <v>36</v>
      </c>
      <c r="D459" s="463"/>
      <c r="E459" s="465">
        <f t="shared" si="72"/>
        <v>0</v>
      </c>
      <c r="F459" s="465">
        <f t="shared" ca="1" si="67"/>
        <v>0</v>
      </c>
      <c r="G459" s="465">
        <f t="shared" ca="1" si="68"/>
        <v>0</v>
      </c>
      <c r="H459" s="465">
        <f t="shared" ca="1" si="69"/>
        <v>36</v>
      </c>
      <c r="I459" s="466">
        <f t="shared" ca="1" si="65"/>
        <v>-36</v>
      </c>
      <c r="J459" s="467"/>
      <c r="K459" s="467"/>
      <c r="L459" s="467"/>
    </row>
    <row r="460" spans="1:12">
      <c r="A460" s="463">
        <f t="shared" si="66"/>
        <v>443</v>
      </c>
      <c r="B460" s="464">
        <f t="shared" si="70"/>
        <v>13455</v>
      </c>
      <c r="C460" s="465">
        <f t="shared" ca="1" si="64"/>
        <v>36</v>
      </c>
      <c r="D460" s="463"/>
      <c r="E460" s="465">
        <f>IF($D$10=1,IF(MONTH(B460)=MONTH($D$7),D459-'Sch3-Perf Period Cash Flow'!AB151,0),IF(MONTH(B460)=MONTH(EDATE($D$7,11)),IF(AND(H459&gt;D449,H459&lt;K185-L185), H459, MIN(D449,H459))-'Sch3-Perf Period Cash Flow'!AB151,0))</f>
        <v>0</v>
      </c>
      <c r="F460" s="465">
        <f t="shared" ca="1" si="67"/>
        <v>0</v>
      </c>
      <c r="G460" s="465">
        <f t="shared" ca="1" si="68"/>
        <v>0</v>
      </c>
      <c r="H460" s="465">
        <f t="shared" ca="1" si="69"/>
        <v>36</v>
      </c>
      <c r="I460" s="466">
        <f t="shared" ca="1" si="65"/>
        <v>-36</v>
      </c>
      <c r="J460" s="467"/>
      <c r="K460" s="467"/>
      <c r="L460" s="467"/>
    </row>
    <row r="461" spans="1:12">
      <c r="A461" s="463">
        <f t="shared" si="66"/>
        <v>444</v>
      </c>
      <c r="B461" s="464">
        <f t="shared" si="70"/>
        <v>13485</v>
      </c>
      <c r="C461" s="465">
        <f t="shared" ca="1" si="64"/>
        <v>36</v>
      </c>
      <c r="D461" s="465">
        <f ca="1">IF(H461&lt;0,0,IF((H460+G461)&lt;(K54-L54),H460+G461,K54-L54))</f>
        <v>0</v>
      </c>
      <c r="E461" s="465">
        <f ca="1">IF($D$10=1,IF(MONTH(B461)=MONTH($D$7),D460-'Sch3-Perf Period Cash Flow'!AN7,0),IF(MONTH(B461)=MONTH(EDATE($D$7,11)),MIN(D449,H460)-'Sch3-Perf Period Cash Flow'!AN7,0))</f>
        <v>-1</v>
      </c>
      <c r="F461" s="465">
        <f t="shared" ca="1" si="67"/>
        <v>-1</v>
      </c>
      <c r="G461" s="465">
        <f t="shared" ca="1" si="68"/>
        <v>0</v>
      </c>
      <c r="H461" s="465">
        <f t="shared" ca="1" si="69"/>
        <v>37</v>
      </c>
      <c r="I461" s="466">
        <f t="shared" ca="1" si="65"/>
        <v>-37</v>
      </c>
      <c r="J461" s="467"/>
      <c r="K461" s="467"/>
      <c r="L461" s="467"/>
    </row>
    <row r="462" spans="1:12">
      <c r="A462" s="463">
        <f t="shared" si="66"/>
        <v>445</v>
      </c>
      <c r="B462" s="464">
        <f t="shared" si="70"/>
        <v>13516</v>
      </c>
      <c r="C462" s="465">
        <f t="shared" ca="1" si="64"/>
        <v>37</v>
      </c>
      <c r="D462" s="463"/>
      <c r="E462" s="465">
        <f>IF($D$10=1,IF(MONTH(B462)=MONTH($D$7),D461-'Sch3-Perf Period Cash Flow'!AO7,0),IF(MONTH(B462)=MONTH(EDATE($D$7,11)),MIN(D450,H461)-'Sch3-Perf Period Cash Flow'!AO7,0))</f>
        <v>0</v>
      </c>
      <c r="F462" s="465">
        <f t="shared" ca="1" si="67"/>
        <v>0</v>
      </c>
      <c r="G462" s="465">
        <f t="shared" ca="1" si="68"/>
        <v>0</v>
      </c>
      <c r="H462" s="465">
        <f t="shared" ca="1" si="69"/>
        <v>37</v>
      </c>
      <c r="I462" s="466">
        <f t="shared" ca="1" si="65"/>
        <v>-37</v>
      </c>
      <c r="J462" s="467"/>
      <c r="K462" s="467"/>
      <c r="L462" s="467"/>
    </row>
    <row r="463" spans="1:12">
      <c r="A463" s="463">
        <f t="shared" si="66"/>
        <v>446</v>
      </c>
      <c r="B463" s="464">
        <f t="shared" si="70"/>
        <v>13547</v>
      </c>
      <c r="C463" s="465">
        <f t="shared" ca="1" si="64"/>
        <v>37</v>
      </c>
      <c r="D463" s="463"/>
      <c r="E463" s="465">
        <f t="shared" ref="E463:E483" si="73">IF($D$10=1,IF(MONTH(B463)=MONTH($D$7),D462,0),IF(MONTH(B463)=MONTH(EDATE($D$7,11)),MIN(D451,H462),0))</f>
        <v>0</v>
      </c>
      <c r="F463" s="465">
        <f t="shared" ca="1" si="67"/>
        <v>0</v>
      </c>
      <c r="G463" s="465">
        <f t="shared" ca="1" si="68"/>
        <v>0</v>
      </c>
      <c r="H463" s="465">
        <f t="shared" ca="1" si="69"/>
        <v>37</v>
      </c>
      <c r="I463" s="466">
        <f t="shared" ca="1" si="65"/>
        <v>-37</v>
      </c>
      <c r="J463" s="467"/>
      <c r="K463" s="467"/>
      <c r="L463" s="467"/>
    </row>
    <row r="464" spans="1:12">
      <c r="A464" s="463">
        <f t="shared" si="66"/>
        <v>447</v>
      </c>
      <c r="B464" s="464">
        <f t="shared" si="70"/>
        <v>13575</v>
      </c>
      <c r="C464" s="465">
        <f t="shared" ref="C464:C497" ca="1" si="74">IF(H463=0,0,H463)</f>
        <v>37</v>
      </c>
      <c r="D464" s="463"/>
      <c r="E464" s="465">
        <f t="shared" si="73"/>
        <v>0</v>
      </c>
      <c r="F464" s="465">
        <f t="shared" ca="1" si="67"/>
        <v>0</v>
      </c>
      <c r="G464" s="465">
        <f t="shared" ca="1" si="68"/>
        <v>0</v>
      </c>
      <c r="H464" s="465">
        <f t="shared" ca="1" si="69"/>
        <v>37</v>
      </c>
      <c r="I464" s="466">
        <f t="shared" ca="1" si="65"/>
        <v>-37</v>
      </c>
      <c r="J464" s="467"/>
      <c r="K464" s="467"/>
      <c r="L464" s="467"/>
    </row>
    <row r="465" spans="1:12">
      <c r="A465" s="463">
        <f t="shared" si="66"/>
        <v>448</v>
      </c>
      <c r="B465" s="464">
        <f t="shared" si="70"/>
        <v>13606</v>
      </c>
      <c r="C465" s="465">
        <f t="shared" ca="1" si="74"/>
        <v>37</v>
      </c>
      <c r="D465" s="463"/>
      <c r="E465" s="465">
        <f t="shared" si="73"/>
        <v>0</v>
      </c>
      <c r="F465" s="465">
        <f t="shared" ca="1" si="67"/>
        <v>0</v>
      </c>
      <c r="G465" s="465">
        <f t="shared" ca="1" si="68"/>
        <v>0</v>
      </c>
      <c r="H465" s="465">
        <f t="shared" ca="1" si="69"/>
        <v>37</v>
      </c>
      <c r="I465" s="466">
        <f t="shared" ca="1" si="65"/>
        <v>-37</v>
      </c>
      <c r="J465" s="467"/>
      <c r="K465" s="467"/>
      <c r="L465" s="467"/>
    </row>
    <row r="466" spans="1:12">
      <c r="A466" s="463">
        <f t="shared" si="66"/>
        <v>449</v>
      </c>
      <c r="B466" s="464">
        <f t="shared" si="70"/>
        <v>13636</v>
      </c>
      <c r="C466" s="465">
        <f t="shared" ca="1" si="74"/>
        <v>37</v>
      </c>
      <c r="D466" s="463"/>
      <c r="E466" s="465">
        <f t="shared" si="73"/>
        <v>0</v>
      </c>
      <c r="F466" s="465">
        <f t="shared" ca="1" si="67"/>
        <v>0</v>
      </c>
      <c r="G466" s="465">
        <f t="shared" ca="1" si="68"/>
        <v>0</v>
      </c>
      <c r="H466" s="465">
        <f t="shared" ca="1" si="69"/>
        <v>37</v>
      </c>
      <c r="I466" s="466">
        <f t="shared" ref="I466:I497" ca="1" si="75">ROUND((D466-H466),0)</f>
        <v>-37</v>
      </c>
      <c r="J466" s="467"/>
      <c r="K466" s="467"/>
      <c r="L466" s="467"/>
    </row>
    <row r="467" spans="1:12">
      <c r="A467" s="463">
        <f t="shared" ref="A467:A497" si="76">IF(A466="","",IF(A466=$D$6,"",A466+1))</f>
        <v>450</v>
      </c>
      <c r="B467" s="464">
        <f t="shared" si="70"/>
        <v>13667</v>
      </c>
      <c r="C467" s="465">
        <f t="shared" ca="1" si="74"/>
        <v>37</v>
      </c>
      <c r="D467" s="463"/>
      <c r="E467" s="465">
        <f t="shared" si="73"/>
        <v>0</v>
      </c>
      <c r="F467" s="465">
        <f t="shared" ref="F467:F497" ca="1" si="77">IF(E467="","",E467-G467)</f>
        <v>0</v>
      </c>
      <c r="G467" s="465">
        <f t="shared" ref="G467:G497" ca="1" si="78">ROUND((C467-E467)*$D$5,3)</f>
        <v>0</v>
      </c>
      <c r="H467" s="465">
        <f t="shared" ref="H467:H497" ca="1" si="79">IF(E467="","",ROUND(H466-F467,4))</f>
        <v>37</v>
      </c>
      <c r="I467" s="466">
        <f t="shared" ca="1" si="75"/>
        <v>-37</v>
      </c>
      <c r="J467" s="467"/>
      <c r="K467" s="467"/>
      <c r="L467" s="467"/>
    </row>
    <row r="468" spans="1:12">
      <c r="A468" s="463">
        <f t="shared" si="76"/>
        <v>451</v>
      </c>
      <c r="B468" s="464">
        <f t="shared" ref="B468:B497" si="80">DATE(YEAR(B467),MONTH(B467)+1,1)</f>
        <v>13697</v>
      </c>
      <c r="C468" s="465">
        <f t="shared" ca="1" si="74"/>
        <v>37</v>
      </c>
      <c r="D468" s="463"/>
      <c r="E468" s="465">
        <f t="shared" si="73"/>
        <v>0</v>
      </c>
      <c r="F468" s="465">
        <f t="shared" ca="1" si="77"/>
        <v>0</v>
      </c>
      <c r="G468" s="465">
        <f t="shared" ca="1" si="78"/>
        <v>0</v>
      </c>
      <c r="H468" s="465">
        <f t="shared" ca="1" si="79"/>
        <v>37</v>
      </c>
      <c r="I468" s="466">
        <f t="shared" ca="1" si="75"/>
        <v>-37</v>
      </c>
      <c r="J468" s="467"/>
      <c r="K468" s="467"/>
      <c r="L468" s="467"/>
    </row>
    <row r="469" spans="1:12">
      <c r="A469" s="463">
        <f t="shared" si="76"/>
        <v>452</v>
      </c>
      <c r="B469" s="464">
        <f t="shared" si="80"/>
        <v>13728</v>
      </c>
      <c r="C469" s="465">
        <f t="shared" ca="1" si="74"/>
        <v>37</v>
      </c>
      <c r="D469" s="463"/>
      <c r="E469" s="465">
        <f t="shared" si="73"/>
        <v>0</v>
      </c>
      <c r="F469" s="465">
        <f t="shared" ca="1" si="77"/>
        <v>0</v>
      </c>
      <c r="G469" s="465">
        <f t="shared" ca="1" si="78"/>
        <v>0</v>
      </c>
      <c r="H469" s="465">
        <f t="shared" ca="1" si="79"/>
        <v>37</v>
      </c>
      <c r="I469" s="466">
        <f t="shared" ca="1" si="75"/>
        <v>-37</v>
      </c>
      <c r="J469" s="467"/>
      <c r="K469" s="467"/>
      <c r="L469" s="467"/>
    </row>
    <row r="470" spans="1:12">
      <c r="A470" s="463">
        <f t="shared" si="76"/>
        <v>453</v>
      </c>
      <c r="B470" s="464">
        <f t="shared" si="80"/>
        <v>13759</v>
      </c>
      <c r="C470" s="465">
        <f t="shared" ca="1" si="74"/>
        <v>37</v>
      </c>
      <c r="D470" s="463"/>
      <c r="E470" s="465">
        <f t="shared" si="73"/>
        <v>0</v>
      </c>
      <c r="F470" s="465">
        <f t="shared" ca="1" si="77"/>
        <v>0</v>
      </c>
      <c r="G470" s="465">
        <f t="shared" ca="1" si="78"/>
        <v>0</v>
      </c>
      <c r="H470" s="465">
        <f t="shared" ca="1" si="79"/>
        <v>37</v>
      </c>
      <c r="I470" s="466">
        <f t="shared" ca="1" si="75"/>
        <v>-37</v>
      </c>
      <c r="J470" s="467"/>
      <c r="K470" s="467"/>
      <c r="L470" s="467"/>
    </row>
    <row r="471" spans="1:12">
      <c r="A471" s="463">
        <f t="shared" si="76"/>
        <v>454</v>
      </c>
      <c r="B471" s="464">
        <f t="shared" si="80"/>
        <v>13789</v>
      </c>
      <c r="C471" s="465">
        <f t="shared" ca="1" si="74"/>
        <v>37</v>
      </c>
      <c r="D471" s="463"/>
      <c r="E471" s="465">
        <f t="shared" si="73"/>
        <v>0</v>
      </c>
      <c r="F471" s="465">
        <f t="shared" ca="1" si="77"/>
        <v>0</v>
      </c>
      <c r="G471" s="465">
        <f t="shared" ca="1" si="78"/>
        <v>0</v>
      </c>
      <c r="H471" s="465">
        <f t="shared" ca="1" si="79"/>
        <v>37</v>
      </c>
      <c r="I471" s="466">
        <f t="shared" ca="1" si="75"/>
        <v>-37</v>
      </c>
      <c r="J471" s="467"/>
      <c r="K471" s="467"/>
      <c r="L471" s="467"/>
    </row>
    <row r="472" spans="1:12">
      <c r="A472" s="463">
        <f t="shared" si="76"/>
        <v>455</v>
      </c>
      <c r="B472" s="464">
        <f t="shared" si="80"/>
        <v>13820</v>
      </c>
      <c r="C472" s="465">
        <f t="shared" ca="1" si="74"/>
        <v>37</v>
      </c>
      <c r="D472" s="463"/>
      <c r="E472" s="465">
        <f>IF($D$10=1,IF(MONTH(B472)=MONTH($D$7),D471-'Sch3-Perf Period Cash Flow'!AB163,0),IF(MONTH(B472)=MONTH(EDATE($D$7,11)),IF(AND(H471&gt;D461,H471&lt;K197-L197), H471, MIN(D461,H471))-'Sch3-Perf Period Cash Flow'!AB163,0))</f>
        <v>0</v>
      </c>
      <c r="F472" s="465">
        <f t="shared" ca="1" si="77"/>
        <v>0</v>
      </c>
      <c r="G472" s="465">
        <f t="shared" ca="1" si="78"/>
        <v>0</v>
      </c>
      <c r="H472" s="465">
        <f t="shared" ca="1" si="79"/>
        <v>37</v>
      </c>
      <c r="I472" s="466">
        <f t="shared" ca="1" si="75"/>
        <v>-37</v>
      </c>
      <c r="J472" s="467"/>
      <c r="K472" s="467"/>
      <c r="L472" s="467"/>
    </row>
    <row r="473" spans="1:12">
      <c r="A473" s="463">
        <f t="shared" si="76"/>
        <v>456</v>
      </c>
      <c r="B473" s="464">
        <f t="shared" si="80"/>
        <v>13850</v>
      </c>
      <c r="C473" s="465">
        <f t="shared" ca="1" si="74"/>
        <v>37</v>
      </c>
      <c r="D473" s="465">
        <f ca="1">IF(H473&lt;0,0,IF((H472+G473)&lt;(K55-L55),H472+G473,K55-L55))</f>
        <v>0</v>
      </c>
      <c r="E473" s="465">
        <f ca="1">IF($D$10=1,IF(MONTH(B473)=MONTH($D$7),D472-'Sch3-Perf Period Cash Flow'!AO7,0),IF(MONTH(B473)=MONTH(EDATE($D$7,11)),MIN(D461,H472)-'Sch3-Perf Period Cash Flow'!AO7,0))</f>
        <v>-1</v>
      </c>
      <c r="F473" s="465">
        <f t="shared" ca="1" si="77"/>
        <v>-1</v>
      </c>
      <c r="G473" s="465">
        <f t="shared" ca="1" si="78"/>
        <v>0</v>
      </c>
      <c r="H473" s="465">
        <f t="shared" ca="1" si="79"/>
        <v>38</v>
      </c>
      <c r="I473" s="466">
        <f t="shared" ca="1" si="75"/>
        <v>-38</v>
      </c>
      <c r="J473" s="467"/>
      <c r="K473" s="467"/>
      <c r="L473" s="467"/>
    </row>
    <row r="474" spans="1:12">
      <c r="A474" s="463">
        <f t="shared" si="76"/>
        <v>457</v>
      </c>
      <c r="B474" s="464">
        <f t="shared" si="80"/>
        <v>13881</v>
      </c>
      <c r="C474" s="465">
        <f t="shared" ca="1" si="74"/>
        <v>38</v>
      </c>
      <c r="D474" s="463"/>
      <c r="E474" s="465">
        <f>IF($D$10=1,IF(MONTH(B474)=MONTH($D$7),D473-'Sch3-Perf Period Cash Flow'!AP7,0),IF(MONTH(B474)=MONTH(EDATE($D$7,11)),MIN(D462,H473)-'Sch3-Perf Period Cash Flow'!AP7,0))</f>
        <v>0</v>
      </c>
      <c r="F474" s="465">
        <f t="shared" ca="1" si="77"/>
        <v>0</v>
      </c>
      <c r="G474" s="465">
        <f t="shared" ca="1" si="78"/>
        <v>0</v>
      </c>
      <c r="H474" s="465">
        <f t="shared" ca="1" si="79"/>
        <v>38</v>
      </c>
      <c r="I474" s="466">
        <f t="shared" ca="1" si="75"/>
        <v>-38</v>
      </c>
      <c r="J474" s="467"/>
      <c r="K474" s="467"/>
      <c r="L474" s="467"/>
    </row>
    <row r="475" spans="1:12">
      <c r="A475" s="463">
        <f t="shared" si="76"/>
        <v>458</v>
      </c>
      <c r="B475" s="464">
        <f t="shared" si="80"/>
        <v>13912</v>
      </c>
      <c r="C475" s="465">
        <f t="shared" ca="1" si="74"/>
        <v>38</v>
      </c>
      <c r="D475" s="463"/>
      <c r="E475" s="465">
        <f t="shared" si="73"/>
        <v>0</v>
      </c>
      <c r="F475" s="465">
        <f t="shared" ca="1" si="77"/>
        <v>0</v>
      </c>
      <c r="G475" s="465">
        <f t="shared" ca="1" si="78"/>
        <v>0</v>
      </c>
      <c r="H475" s="465">
        <f t="shared" ca="1" si="79"/>
        <v>38</v>
      </c>
      <c r="I475" s="466">
        <f t="shared" ca="1" si="75"/>
        <v>-38</v>
      </c>
      <c r="J475" s="467"/>
      <c r="K475" s="467"/>
      <c r="L475" s="467"/>
    </row>
    <row r="476" spans="1:12">
      <c r="A476" s="463">
        <f t="shared" si="76"/>
        <v>459</v>
      </c>
      <c r="B476" s="464">
        <f t="shared" si="80"/>
        <v>13940</v>
      </c>
      <c r="C476" s="465">
        <f t="shared" ca="1" si="74"/>
        <v>38</v>
      </c>
      <c r="D476" s="463"/>
      <c r="E476" s="465">
        <f t="shared" si="73"/>
        <v>0</v>
      </c>
      <c r="F476" s="465">
        <f t="shared" ca="1" si="77"/>
        <v>0</v>
      </c>
      <c r="G476" s="465">
        <f t="shared" ca="1" si="78"/>
        <v>0</v>
      </c>
      <c r="H476" s="465">
        <f t="shared" ca="1" si="79"/>
        <v>38</v>
      </c>
      <c r="I476" s="466">
        <f t="shared" ca="1" si="75"/>
        <v>-38</v>
      </c>
      <c r="J476" s="467"/>
      <c r="K476" s="467"/>
      <c r="L476" s="467"/>
    </row>
    <row r="477" spans="1:12">
      <c r="A477" s="463">
        <f t="shared" si="76"/>
        <v>460</v>
      </c>
      <c r="B477" s="464">
        <f t="shared" si="80"/>
        <v>13971</v>
      </c>
      <c r="C477" s="465">
        <f t="shared" ca="1" si="74"/>
        <v>38</v>
      </c>
      <c r="D477" s="463"/>
      <c r="E477" s="465">
        <f t="shared" si="73"/>
        <v>0</v>
      </c>
      <c r="F477" s="465">
        <f t="shared" ca="1" si="77"/>
        <v>0</v>
      </c>
      <c r="G477" s="465">
        <f t="shared" ca="1" si="78"/>
        <v>0</v>
      </c>
      <c r="H477" s="465">
        <f t="shared" ca="1" si="79"/>
        <v>38</v>
      </c>
      <c r="I477" s="466">
        <f t="shared" ca="1" si="75"/>
        <v>-38</v>
      </c>
      <c r="J477" s="467"/>
      <c r="K477" s="467"/>
      <c r="L477" s="467"/>
    </row>
    <row r="478" spans="1:12">
      <c r="A478" s="463">
        <f t="shared" si="76"/>
        <v>461</v>
      </c>
      <c r="B478" s="464">
        <f t="shared" si="80"/>
        <v>14001</v>
      </c>
      <c r="C478" s="465">
        <f t="shared" ca="1" si="74"/>
        <v>38</v>
      </c>
      <c r="D478" s="463"/>
      <c r="E478" s="465">
        <f t="shared" si="73"/>
        <v>0</v>
      </c>
      <c r="F478" s="465">
        <f t="shared" ca="1" si="77"/>
        <v>0</v>
      </c>
      <c r="G478" s="465">
        <f t="shared" ca="1" si="78"/>
        <v>0</v>
      </c>
      <c r="H478" s="465">
        <f t="shared" ca="1" si="79"/>
        <v>38</v>
      </c>
      <c r="I478" s="466">
        <f t="shared" ca="1" si="75"/>
        <v>-38</v>
      </c>
      <c r="J478" s="467"/>
      <c r="K478" s="467"/>
      <c r="L478" s="467"/>
    </row>
    <row r="479" spans="1:12">
      <c r="A479" s="463">
        <f t="shared" si="76"/>
        <v>462</v>
      </c>
      <c r="B479" s="464">
        <f t="shared" si="80"/>
        <v>14032</v>
      </c>
      <c r="C479" s="465">
        <f t="shared" ca="1" si="74"/>
        <v>38</v>
      </c>
      <c r="D479" s="463"/>
      <c r="E479" s="465">
        <f t="shared" si="73"/>
        <v>0</v>
      </c>
      <c r="F479" s="465">
        <f t="shared" ca="1" si="77"/>
        <v>0</v>
      </c>
      <c r="G479" s="465">
        <f t="shared" ca="1" si="78"/>
        <v>0</v>
      </c>
      <c r="H479" s="465">
        <f t="shared" ca="1" si="79"/>
        <v>38</v>
      </c>
      <c r="I479" s="466">
        <f t="shared" ca="1" si="75"/>
        <v>-38</v>
      </c>
      <c r="J479" s="467"/>
      <c r="K479" s="467"/>
      <c r="L479" s="467"/>
    </row>
    <row r="480" spans="1:12">
      <c r="A480" s="463">
        <f t="shared" si="76"/>
        <v>463</v>
      </c>
      <c r="B480" s="464">
        <f t="shared" si="80"/>
        <v>14062</v>
      </c>
      <c r="C480" s="465">
        <f t="shared" ca="1" si="74"/>
        <v>38</v>
      </c>
      <c r="D480" s="463"/>
      <c r="E480" s="465">
        <f t="shared" si="73"/>
        <v>0</v>
      </c>
      <c r="F480" s="465">
        <f t="shared" ca="1" si="77"/>
        <v>0</v>
      </c>
      <c r="G480" s="465">
        <f t="shared" ca="1" si="78"/>
        <v>0</v>
      </c>
      <c r="H480" s="465">
        <f t="shared" ca="1" si="79"/>
        <v>38</v>
      </c>
      <c r="I480" s="466">
        <f t="shared" ca="1" si="75"/>
        <v>-38</v>
      </c>
      <c r="J480" s="467"/>
      <c r="K480" s="467"/>
      <c r="L480" s="467"/>
    </row>
    <row r="481" spans="1:12">
      <c r="A481" s="463">
        <f t="shared" si="76"/>
        <v>464</v>
      </c>
      <c r="B481" s="464">
        <f t="shared" si="80"/>
        <v>14093</v>
      </c>
      <c r="C481" s="465">
        <f t="shared" ca="1" si="74"/>
        <v>38</v>
      </c>
      <c r="D481" s="463"/>
      <c r="E481" s="465">
        <f t="shared" si="73"/>
        <v>0</v>
      </c>
      <c r="F481" s="465">
        <f t="shared" ca="1" si="77"/>
        <v>0</v>
      </c>
      <c r="G481" s="465">
        <f t="shared" ca="1" si="78"/>
        <v>0</v>
      </c>
      <c r="H481" s="465">
        <f t="shared" ca="1" si="79"/>
        <v>38</v>
      </c>
      <c r="I481" s="466">
        <f t="shared" ca="1" si="75"/>
        <v>-38</v>
      </c>
      <c r="J481" s="467"/>
      <c r="K481" s="467"/>
      <c r="L481" s="467"/>
    </row>
    <row r="482" spans="1:12">
      <c r="A482" s="463">
        <f t="shared" si="76"/>
        <v>465</v>
      </c>
      <c r="B482" s="464">
        <f t="shared" si="80"/>
        <v>14124</v>
      </c>
      <c r="C482" s="465">
        <f t="shared" ca="1" si="74"/>
        <v>38</v>
      </c>
      <c r="D482" s="463"/>
      <c r="E482" s="465">
        <f t="shared" si="73"/>
        <v>0</v>
      </c>
      <c r="F482" s="465">
        <f t="shared" ca="1" si="77"/>
        <v>0</v>
      </c>
      <c r="G482" s="465">
        <f t="shared" ca="1" si="78"/>
        <v>0</v>
      </c>
      <c r="H482" s="465">
        <f t="shared" ca="1" si="79"/>
        <v>38</v>
      </c>
      <c r="I482" s="466">
        <f t="shared" ca="1" si="75"/>
        <v>-38</v>
      </c>
      <c r="J482" s="467"/>
      <c r="K482" s="467"/>
      <c r="L482" s="467"/>
    </row>
    <row r="483" spans="1:12">
      <c r="A483" s="463">
        <f t="shared" si="76"/>
        <v>466</v>
      </c>
      <c r="B483" s="464">
        <f t="shared" si="80"/>
        <v>14154</v>
      </c>
      <c r="C483" s="465">
        <f t="shared" ca="1" si="74"/>
        <v>38</v>
      </c>
      <c r="D483" s="463"/>
      <c r="E483" s="465">
        <f t="shared" si="73"/>
        <v>0</v>
      </c>
      <c r="F483" s="465">
        <f t="shared" ca="1" si="77"/>
        <v>0</v>
      </c>
      <c r="G483" s="465">
        <f t="shared" ca="1" si="78"/>
        <v>0</v>
      </c>
      <c r="H483" s="465">
        <f t="shared" ca="1" si="79"/>
        <v>38</v>
      </c>
      <c r="I483" s="466">
        <f t="shared" ca="1" si="75"/>
        <v>-38</v>
      </c>
      <c r="J483" s="467"/>
      <c r="K483" s="467"/>
      <c r="L483" s="467"/>
    </row>
    <row r="484" spans="1:12">
      <c r="A484" s="463">
        <f t="shared" si="76"/>
        <v>467</v>
      </c>
      <c r="B484" s="464">
        <f t="shared" si="80"/>
        <v>14185</v>
      </c>
      <c r="C484" s="465">
        <f t="shared" ca="1" si="74"/>
        <v>38</v>
      </c>
      <c r="D484" s="463"/>
      <c r="E484" s="465">
        <f>IF($D$10=1,IF(MONTH(B484)=MONTH($D$7),D483-'Sch3-Perf Period Cash Flow'!AB175,0),IF(MONTH(B484)=MONTH(EDATE($D$7,11)),IF(AND(H483&gt;D473,H483&lt;K209-L209), H483, MIN(D473,H483))-'Sch3-Perf Period Cash Flow'!AB175,0))</f>
        <v>0</v>
      </c>
      <c r="F484" s="465">
        <f t="shared" ca="1" si="77"/>
        <v>0</v>
      </c>
      <c r="G484" s="465">
        <f t="shared" ca="1" si="78"/>
        <v>0</v>
      </c>
      <c r="H484" s="465">
        <f t="shared" ca="1" si="79"/>
        <v>38</v>
      </c>
      <c r="I484" s="466">
        <f t="shared" ca="1" si="75"/>
        <v>-38</v>
      </c>
      <c r="J484" s="467"/>
      <c r="K484" s="467"/>
      <c r="L484" s="467"/>
    </row>
    <row r="485" spans="1:12">
      <c r="A485" s="463">
        <f t="shared" si="76"/>
        <v>468</v>
      </c>
      <c r="B485" s="464">
        <f t="shared" si="80"/>
        <v>14215</v>
      </c>
      <c r="C485" s="465">
        <f t="shared" ca="1" si="74"/>
        <v>38</v>
      </c>
      <c r="D485" s="465">
        <f ca="1">IF(H485&lt;0,0,IF((H484+G485)&lt;(K56-L56),H484+G485,K56-L56))</f>
        <v>0</v>
      </c>
      <c r="E485" s="465">
        <f ca="1">IF($D$10=1,IF(MONTH(B485)=MONTH($D$7),D484-'Sch3-Perf Period Cash Flow'!AP7,0),IF(MONTH(B485)=MONTH(EDATE($D$7,11)),MIN(D473,H484)-'Sch3-Perf Period Cash Flow'!AP7,0))</f>
        <v>-1</v>
      </c>
      <c r="F485" s="465">
        <f t="shared" ca="1" si="77"/>
        <v>-1</v>
      </c>
      <c r="G485" s="465">
        <f t="shared" ca="1" si="78"/>
        <v>0</v>
      </c>
      <c r="H485" s="465">
        <f t="shared" ca="1" si="79"/>
        <v>39</v>
      </c>
      <c r="I485" s="466">
        <f t="shared" ca="1" si="75"/>
        <v>-39</v>
      </c>
      <c r="J485" s="467"/>
      <c r="K485" s="467"/>
      <c r="L485" s="467"/>
    </row>
    <row r="486" spans="1:12">
      <c r="A486" s="463">
        <f t="shared" si="76"/>
        <v>469</v>
      </c>
      <c r="B486" s="464">
        <f t="shared" si="80"/>
        <v>14246</v>
      </c>
      <c r="C486" s="465">
        <f t="shared" ca="1" si="74"/>
        <v>39</v>
      </c>
      <c r="D486" s="463"/>
      <c r="E486" s="465">
        <f>IF($D$10=1,IF(MONTH(B486)=MONTH($D$7),D485-'Sch3-Perf Period Cash Flow'!AQ7,0),IF(MONTH(B486)=MONTH(EDATE($D$7,11)),MIN(D474,H485)-'Sch3-Perf Period Cash Flow'!AQ7,0))</f>
        <v>0</v>
      </c>
      <c r="F486" s="465">
        <f t="shared" ca="1" si="77"/>
        <v>0</v>
      </c>
      <c r="G486" s="465">
        <f t="shared" ca="1" si="78"/>
        <v>0</v>
      </c>
      <c r="H486" s="465">
        <f t="shared" ca="1" si="79"/>
        <v>39</v>
      </c>
      <c r="I486" s="466">
        <f t="shared" ca="1" si="75"/>
        <v>-39</v>
      </c>
      <c r="J486" s="467"/>
      <c r="K486" s="467"/>
      <c r="L486" s="467"/>
    </row>
    <row r="487" spans="1:12">
      <c r="A487" s="463">
        <f t="shared" si="76"/>
        <v>470</v>
      </c>
      <c r="B487" s="464">
        <f t="shared" si="80"/>
        <v>14277</v>
      </c>
      <c r="C487" s="465">
        <f t="shared" ca="1" si="74"/>
        <v>39</v>
      </c>
      <c r="D487" s="463"/>
      <c r="E487" s="465">
        <f t="shared" ref="E487:E495" si="81">IF($D$10=1,IF(MONTH(B487)=MONTH($D$7),D486,0),IF(MONTH(B487)=MONTH(EDATE($D$7,11)),MIN(D475,H486),0))</f>
        <v>0</v>
      </c>
      <c r="F487" s="465">
        <f t="shared" ca="1" si="77"/>
        <v>0</v>
      </c>
      <c r="G487" s="465">
        <f t="shared" ca="1" si="78"/>
        <v>0</v>
      </c>
      <c r="H487" s="465">
        <f t="shared" ca="1" si="79"/>
        <v>39</v>
      </c>
      <c r="I487" s="466">
        <f t="shared" ca="1" si="75"/>
        <v>-39</v>
      </c>
      <c r="J487" s="467"/>
      <c r="K487" s="467"/>
      <c r="L487" s="467"/>
    </row>
    <row r="488" spans="1:12">
      <c r="A488" s="463">
        <f t="shared" si="76"/>
        <v>471</v>
      </c>
      <c r="B488" s="464">
        <f t="shared" si="80"/>
        <v>14305</v>
      </c>
      <c r="C488" s="465">
        <f t="shared" ca="1" si="74"/>
        <v>39</v>
      </c>
      <c r="D488" s="463"/>
      <c r="E488" s="465">
        <f t="shared" si="81"/>
        <v>0</v>
      </c>
      <c r="F488" s="465">
        <f t="shared" ca="1" si="77"/>
        <v>0</v>
      </c>
      <c r="G488" s="465">
        <f t="shared" ca="1" si="78"/>
        <v>0</v>
      </c>
      <c r="H488" s="465">
        <f t="shared" ca="1" si="79"/>
        <v>39</v>
      </c>
      <c r="I488" s="466">
        <f t="shared" ca="1" si="75"/>
        <v>-39</v>
      </c>
      <c r="J488" s="467"/>
      <c r="K488" s="467"/>
      <c r="L488" s="467"/>
    </row>
    <row r="489" spans="1:12">
      <c r="A489" s="463">
        <f t="shared" si="76"/>
        <v>472</v>
      </c>
      <c r="B489" s="464">
        <f t="shared" si="80"/>
        <v>14336</v>
      </c>
      <c r="C489" s="465">
        <f t="shared" ca="1" si="74"/>
        <v>39</v>
      </c>
      <c r="D489" s="463"/>
      <c r="E489" s="465">
        <f t="shared" si="81"/>
        <v>0</v>
      </c>
      <c r="F489" s="465">
        <f t="shared" ca="1" si="77"/>
        <v>0</v>
      </c>
      <c r="G489" s="465">
        <f t="shared" ca="1" si="78"/>
        <v>0</v>
      </c>
      <c r="H489" s="465">
        <f t="shared" ca="1" si="79"/>
        <v>39</v>
      </c>
      <c r="I489" s="466">
        <f t="shared" ca="1" si="75"/>
        <v>-39</v>
      </c>
      <c r="J489" s="467"/>
      <c r="K489" s="467"/>
      <c r="L489" s="467"/>
    </row>
    <row r="490" spans="1:12">
      <c r="A490" s="463">
        <f t="shared" si="76"/>
        <v>473</v>
      </c>
      <c r="B490" s="464">
        <f t="shared" si="80"/>
        <v>14366</v>
      </c>
      <c r="C490" s="465">
        <f t="shared" ca="1" si="74"/>
        <v>39</v>
      </c>
      <c r="D490" s="463"/>
      <c r="E490" s="465">
        <f t="shared" si="81"/>
        <v>0</v>
      </c>
      <c r="F490" s="465">
        <f t="shared" ca="1" si="77"/>
        <v>0</v>
      </c>
      <c r="G490" s="465">
        <f t="shared" ca="1" si="78"/>
        <v>0</v>
      </c>
      <c r="H490" s="465">
        <f t="shared" ca="1" si="79"/>
        <v>39</v>
      </c>
      <c r="I490" s="466">
        <f t="shared" ca="1" si="75"/>
        <v>-39</v>
      </c>
      <c r="J490" s="467"/>
      <c r="K490" s="467"/>
      <c r="L490" s="467"/>
    </row>
    <row r="491" spans="1:12">
      <c r="A491" s="463">
        <f t="shared" si="76"/>
        <v>474</v>
      </c>
      <c r="B491" s="464">
        <f t="shared" si="80"/>
        <v>14397</v>
      </c>
      <c r="C491" s="465">
        <f t="shared" ca="1" si="74"/>
        <v>39</v>
      </c>
      <c r="D491" s="463"/>
      <c r="E491" s="465">
        <f t="shared" si="81"/>
        <v>0</v>
      </c>
      <c r="F491" s="465">
        <f t="shared" ca="1" si="77"/>
        <v>0</v>
      </c>
      <c r="G491" s="465">
        <f t="shared" ca="1" si="78"/>
        <v>0</v>
      </c>
      <c r="H491" s="465">
        <f t="shared" ca="1" si="79"/>
        <v>39</v>
      </c>
      <c r="I491" s="466">
        <f t="shared" ca="1" si="75"/>
        <v>-39</v>
      </c>
      <c r="J491" s="467"/>
      <c r="K491" s="467"/>
      <c r="L491" s="467"/>
    </row>
    <row r="492" spans="1:12">
      <c r="A492" s="463">
        <f t="shared" si="76"/>
        <v>475</v>
      </c>
      <c r="B492" s="464">
        <f t="shared" si="80"/>
        <v>14427</v>
      </c>
      <c r="C492" s="465">
        <f t="shared" ca="1" si="74"/>
        <v>39</v>
      </c>
      <c r="D492" s="463"/>
      <c r="E492" s="465">
        <f t="shared" si="81"/>
        <v>0</v>
      </c>
      <c r="F492" s="465">
        <f t="shared" ca="1" si="77"/>
        <v>0</v>
      </c>
      <c r="G492" s="465">
        <f t="shared" ca="1" si="78"/>
        <v>0</v>
      </c>
      <c r="H492" s="465">
        <f t="shared" ca="1" si="79"/>
        <v>39</v>
      </c>
      <c r="I492" s="466">
        <f t="shared" ca="1" si="75"/>
        <v>-39</v>
      </c>
      <c r="J492" s="467"/>
      <c r="K492" s="467"/>
      <c r="L492" s="467"/>
    </row>
    <row r="493" spans="1:12">
      <c r="A493" s="463">
        <f t="shared" si="76"/>
        <v>476</v>
      </c>
      <c r="B493" s="464">
        <f t="shared" si="80"/>
        <v>14458</v>
      </c>
      <c r="C493" s="465">
        <f t="shared" ca="1" si="74"/>
        <v>39</v>
      </c>
      <c r="D493" s="463"/>
      <c r="E493" s="465">
        <f t="shared" si="81"/>
        <v>0</v>
      </c>
      <c r="F493" s="465">
        <f t="shared" ca="1" si="77"/>
        <v>0</v>
      </c>
      <c r="G493" s="465">
        <f t="shared" ca="1" si="78"/>
        <v>0</v>
      </c>
      <c r="H493" s="465">
        <f t="shared" ca="1" si="79"/>
        <v>39</v>
      </c>
      <c r="I493" s="466">
        <f t="shared" ca="1" si="75"/>
        <v>-39</v>
      </c>
      <c r="J493" s="467"/>
      <c r="K493" s="467"/>
      <c r="L493" s="467"/>
    </row>
    <row r="494" spans="1:12">
      <c r="A494" s="463">
        <f t="shared" si="76"/>
        <v>477</v>
      </c>
      <c r="B494" s="464">
        <f t="shared" si="80"/>
        <v>14489</v>
      </c>
      <c r="C494" s="465">
        <f t="shared" ca="1" si="74"/>
        <v>39</v>
      </c>
      <c r="D494" s="463"/>
      <c r="E494" s="465">
        <f t="shared" si="81"/>
        <v>0</v>
      </c>
      <c r="F494" s="465">
        <f t="shared" ca="1" si="77"/>
        <v>0</v>
      </c>
      <c r="G494" s="465">
        <f t="shared" ca="1" si="78"/>
        <v>0</v>
      </c>
      <c r="H494" s="465">
        <f t="shared" ca="1" si="79"/>
        <v>39</v>
      </c>
      <c r="I494" s="466">
        <f t="shared" ca="1" si="75"/>
        <v>-39</v>
      </c>
      <c r="J494" s="467"/>
      <c r="K494" s="467"/>
      <c r="L494" s="467"/>
    </row>
    <row r="495" spans="1:12">
      <c r="A495" s="463">
        <f t="shared" si="76"/>
        <v>478</v>
      </c>
      <c r="B495" s="464">
        <f t="shared" si="80"/>
        <v>14519</v>
      </c>
      <c r="C495" s="465">
        <f t="shared" ca="1" si="74"/>
        <v>39</v>
      </c>
      <c r="D495" s="463"/>
      <c r="E495" s="465">
        <f t="shared" si="81"/>
        <v>0</v>
      </c>
      <c r="F495" s="465">
        <f t="shared" ca="1" si="77"/>
        <v>0</v>
      </c>
      <c r="G495" s="465">
        <f t="shared" ca="1" si="78"/>
        <v>0</v>
      </c>
      <c r="H495" s="465">
        <f t="shared" ca="1" si="79"/>
        <v>39</v>
      </c>
      <c r="I495" s="466">
        <f t="shared" ca="1" si="75"/>
        <v>-39</v>
      </c>
      <c r="J495" s="467"/>
      <c r="K495" s="467"/>
      <c r="L495" s="467"/>
    </row>
    <row r="496" spans="1:12">
      <c r="A496" s="463">
        <f t="shared" si="76"/>
        <v>479</v>
      </c>
      <c r="B496" s="464">
        <f t="shared" si="80"/>
        <v>14550</v>
      </c>
      <c r="C496" s="465">
        <f t="shared" ca="1" si="74"/>
        <v>39</v>
      </c>
      <c r="D496" s="463"/>
      <c r="E496" s="465">
        <f>IF($D$10=1,IF(MONTH(B496)=MONTH($D$7),D495-'Sch3-Perf Period Cash Flow'!AB187,0),IF(MONTH(B496)=MONTH(EDATE($D$7,11)),IF(AND(H495&gt;D485,H495&lt;K221-L221), H495, MIN(D485,H495))-'Sch3-Perf Period Cash Flow'!AB187,0))</f>
        <v>0</v>
      </c>
      <c r="F496" s="465">
        <f t="shared" ca="1" si="77"/>
        <v>0</v>
      </c>
      <c r="G496" s="465">
        <f t="shared" ca="1" si="78"/>
        <v>0</v>
      </c>
      <c r="H496" s="465">
        <f t="shared" ca="1" si="79"/>
        <v>39</v>
      </c>
      <c r="I496" s="466">
        <f t="shared" ca="1" si="75"/>
        <v>-39</v>
      </c>
      <c r="J496" s="467"/>
      <c r="K496" s="467"/>
      <c r="L496" s="467"/>
    </row>
    <row r="497" spans="1:12">
      <c r="A497" s="463">
        <f t="shared" si="76"/>
        <v>480</v>
      </c>
      <c r="B497" s="464">
        <f t="shared" si="80"/>
        <v>14580</v>
      </c>
      <c r="C497" s="465">
        <f t="shared" ca="1" si="74"/>
        <v>39</v>
      </c>
      <c r="D497" s="465">
        <f ca="1">IF(H497&lt;0,0,IF((H496+G497)&lt;(K57-L57),H496+G497,K57-L57))</f>
        <v>0</v>
      </c>
      <c r="E497" s="465">
        <f ca="1">IF($D$10=1,IF(MONTH(B497)=MONTH($D$7),D496-'Sch3-Perf Period Cash Flow'!AQ7,0),IF(MONTH(B497)=MONTH(EDATE($D$7,11)),MIN(D485,H496)-'Sch3-Perf Period Cash Flow'!AQ7,0))</f>
        <v>-1</v>
      </c>
      <c r="F497" s="465">
        <f t="shared" ca="1" si="77"/>
        <v>-1</v>
      </c>
      <c r="G497" s="465">
        <f t="shared" ca="1" si="78"/>
        <v>0</v>
      </c>
      <c r="H497" s="465">
        <f t="shared" ca="1" si="79"/>
        <v>40</v>
      </c>
      <c r="I497" s="466">
        <f t="shared" ca="1" si="75"/>
        <v>-40</v>
      </c>
      <c r="J497" s="467"/>
      <c r="K497" s="467"/>
      <c r="L497" s="467"/>
    </row>
    <row r="498" spans="1:12">
      <c r="A498" s="468"/>
      <c r="B498" s="468"/>
      <c r="C498" s="468"/>
      <c r="D498" s="468"/>
      <c r="E498" s="468"/>
      <c r="F498" s="468"/>
      <c r="G498" s="468"/>
      <c r="H498" s="468" cm="1">
        <f t="array" ref="H498">INDEX(A17:A497,MATCH(TRUE,INDEX(I17:I497&gt;=0,),0))</f>
        <v>0</v>
      </c>
      <c r="I498" s="469"/>
      <c r="J498" s="467"/>
      <c r="K498" s="467"/>
      <c r="L498" s="467"/>
    </row>
  </sheetData>
  <mergeCells count="11">
    <mergeCell ref="A11:C11"/>
    <mergeCell ref="A12:C12"/>
    <mergeCell ref="A13:C13"/>
    <mergeCell ref="A14:C14"/>
    <mergeCell ref="A15:C15"/>
    <mergeCell ref="A10:C10"/>
    <mergeCell ref="A1:H1"/>
    <mergeCell ref="A4:C4"/>
    <mergeCell ref="A5:C5"/>
    <mergeCell ref="A6:C6"/>
    <mergeCell ref="A7:C7"/>
  </mergeCells>
  <pageMargins left="0.75" right="0.5" top="0.5" bottom="0.5" header="0.5" footer="0.5"/>
  <pageSetup orientation="portrait" horizontalDpi="4294967292" verticalDpi="4294967292"/>
  <headerFooter alignWithMargins="0">
    <oddFooter>&amp;C_x000D_&amp;1#&amp;"Calibri"&amp;6&amp;K626469 General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FED6B3-CCAA-E74A-86B5-5CDDC2A41DE6}">
  <sheetPr>
    <pageSetUpPr fitToPage="1"/>
  </sheetPr>
  <dimension ref="A1:V498"/>
  <sheetViews>
    <sheetView showGridLines="0" zoomScale="110" zoomScaleNormal="110" zoomScalePageLayoutView="125" workbookViewId="0">
      <pane ySplit="16" topLeftCell="A51" activePane="bottomLeft" state="frozenSplit"/>
      <selection activeCell="M30" sqref="M30"/>
      <selection pane="bottomLeft" activeCell="L17" sqref="L17:L56"/>
    </sheetView>
  </sheetViews>
  <sheetFormatPr defaultColWidth="8.83203125" defaultRowHeight="12.5"/>
  <cols>
    <col min="1" max="1" width="6.33203125" style="301" customWidth="1"/>
    <col min="2" max="2" width="12.5" style="301" customWidth="1"/>
    <col min="3" max="3" width="16.5" style="301" customWidth="1"/>
    <col min="4" max="4" width="15.5" style="301" customWidth="1"/>
    <col min="5" max="5" width="17" style="301" customWidth="1"/>
    <col min="6" max="6" width="16" style="301" customWidth="1"/>
    <col min="7" max="7" width="14.5" style="301" customWidth="1"/>
    <col min="8" max="8" width="21" style="301" customWidth="1"/>
    <col min="9" max="9" width="15" style="266" customWidth="1"/>
    <col min="10" max="10" width="8.33203125" style="267" customWidth="1"/>
    <col min="11" max="12" width="17.33203125" style="267" customWidth="1"/>
    <col min="13" max="13" width="14.33203125" style="267" customWidth="1"/>
    <col min="14" max="14" width="15" style="267" customWidth="1"/>
    <col min="15" max="15" width="14.5" style="267" customWidth="1"/>
    <col min="16" max="16" width="8.83203125" style="267"/>
    <col min="17" max="17" width="10.5" style="267" bestFit="1" customWidth="1"/>
    <col min="18" max="253" width="8.83203125" style="267"/>
    <col min="254" max="254" width="4.5" style="267" customWidth="1"/>
    <col min="255" max="255" width="12.5" style="267" customWidth="1"/>
    <col min="256" max="256" width="11.83203125" style="267" customWidth="1"/>
    <col min="257" max="257" width="12.83203125" style="267" customWidth="1"/>
    <col min="258" max="258" width="11" style="267" customWidth="1"/>
    <col min="259" max="259" width="11.5" style="267" customWidth="1"/>
    <col min="260" max="261" width="11.33203125" style="267" customWidth="1"/>
    <col min="262" max="262" width="13.5" style="267" customWidth="1"/>
    <col min="263" max="509" width="8.83203125" style="267"/>
    <col min="510" max="510" width="4.5" style="267" customWidth="1"/>
    <col min="511" max="511" width="12.5" style="267" customWidth="1"/>
    <col min="512" max="512" width="11.83203125" style="267" customWidth="1"/>
    <col min="513" max="513" width="12.83203125" style="267" customWidth="1"/>
    <col min="514" max="514" width="11" style="267" customWidth="1"/>
    <col min="515" max="515" width="11.5" style="267" customWidth="1"/>
    <col min="516" max="517" width="11.33203125" style="267" customWidth="1"/>
    <col min="518" max="518" width="13.5" style="267" customWidth="1"/>
    <col min="519" max="765" width="8.83203125" style="267"/>
    <col min="766" max="766" width="4.5" style="267" customWidth="1"/>
    <col min="767" max="767" width="12.5" style="267" customWidth="1"/>
    <col min="768" max="768" width="11.83203125" style="267" customWidth="1"/>
    <col min="769" max="769" width="12.83203125" style="267" customWidth="1"/>
    <col min="770" max="770" width="11" style="267" customWidth="1"/>
    <col min="771" max="771" width="11.5" style="267" customWidth="1"/>
    <col min="772" max="773" width="11.33203125" style="267" customWidth="1"/>
    <col min="774" max="774" width="13.5" style="267" customWidth="1"/>
    <col min="775" max="1021" width="8.83203125" style="267"/>
    <col min="1022" max="1022" width="4.5" style="267" customWidth="1"/>
    <col min="1023" max="1023" width="12.5" style="267" customWidth="1"/>
    <col min="1024" max="1024" width="11.83203125" style="267" customWidth="1"/>
    <col min="1025" max="1025" width="12.83203125" style="267" customWidth="1"/>
    <col min="1026" max="1026" width="11" style="267" customWidth="1"/>
    <col min="1027" max="1027" width="11.5" style="267" customWidth="1"/>
    <col min="1028" max="1029" width="11.33203125" style="267" customWidth="1"/>
    <col min="1030" max="1030" width="13.5" style="267" customWidth="1"/>
    <col min="1031" max="1277" width="8.83203125" style="267"/>
    <col min="1278" max="1278" width="4.5" style="267" customWidth="1"/>
    <col min="1279" max="1279" width="12.5" style="267" customWidth="1"/>
    <col min="1280" max="1280" width="11.83203125" style="267" customWidth="1"/>
    <col min="1281" max="1281" width="12.83203125" style="267" customWidth="1"/>
    <col min="1282" max="1282" width="11" style="267" customWidth="1"/>
    <col min="1283" max="1283" width="11.5" style="267" customWidth="1"/>
    <col min="1284" max="1285" width="11.33203125" style="267" customWidth="1"/>
    <col min="1286" max="1286" width="13.5" style="267" customWidth="1"/>
    <col min="1287" max="1533" width="8.83203125" style="267"/>
    <col min="1534" max="1534" width="4.5" style="267" customWidth="1"/>
    <col min="1535" max="1535" width="12.5" style="267" customWidth="1"/>
    <col min="1536" max="1536" width="11.83203125" style="267" customWidth="1"/>
    <col min="1537" max="1537" width="12.83203125" style="267" customWidth="1"/>
    <col min="1538" max="1538" width="11" style="267" customWidth="1"/>
    <col min="1539" max="1539" width="11.5" style="267" customWidth="1"/>
    <col min="1540" max="1541" width="11.33203125" style="267" customWidth="1"/>
    <col min="1542" max="1542" width="13.5" style="267" customWidth="1"/>
    <col min="1543" max="1789" width="8.83203125" style="267"/>
    <col min="1790" max="1790" width="4.5" style="267" customWidth="1"/>
    <col min="1791" max="1791" width="12.5" style="267" customWidth="1"/>
    <col min="1792" max="1792" width="11.83203125" style="267" customWidth="1"/>
    <col min="1793" max="1793" width="12.83203125" style="267" customWidth="1"/>
    <col min="1794" max="1794" width="11" style="267" customWidth="1"/>
    <col min="1795" max="1795" width="11.5" style="267" customWidth="1"/>
    <col min="1796" max="1797" width="11.33203125" style="267" customWidth="1"/>
    <col min="1798" max="1798" width="13.5" style="267" customWidth="1"/>
    <col min="1799" max="2045" width="8.83203125" style="267"/>
    <col min="2046" max="2046" width="4.5" style="267" customWidth="1"/>
    <col min="2047" max="2047" width="12.5" style="267" customWidth="1"/>
    <col min="2048" max="2048" width="11.83203125" style="267" customWidth="1"/>
    <col min="2049" max="2049" width="12.83203125" style="267" customWidth="1"/>
    <col min="2050" max="2050" width="11" style="267" customWidth="1"/>
    <col min="2051" max="2051" width="11.5" style="267" customWidth="1"/>
    <col min="2052" max="2053" width="11.33203125" style="267" customWidth="1"/>
    <col min="2054" max="2054" width="13.5" style="267" customWidth="1"/>
    <col min="2055" max="2301" width="8.83203125" style="267"/>
    <col min="2302" max="2302" width="4.5" style="267" customWidth="1"/>
    <col min="2303" max="2303" width="12.5" style="267" customWidth="1"/>
    <col min="2304" max="2304" width="11.83203125" style="267" customWidth="1"/>
    <col min="2305" max="2305" width="12.83203125" style="267" customWidth="1"/>
    <col min="2306" max="2306" width="11" style="267" customWidth="1"/>
    <col min="2307" max="2307" width="11.5" style="267" customWidth="1"/>
    <col min="2308" max="2309" width="11.33203125" style="267" customWidth="1"/>
    <col min="2310" max="2310" width="13.5" style="267" customWidth="1"/>
    <col min="2311" max="2557" width="8.83203125" style="267"/>
    <col min="2558" max="2558" width="4.5" style="267" customWidth="1"/>
    <col min="2559" max="2559" width="12.5" style="267" customWidth="1"/>
    <col min="2560" max="2560" width="11.83203125" style="267" customWidth="1"/>
    <col min="2561" max="2561" width="12.83203125" style="267" customWidth="1"/>
    <col min="2562" max="2562" width="11" style="267" customWidth="1"/>
    <col min="2563" max="2563" width="11.5" style="267" customWidth="1"/>
    <col min="2564" max="2565" width="11.33203125" style="267" customWidth="1"/>
    <col min="2566" max="2566" width="13.5" style="267" customWidth="1"/>
    <col min="2567" max="2813" width="8.83203125" style="267"/>
    <col min="2814" max="2814" width="4.5" style="267" customWidth="1"/>
    <col min="2815" max="2815" width="12.5" style="267" customWidth="1"/>
    <col min="2816" max="2816" width="11.83203125" style="267" customWidth="1"/>
    <col min="2817" max="2817" width="12.83203125" style="267" customWidth="1"/>
    <col min="2818" max="2818" width="11" style="267" customWidth="1"/>
    <col min="2819" max="2819" width="11.5" style="267" customWidth="1"/>
    <col min="2820" max="2821" width="11.33203125" style="267" customWidth="1"/>
    <col min="2822" max="2822" width="13.5" style="267" customWidth="1"/>
    <col min="2823" max="3069" width="8.83203125" style="267"/>
    <col min="3070" max="3070" width="4.5" style="267" customWidth="1"/>
    <col min="3071" max="3071" width="12.5" style="267" customWidth="1"/>
    <col min="3072" max="3072" width="11.83203125" style="267" customWidth="1"/>
    <col min="3073" max="3073" width="12.83203125" style="267" customWidth="1"/>
    <col min="3074" max="3074" width="11" style="267" customWidth="1"/>
    <col min="3075" max="3075" width="11.5" style="267" customWidth="1"/>
    <col min="3076" max="3077" width="11.33203125" style="267" customWidth="1"/>
    <col min="3078" max="3078" width="13.5" style="267" customWidth="1"/>
    <col min="3079" max="3325" width="8.83203125" style="267"/>
    <col min="3326" max="3326" width="4.5" style="267" customWidth="1"/>
    <col min="3327" max="3327" width="12.5" style="267" customWidth="1"/>
    <col min="3328" max="3328" width="11.83203125" style="267" customWidth="1"/>
    <col min="3329" max="3329" width="12.83203125" style="267" customWidth="1"/>
    <col min="3330" max="3330" width="11" style="267" customWidth="1"/>
    <col min="3331" max="3331" width="11.5" style="267" customWidth="1"/>
    <col min="3332" max="3333" width="11.33203125" style="267" customWidth="1"/>
    <col min="3334" max="3334" width="13.5" style="267" customWidth="1"/>
    <col min="3335" max="3581" width="8.83203125" style="267"/>
    <col min="3582" max="3582" width="4.5" style="267" customWidth="1"/>
    <col min="3583" max="3583" width="12.5" style="267" customWidth="1"/>
    <col min="3584" max="3584" width="11.83203125" style="267" customWidth="1"/>
    <col min="3585" max="3585" width="12.83203125" style="267" customWidth="1"/>
    <col min="3586" max="3586" width="11" style="267" customWidth="1"/>
    <col min="3587" max="3587" width="11.5" style="267" customWidth="1"/>
    <col min="3588" max="3589" width="11.33203125" style="267" customWidth="1"/>
    <col min="3590" max="3590" width="13.5" style="267" customWidth="1"/>
    <col min="3591" max="3837" width="8.83203125" style="267"/>
    <col min="3838" max="3838" width="4.5" style="267" customWidth="1"/>
    <col min="3839" max="3839" width="12.5" style="267" customWidth="1"/>
    <col min="3840" max="3840" width="11.83203125" style="267" customWidth="1"/>
    <col min="3841" max="3841" width="12.83203125" style="267" customWidth="1"/>
    <col min="3842" max="3842" width="11" style="267" customWidth="1"/>
    <col min="3843" max="3843" width="11.5" style="267" customWidth="1"/>
    <col min="3844" max="3845" width="11.33203125" style="267" customWidth="1"/>
    <col min="3846" max="3846" width="13.5" style="267" customWidth="1"/>
    <col min="3847" max="4093" width="8.83203125" style="267"/>
    <col min="4094" max="4094" width="4.5" style="267" customWidth="1"/>
    <col min="4095" max="4095" width="12.5" style="267" customWidth="1"/>
    <col min="4096" max="4096" width="11.83203125" style="267" customWidth="1"/>
    <col min="4097" max="4097" width="12.83203125" style="267" customWidth="1"/>
    <col min="4098" max="4098" width="11" style="267" customWidth="1"/>
    <col min="4099" max="4099" width="11.5" style="267" customWidth="1"/>
    <col min="4100" max="4101" width="11.33203125" style="267" customWidth="1"/>
    <col min="4102" max="4102" width="13.5" style="267" customWidth="1"/>
    <col min="4103" max="4349" width="8.83203125" style="267"/>
    <col min="4350" max="4350" width="4.5" style="267" customWidth="1"/>
    <col min="4351" max="4351" width="12.5" style="267" customWidth="1"/>
    <col min="4352" max="4352" width="11.83203125" style="267" customWidth="1"/>
    <col min="4353" max="4353" width="12.83203125" style="267" customWidth="1"/>
    <col min="4354" max="4354" width="11" style="267" customWidth="1"/>
    <col min="4355" max="4355" width="11.5" style="267" customWidth="1"/>
    <col min="4356" max="4357" width="11.33203125" style="267" customWidth="1"/>
    <col min="4358" max="4358" width="13.5" style="267" customWidth="1"/>
    <col min="4359" max="4605" width="8.83203125" style="267"/>
    <col min="4606" max="4606" width="4.5" style="267" customWidth="1"/>
    <col min="4607" max="4607" width="12.5" style="267" customWidth="1"/>
    <col min="4608" max="4608" width="11.83203125" style="267" customWidth="1"/>
    <col min="4609" max="4609" width="12.83203125" style="267" customWidth="1"/>
    <col min="4610" max="4610" width="11" style="267" customWidth="1"/>
    <col min="4611" max="4611" width="11.5" style="267" customWidth="1"/>
    <col min="4612" max="4613" width="11.33203125" style="267" customWidth="1"/>
    <col min="4614" max="4614" width="13.5" style="267" customWidth="1"/>
    <col min="4615" max="4861" width="8.83203125" style="267"/>
    <col min="4862" max="4862" width="4.5" style="267" customWidth="1"/>
    <col min="4863" max="4863" width="12.5" style="267" customWidth="1"/>
    <col min="4864" max="4864" width="11.83203125" style="267" customWidth="1"/>
    <col min="4865" max="4865" width="12.83203125" style="267" customWidth="1"/>
    <col min="4866" max="4866" width="11" style="267" customWidth="1"/>
    <col min="4867" max="4867" width="11.5" style="267" customWidth="1"/>
    <col min="4868" max="4869" width="11.33203125" style="267" customWidth="1"/>
    <col min="4870" max="4870" width="13.5" style="267" customWidth="1"/>
    <col min="4871" max="5117" width="8.83203125" style="267"/>
    <col min="5118" max="5118" width="4.5" style="267" customWidth="1"/>
    <col min="5119" max="5119" width="12.5" style="267" customWidth="1"/>
    <col min="5120" max="5120" width="11.83203125" style="267" customWidth="1"/>
    <col min="5121" max="5121" width="12.83203125" style="267" customWidth="1"/>
    <col min="5122" max="5122" width="11" style="267" customWidth="1"/>
    <col min="5123" max="5123" width="11.5" style="267" customWidth="1"/>
    <col min="5124" max="5125" width="11.33203125" style="267" customWidth="1"/>
    <col min="5126" max="5126" width="13.5" style="267" customWidth="1"/>
    <col min="5127" max="5373" width="8.83203125" style="267"/>
    <col min="5374" max="5374" width="4.5" style="267" customWidth="1"/>
    <col min="5375" max="5375" width="12.5" style="267" customWidth="1"/>
    <col min="5376" max="5376" width="11.83203125" style="267" customWidth="1"/>
    <col min="5377" max="5377" width="12.83203125" style="267" customWidth="1"/>
    <col min="5378" max="5378" width="11" style="267" customWidth="1"/>
    <col min="5379" max="5379" width="11.5" style="267" customWidth="1"/>
    <col min="5380" max="5381" width="11.33203125" style="267" customWidth="1"/>
    <col min="5382" max="5382" width="13.5" style="267" customWidth="1"/>
    <col min="5383" max="5629" width="8.83203125" style="267"/>
    <col min="5630" max="5630" width="4.5" style="267" customWidth="1"/>
    <col min="5631" max="5631" width="12.5" style="267" customWidth="1"/>
    <col min="5632" max="5632" width="11.83203125" style="267" customWidth="1"/>
    <col min="5633" max="5633" width="12.83203125" style="267" customWidth="1"/>
    <col min="5634" max="5634" width="11" style="267" customWidth="1"/>
    <col min="5635" max="5635" width="11.5" style="267" customWidth="1"/>
    <col min="5636" max="5637" width="11.33203125" style="267" customWidth="1"/>
    <col min="5638" max="5638" width="13.5" style="267" customWidth="1"/>
    <col min="5639" max="5885" width="8.83203125" style="267"/>
    <col min="5886" max="5886" width="4.5" style="267" customWidth="1"/>
    <col min="5887" max="5887" width="12.5" style="267" customWidth="1"/>
    <col min="5888" max="5888" width="11.83203125" style="267" customWidth="1"/>
    <col min="5889" max="5889" width="12.83203125" style="267" customWidth="1"/>
    <col min="5890" max="5890" width="11" style="267" customWidth="1"/>
    <col min="5891" max="5891" width="11.5" style="267" customWidth="1"/>
    <col min="5892" max="5893" width="11.33203125" style="267" customWidth="1"/>
    <col min="5894" max="5894" width="13.5" style="267" customWidth="1"/>
    <col min="5895" max="6141" width="8.83203125" style="267"/>
    <col min="6142" max="6142" width="4.5" style="267" customWidth="1"/>
    <col min="6143" max="6143" width="12.5" style="267" customWidth="1"/>
    <col min="6144" max="6144" width="11.83203125" style="267" customWidth="1"/>
    <col min="6145" max="6145" width="12.83203125" style="267" customWidth="1"/>
    <col min="6146" max="6146" width="11" style="267" customWidth="1"/>
    <col min="6147" max="6147" width="11.5" style="267" customWidth="1"/>
    <col min="6148" max="6149" width="11.33203125" style="267" customWidth="1"/>
    <col min="6150" max="6150" width="13.5" style="267" customWidth="1"/>
    <col min="6151" max="6397" width="8.83203125" style="267"/>
    <col min="6398" max="6398" width="4.5" style="267" customWidth="1"/>
    <col min="6399" max="6399" width="12.5" style="267" customWidth="1"/>
    <col min="6400" max="6400" width="11.83203125" style="267" customWidth="1"/>
    <col min="6401" max="6401" width="12.83203125" style="267" customWidth="1"/>
    <col min="6402" max="6402" width="11" style="267" customWidth="1"/>
    <col min="6403" max="6403" width="11.5" style="267" customWidth="1"/>
    <col min="6404" max="6405" width="11.33203125" style="267" customWidth="1"/>
    <col min="6406" max="6406" width="13.5" style="267" customWidth="1"/>
    <col min="6407" max="6653" width="8.83203125" style="267"/>
    <col min="6654" max="6654" width="4.5" style="267" customWidth="1"/>
    <col min="6655" max="6655" width="12.5" style="267" customWidth="1"/>
    <col min="6656" max="6656" width="11.83203125" style="267" customWidth="1"/>
    <col min="6657" max="6657" width="12.83203125" style="267" customWidth="1"/>
    <col min="6658" max="6658" width="11" style="267" customWidth="1"/>
    <col min="6659" max="6659" width="11.5" style="267" customWidth="1"/>
    <col min="6660" max="6661" width="11.33203125" style="267" customWidth="1"/>
    <col min="6662" max="6662" width="13.5" style="267" customWidth="1"/>
    <col min="6663" max="6909" width="8.83203125" style="267"/>
    <col min="6910" max="6910" width="4.5" style="267" customWidth="1"/>
    <col min="6911" max="6911" width="12.5" style="267" customWidth="1"/>
    <col min="6912" max="6912" width="11.83203125" style="267" customWidth="1"/>
    <col min="6913" max="6913" width="12.83203125" style="267" customWidth="1"/>
    <col min="6914" max="6914" width="11" style="267" customWidth="1"/>
    <col min="6915" max="6915" width="11.5" style="267" customWidth="1"/>
    <col min="6916" max="6917" width="11.33203125" style="267" customWidth="1"/>
    <col min="6918" max="6918" width="13.5" style="267" customWidth="1"/>
    <col min="6919" max="7165" width="8.83203125" style="267"/>
    <col min="7166" max="7166" width="4.5" style="267" customWidth="1"/>
    <col min="7167" max="7167" width="12.5" style="267" customWidth="1"/>
    <col min="7168" max="7168" width="11.83203125" style="267" customWidth="1"/>
    <col min="7169" max="7169" width="12.83203125" style="267" customWidth="1"/>
    <col min="7170" max="7170" width="11" style="267" customWidth="1"/>
    <col min="7171" max="7171" width="11.5" style="267" customWidth="1"/>
    <col min="7172" max="7173" width="11.33203125" style="267" customWidth="1"/>
    <col min="7174" max="7174" width="13.5" style="267" customWidth="1"/>
    <col min="7175" max="7421" width="8.83203125" style="267"/>
    <col min="7422" max="7422" width="4.5" style="267" customWidth="1"/>
    <col min="7423" max="7423" width="12.5" style="267" customWidth="1"/>
    <col min="7424" max="7424" width="11.83203125" style="267" customWidth="1"/>
    <col min="7425" max="7425" width="12.83203125" style="267" customWidth="1"/>
    <col min="7426" max="7426" width="11" style="267" customWidth="1"/>
    <col min="7427" max="7427" width="11.5" style="267" customWidth="1"/>
    <col min="7428" max="7429" width="11.33203125" style="267" customWidth="1"/>
    <col min="7430" max="7430" width="13.5" style="267" customWidth="1"/>
    <col min="7431" max="7677" width="8.83203125" style="267"/>
    <col min="7678" max="7678" width="4.5" style="267" customWidth="1"/>
    <col min="7679" max="7679" width="12.5" style="267" customWidth="1"/>
    <col min="7680" max="7680" width="11.83203125" style="267" customWidth="1"/>
    <col min="7681" max="7681" width="12.83203125" style="267" customWidth="1"/>
    <col min="7682" max="7682" width="11" style="267" customWidth="1"/>
    <col min="7683" max="7683" width="11.5" style="267" customWidth="1"/>
    <col min="7684" max="7685" width="11.33203125" style="267" customWidth="1"/>
    <col min="7686" max="7686" width="13.5" style="267" customWidth="1"/>
    <col min="7687" max="7933" width="8.83203125" style="267"/>
    <col min="7934" max="7934" width="4.5" style="267" customWidth="1"/>
    <col min="7935" max="7935" width="12.5" style="267" customWidth="1"/>
    <col min="7936" max="7936" width="11.83203125" style="267" customWidth="1"/>
    <col min="7937" max="7937" width="12.83203125" style="267" customWidth="1"/>
    <col min="7938" max="7938" width="11" style="267" customWidth="1"/>
    <col min="7939" max="7939" width="11.5" style="267" customWidth="1"/>
    <col min="7940" max="7941" width="11.33203125" style="267" customWidth="1"/>
    <col min="7942" max="7942" width="13.5" style="267" customWidth="1"/>
    <col min="7943" max="8189" width="8.83203125" style="267"/>
    <col min="8190" max="8190" width="4.5" style="267" customWidth="1"/>
    <col min="8191" max="8191" width="12.5" style="267" customWidth="1"/>
    <col min="8192" max="8192" width="11.83203125" style="267" customWidth="1"/>
    <col min="8193" max="8193" width="12.83203125" style="267" customWidth="1"/>
    <col min="8194" max="8194" width="11" style="267" customWidth="1"/>
    <col min="8195" max="8195" width="11.5" style="267" customWidth="1"/>
    <col min="8196" max="8197" width="11.33203125" style="267" customWidth="1"/>
    <col min="8198" max="8198" width="13.5" style="267" customWidth="1"/>
    <col min="8199" max="8445" width="8.83203125" style="267"/>
    <col min="8446" max="8446" width="4.5" style="267" customWidth="1"/>
    <col min="8447" max="8447" width="12.5" style="267" customWidth="1"/>
    <col min="8448" max="8448" width="11.83203125" style="267" customWidth="1"/>
    <col min="8449" max="8449" width="12.83203125" style="267" customWidth="1"/>
    <col min="8450" max="8450" width="11" style="267" customWidth="1"/>
    <col min="8451" max="8451" width="11.5" style="267" customWidth="1"/>
    <col min="8452" max="8453" width="11.33203125" style="267" customWidth="1"/>
    <col min="8454" max="8454" width="13.5" style="267" customWidth="1"/>
    <col min="8455" max="8701" width="8.83203125" style="267"/>
    <col min="8702" max="8702" width="4.5" style="267" customWidth="1"/>
    <col min="8703" max="8703" width="12.5" style="267" customWidth="1"/>
    <col min="8704" max="8704" width="11.83203125" style="267" customWidth="1"/>
    <col min="8705" max="8705" width="12.83203125" style="267" customWidth="1"/>
    <col min="8706" max="8706" width="11" style="267" customWidth="1"/>
    <col min="8707" max="8707" width="11.5" style="267" customWidth="1"/>
    <col min="8708" max="8709" width="11.33203125" style="267" customWidth="1"/>
    <col min="8710" max="8710" width="13.5" style="267" customWidth="1"/>
    <col min="8711" max="8957" width="8.83203125" style="267"/>
    <col min="8958" max="8958" width="4.5" style="267" customWidth="1"/>
    <col min="8959" max="8959" width="12.5" style="267" customWidth="1"/>
    <col min="8960" max="8960" width="11.83203125" style="267" customWidth="1"/>
    <col min="8961" max="8961" width="12.83203125" style="267" customWidth="1"/>
    <col min="8962" max="8962" width="11" style="267" customWidth="1"/>
    <col min="8963" max="8963" width="11.5" style="267" customWidth="1"/>
    <col min="8964" max="8965" width="11.33203125" style="267" customWidth="1"/>
    <col min="8966" max="8966" width="13.5" style="267" customWidth="1"/>
    <col min="8967" max="9213" width="8.83203125" style="267"/>
    <col min="9214" max="9214" width="4.5" style="267" customWidth="1"/>
    <col min="9215" max="9215" width="12.5" style="267" customWidth="1"/>
    <col min="9216" max="9216" width="11.83203125" style="267" customWidth="1"/>
    <col min="9217" max="9217" width="12.83203125" style="267" customWidth="1"/>
    <col min="9218" max="9218" width="11" style="267" customWidth="1"/>
    <col min="9219" max="9219" width="11.5" style="267" customWidth="1"/>
    <col min="9220" max="9221" width="11.33203125" style="267" customWidth="1"/>
    <col min="9222" max="9222" width="13.5" style="267" customWidth="1"/>
    <col min="9223" max="9469" width="8.83203125" style="267"/>
    <col min="9470" max="9470" width="4.5" style="267" customWidth="1"/>
    <col min="9471" max="9471" width="12.5" style="267" customWidth="1"/>
    <col min="9472" max="9472" width="11.83203125" style="267" customWidth="1"/>
    <col min="9473" max="9473" width="12.83203125" style="267" customWidth="1"/>
    <col min="9474" max="9474" width="11" style="267" customWidth="1"/>
    <col min="9475" max="9475" width="11.5" style="267" customWidth="1"/>
    <col min="9476" max="9477" width="11.33203125" style="267" customWidth="1"/>
    <col min="9478" max="9478" width="13.5" style="267" customWidth="1"/>
    <col min="9479" max="9725" width="8.83203125" style="267"/>
    <col min="9726" max="9726" width="4.5" style="267" customWidth="1"/>
    <col min="9727" max="9727" width="12.5" style="267" customWidth="1"/>
    <col min="9728" max="9728" width="11.83203125" style="267" customWidth="1"/>
    <col min="9729" max="9729" width="12.83203125" style="267" customWidth="1"/>
    <col min="9730" max="9730" width="11" style="267" customWidth="1"/>
    <col min="9731" max="9731" width="11.5" style="267" customWidth="1"/>
    <col min="9732" max="9733" width="11.33203125" style="267" customWidth="1"/>
    <col min="9734" max="9734" width="13.5" style="267" customWidth="1"/>
    <col min="9735" max="9981" width="8.83203125" style="267"/>
    <col min="9982" max="9982" width="4.5" style="267" customWidth="1"/>
    <col min="9983" max="9983" width="12.5" style="267" customWidth="1"/>
    <col min="9984" max="9984" width="11.83203125" style="267" customWidth="1"/>
    <col min="9985" max="9985" width="12.83203125" style="267" customWidth="1"/>
    <col min="9986" max="9986" width="11" style="267" customWidth="1"/>
    <col min="9987" max="9987" width="11.5" style="267" customWidth="1"/>
    <col min="9988" max="9989" width="11.33203125" style="267" customWidth="1"/>
    <col min="9990" max="9990" width="13.5" style="267" customWidth="1"/>
    <col min="9991" max="10237" width="8.83203125" style="267"/>
    <col min="10238" max="10238" width="4.5" style="267" customWidth="1"/>
    <col min="10239" max="10239" width="12.5" style="267" customWidth="1"/>
    <col min="10240" max="10240" width="11.83203125" style="267" customWidth="1"/>
    <col min="10241" max="10241" width="12.83203125" style="267" customWidth="1"/>
    <col min="10242" max="10242" width="11" style="267" customWidth="1"/>
    <col min="10243" max="10243" width="11.5" style="267" customWidth="1"/>
    <col min="10244" max="10245" width="11.33203125" style="267" customWidth="1"/>
    <col min="10246" max="10246" width="13.5" style="267" customWidth="1"/>
    <col min="10247" max="10493" width="8.83203125" style="267"/>
    <col min="10494" max="10494" width="4.5" style="267" customWidth="1"/>
    <col min="10495" max="10495" width="12.5" style="267" customWidth="1"/>
    <col min="10496" max="10496" width="11.83203125" style="267" customWidth="1"/>
    <col min="10497" max="10497" width="12.83203125" style="267" customWidth="1"/>
    <col min="10498" max="10498" width="11" style="267" customWidth="1"/>
    <col min="10499" max="10499" width="11.5" style="267" customWidth="1"/>
    <col min="10500" max="10501" width="11.33203125" style="267" customWidth="1"/>
    <col min="10502" max="10502" width="13.5" style="267" customWidth="1"/>
    <col min="10503" max="10749" width="8.83203125" style="267"/>
    <col min="10750" max="10750" width="4.5" style="267" customWidth="1"/>
    <col min="10751" max="10751" width="12.5" style="267" customWidth="1"/>
    <col min="10752" max="10752" width="11.83203125" style="267" customWidth="1"/>
    <col min="10753" max="10753" width="12.83203125" style="267" customWidth="1"/>
    <col min="10754" max="10754" width="11" style="267" customWidth="1"/>
    <col min="10755" max="10755" width="11.5" style="267" customWidth="1"/>
    <col min="10756" max="10757" width="11.33203125" style="267" customWidth="1"/>
    <col min="10758" max="10758" width="13.5" style="267" customWidth="1"/>
    <col min="10759" max="11005" width="8.83203125" style="267"/>
    <col min="11006" max="11006" width="4.5" style="267" customWidth="1"/>
    <col min="11007" max="11007" width="12.5" style="267" customWidth="1"/>
    <col min="11008" max="11008" width="11.83203125" style="267" customWidth="1"/>
    <col min="11009" max="11009" width="12.83203125" style="267" customWidth="1"/>
    <col min="11010" max="11010" width="11" style="267" customWidth="1"/>
    <col min="11011" max="11011" width="11.5" style="267" customWidth="1"/>
    <col min="11012" max="11013" width="11.33203125" style="267" customWidth="1"/>
    <col min="11014" max="11014" width="13.5" style="267" customWidth="1"/>
    <col min="11015" max="11261" width="8.83203125" style="267"/>
    <col min="11262" max="11262" width="4.5" style="267" customWidth="1"/>
    <col min="11263" max="11263" width="12.5" style="267" customWidth="1"/>
    <col min="11264" max="11264" width="11.83203125" style="267" customWidth="1"/>
    <col min="11265" max="11265" width="12.83203125" style="267" customWidth="1"/>
    <col min="11266" max="11266" width="11" style="267" customWidth="1"/>
    <col min="11267" max="11267" width="11.5" style="267" customWidth="1"/>
    <col min="11268" max="11269" width="11.33203125" style="267" customWidth="1"/>
    <col min="11270" max="11270" width="13.5" style="267" customWidth="1"/>
    <col min="11271" max="11517" width="8.83203125" style="267"/>
    <col min="11518" max="11518" width="4.5" style="267" customWidth="1"/>
    <col min="11519" max="11519" width="12.5" style="267" customWidth="1"/>
    <col min="11520" max="11520" width="11.83203125" style="267" customWidth="1"/>
    <col min="11521" max="11521" width="12.83203125" style="267" customWidth="1"/>
    <col min="11522" max="11522" width="11" style="267" customWidth="1"/>
    <col min="11523" max="11523" width="11.5" style="267" customWidth="1"/>
    <col min="11524" max="11525" width="11.33203125" style="267" customWidth="1"/>
    <col min="11526" max="11526" width="13.5" style="267" customWidth="1"/>
    <col min="11527" max="11773" width="8.83203125" style="267"/>
    <col min="11774" max="11774" width="4.5" style="267" customWidth="1"/>
    <col min="11775" max="11775" width="12.5" style="267" customWidth="1"/>
    <col min="11776" max="11776" width="11.83203125" style="267" customWidth="1"/>
    <col min="11777" max="11777" width="12.83203125" style="267" customWidth="1"/>
    <col min="11778" max="11778" width="11" style="267" customWidth="1"/>
    <col min="11779" max="11779" width="11.5" style="267" customWidth="1"/>
    <col min="11780" max="11781" width="11.33203125" style="267" customWidth="1"/>
    <col min="11782" max="11782" width="13.5" style="267" customWidth="1"/>
    <col min="11783" max="12029" width="8.83203125" style="267"/>
    <col min="12030" max="12030" width="4.5" style="267" customWidth="1"/>
    <col min="12031" max="12031" width="12.5" style="267" customWidth="1"/>
    <col min="12032" max="12032" width="11.83203125" style="267" customWidth="1"/>
    <col min="12033" max="12033" width="12.83203125" style="267" customWidth="1"/>
    <col min="12034" max="12034" width="11" style="267" customWidth="1"/>
    <col min="12035" max="12035" width="11.5" style="267" customWidth="1"/>
    <col min="12036" max="12037" width="11.33203125" style="267" customWidth="1"/>
    <col min="12038" max="12038" width="13.5" style="267" customWidth="1"/>
    <col min="12039" max="12285" width="8.83203125" style="267"/>
    <col min="12286" max="12286" width="4.5" style="267" customWidth="1"/>
    <col min="12287" max="12287" width="12.5" style="267" customWidth="1"/>
    <col min="12288" max="12288" width="11.83203125" style="267" customWidth="1"/>
    <col min="12289" max="12289" width="12.83203125" style="267" customWidth="1"/>
    <col min="12290" max="12290" width="11" style="267" customWidth="1"/>
    <col min="12291" max="12291" width="11.5" style="267" customWidth="1"/>
    <col min="12292" max="12293" width="11.33203125" style="267" customWidth="1"/>
    <col min="12294" max="12294" width="13.5" style="267" customWidth="1"/>
    <col min="12295" max="12541" width="8.83203125" style="267"/>
    <col min="12542" max="12542" width="4.5" style="267" customWidth="1"/>
    <col min="12543" max="12543" width="12.5" style="267" customWidth="1"/>
    <col min="12544" max="12544" width="11.83203125" style="267" customWidth="1"/>
    <col min="12545" max="12545" width="12.83203125" style="267" customWidth="1"/>
    <col min="12546" max="12546" width="11" style="267" customWidth="1"/>
    <col min="12547" max="12547" width="11.5" style="267" customWidth="1"/>
    <col min="12548" max="12549" width="11.33203125" style="267" customWidth="1"/>
    <col min="12550" max="12550" width="13.5" style="267" customWidth="1"/>
    <col min="12551" max="12797" width="8.83203125" style="267"/>
    <col min="12798" max="12798" width="4.5" style="267" customWidth="1"/>
    <col min="12799" max="12799" width="12.5" style="267" customWidth="1"/>
    <col min="12800" max="12800" width="11.83203125" style="267" customWidth="1"/>
    <col min="12801" max="12801" width="12.83203125" style="267" customWidth="1"/>
    <col min="12802" max="12802" width="11" style="267" customWidth="1"/>
    <col min="12803" max="12803" width="11.5" style="267" customWidth="1"/>
    <col min="12804" max="12805" width="11.33203125" style="267" customWidth="1"/>
    <col min="12806" max="12806" width="13.5" style="267" customWidth="1"/>
    <col min="12807" max="13053" width="8.83203125" style="267"/>
    <col min="13054" max="13054" width="4.5" style="267" customWidth="1"/>
    <col min="13055" max="13055" width="12.5" style="267" customWidth="1"/>
    <col min="13056" max="13056" width="11.83203125" style="267" customWidth="1"/>
    <col min="13057" max="13057" width="12.83203125" style="267" customWidth="1"/>
    <col min="13058" max="13058" width="11" style="267" customWidth="1"/>
    <col min="13059" max="13059" width="11.5" style="267" customWidth="1"/>
    <col min="13060" max="13061" width="11.33203125" style="267" customWidth="1"/>
    <col min="13062" max="13062" width="13.5" style="267" customWidth="1"/>
    <col min="13063" max="13309" width="8.83203125" style="267"/>
    <col min="13310" max="13310" width="4.5" style="267" customWidth="1"/>
    <col min="13311" max="13311" width="12.5" style="267" customWidth="1"/>
    <col min="13312" max="13312" width="11.83203125" style="267" customWidth="1"/>
    <col min="13313" max="13313" width="12.83203125" style="267" customWidth="1"/>
    <col min="13314" max="13314" width="11" style="267" customWidth="1"/>
    <col min="13315" max="13315" width="11.5" style="267" customWidth="1"/>
    <col min="13316" max="13317" width="11.33203125" style="267" customWidth="1"/>
    <col min="13318" max="13318" width="13.5" style="267" customWidth="1"/>
    <col min="13319" max="13565" width="8.83203125" style="267"/>
    <col min="13566" max="13566" width="4.5" style="267" customWidth="1"/>
    <col min="13567" max="13567" width="12.5" style="267" customWidth="1"/>
    <col min="13568" max="13568" width="11.83203125" style="267" customWidth="1"/>
    <col min="13569" max="13569" width="12.83203125" style="267" customWidth="1"/>
    <col min="13570" max="13570" width="11" style="267" customWidth="1"/>
    <col min="13571" max="13571" width="11.5" style="267" customWidth="1"/>
    <col min="13572" max="13573" width="11.33203125" style="267" customWidth="1"/>
    <col min="13574" max="13574" width="13.5" style="267" customWidth="1"/>
    <col min="13575" max="13821" width="8.83203125" style="267"/>
    <col min="13822" max="13822" width="4.5" style="267" customWidth="1"/>
    <col min="13823" max="13823" width="12.5" style="267" customWidth="1"/>
    <col min="13824" max="13824" width="11.83203125" style="267" customWidth="1"/>
    <col min="13825" max="13825" width="12.83203125" style="267" customWidth="1"/>
    <col min="13826" max="13826" width="11" style="267" customWidth="1"/>
    <col min="13827" max="13827" width="11.5" style="267" customWidth="1"/>
    <col min="13828" max="13829" width="11.33203125" style="267" customWidth="1"/>
    <col min="13830" max="13830" width="13.5" style="267" customWidth="1"/>
    <col min="13831" max="14077" width="8.83203125" style="267"/>
    <col min="14078" max="14078" width="4.5" style="267" customWidth="1"/>
    <col min="14079" max="14079" width="12.5" style="267" customWidth="1"/>
    <col min="14080" max="14080" width="11.83203125" style="267" customWidth="1"/>
    <col min="14081" max="14081" width="12.83203125" style="267" customWidth="1"/>
    <col min="14082" max="14082" width="11" style="267" customWidth="1"/>
    <col min="14083" max="14083" width="11.5" style="267" customWidth="1"/>
    <col min="14084" max="14085" width="11.33203125" style="267" customWidth="1"/>
    <col min="14086" max="14086" width="13.5" style="267" customWidth="1"/>
    <col min="14087" max="14333" width="8.83203125" style="267"/>
    <col min="14334" max="14334" width="4.5" style="267" customWidth="1"/>
    <col min="14335" max="14335" width="12.5" style="267" customWidth="1"/>
    <col min="14336" max="14336" width="11.83203125" style="267" customWidth="1"/>
    <col min="14337" max="14337" width="12.83203125" style="267" customWidth="1"/>
    <col min="14338" max="14338" width="11" style="267" customWidth="1"/>
    <col min="14339" max="14339" width="11.5" style="267" customWidth="1"/>
    <col min="14340" max="14341" width="11.33203125" style="267" customWidth="1"/>
    <col min="14342" max="14342" width="13.5" style="267" customWidth="1"/>
    <col min="14343" max="14589" width="8.83203125" style="267"/>
    <col min="14590" max="14590" width="4.5" style="267" customWidth="1"/>
    <col min="14591" max="14591" width="12.5" style="267" customWidth="1"/>
    <col min="14592" max="14592" width="11.83203125" style="267" customWidth="1"/>
    <col min="14593" max="14593" width="12.83203125" style="267" customWidth="1"/>
    <col min="14594" max="14594" width="11" style="267" customWidth="1"/>
    <col min="14595" max="14595" width="11.5" style="267" customWidth="1"/>
    <col min="14596" max="14597" width="11.33203125" style="267" customWidth="1"/>
    <col min="14598" max="14598" width="13.5" style="267" customWidth="1"/>
    <col min="14599" max="14845" width="8.83203125" style="267"/>
    <col min="14846" max="14846" width="4.5" style="267" customWidth="1"/>
    <col min="14847" max="14847" width="12.5" style="267" customWidth="1"/>
    <col min="14848" max="14848" width="11.83203125" style="267" customWidth="1"/>
    <col min="14849" max="14849" width="12.83203125" style="267" customWidth="1"/>
    <col min="14850" max="14850" width="11" style="267" customWidth="1"/>
    <col min="14851" max="14851" width="11.5" style="267" customWidth="1"/>
    <col min="14852" max="14853" width="11.33203125" style="267" customWidth="1"/>
    <col min="14854" max="14854" width="13.5" style="267" customWidth="1"/>
    <col min="14855" max="15101" width="8.83203125" style="267"/>
    <col min="15102" max="15102" width="4.5" style="267" customWidth="1"/>
    <col min="15103" max="15103" width="12.5" style="267" customWidth="1"/>
    <col min="15104" max="15104" width="11.83203125" style="267" customWidth="1"/>
    <col min="15105" max="15105" width="12.83203125" style="267" customWidth="1"/>
    <col min="15106" max="15106" width="11" style="267" customWidth="1"/>
    <col min="15107" max="15107" width="11.5" style="267" customWidth="1"/>
    <col min="15108" max="15109" width="11.33203125" style="267" customWidth="1"/>
    <col min="15110" max="15110" width="13.5" style="267" customWidth="1"/>
    <col min="15111" max="15357" width="8.83203125" style="267"/>
    <col min="15358" max="15358" width="4.5" style="267" customWidth="1"/>
    <col min="15359" max="15359" width="12.5" style="267" customWidth="1"/>
    <col min="15360" max="15360" width="11.83203125" style="267" customWidth="1"/>
    <col min="15361" max="15361" width="12.83203125" style="267" customWidth="1"/>
    <col min="15362" max="15362" width="11" style="267" customWidth="1"/>
    <col min="15363" max="15363" width="11.5" style="267" customWidth="1"/>
    <col min="15364" max="15365" width="11.33203125" style="267" customWidth="1"/>
    <col min="15366" max="15366" width="13.5" style="267" customWidth="1"/>
    <col min="15367" max="15613" width="8.83203125" style="267"/>
    <col min="15614" max="15614" width="4.5" style="267" customWidth="1"/>
    <col min="15615" max="15615" width="12.5" style="267" customWidth="1"/>
    <col min="15616" max="15616" width="11.83203125" style="267" customWidth="1"/>
    <col min="15617" max="15617" width="12.83203125" style="267" customWidth="1"/>
    <col min="15618" max="15618" width="11" style="267" customWidth="1"/>
    <col min="15619" max="15619" width="11.5" style="267" customWidth="1"/>
    <col min="15620" max="15621" width="11.33203125" style="267" customWidth="1"/>
    <col min="15622" max="15622" width="13.5" style="267" customWidth="1"/>
    <col min="15623" max="15869" width="8.83203125" style="267"/>
    <col min="15870" max="15870" width="4.5" style="267" customWidth="1"/>
    <col min="15871" max="15871" width="12.5" style="267" customWidth="1"/>
    <col min="15872" max="15872" width="11.83203125" style="267" customWidth="1"/>
    <col min="15873" max="15873" width="12.83203125" style="267" customWidth="1"/>
    <col min="15874" max="15874" width="11" style="267" customWidth="1"/>
    <col min="15875" max="15875" width="11.5" style="267" customWidth="1"/>
    <col min="15876" max="15877" width="11.33203125" style="267" customWidth="1"/>
    <col min="15878" max="15878" width="13.5" style="267" customWidth="1"/>
    <col min="15879" max="16125" width="8.83203125" style="267"/>
    <col min="16126" max="16126" width="4.5" style="267" customWidth="1"/>
    <col min="16127" max="16127" width="12.5" style="267" customWidth="1"/>
    <col min="16128" max="16128" width="11.83203125" style="267" customWidth="1"/>
    <col min="16129" max="16129" width="12.83203125" style="267" customWidth="1"/>
    <col min="16130" max="16130" width="11" style="267" customWidth="1"/>
    <col min="16131" max="16131" width="11.5" style="267" customWidth="1"/>
    <col min="16132" max="16133" width="11.33203125" style="267" customWidth="1"/>
    <col min="16134" max="16134" width="13.5" style="267" customWidth="1"/>
    <col min="16135" max="16384" width="8.83203125" style="267"/>
  </cols>
  <sheetData>
    <row r="1" spans="1:16" ht="33" customHeight="1">
      <c r="A1" s="739" t="s">
        <v>104</v>
      </c>
      <c r="B1" s="740"/>
      <c r="C1" s="740"/>
      <c r="D1" s="740"/>
      <c r="E1" s="740"/>
      <c r="F1" s="740"/>
      <c r="G1" s="740"/>
      <c r="H1" s="740"/>
    </row>
    <row r="2" spans="1:16" ht="22" customHeight="1">
      <c r="A2" s="268" t="str">
        <f>'Amortization-HIDDEN'!A2</f>
        <v>4.2.9.c</v>
      </c>
      <c r="B2" s="268" t="str">
        <f>'Amortization-HIDDEN'!B2</f>
        <v>02112025</v>
      </c>
      <c r="C2" s="268"/>
      <c r="D2" s="268"/>
      <c r="E2" s="268"/>
      <c r="F2" s="268"/>
      <c r="G2" s="268"/>
      <c r="H2" s="268"/>
    </row>
    <row r="3" spans="1:16" ht="19.5" customHeight="1" thickBot="1">
      <c r="A3" s="269"/>
      <c r="B3" s="269"/>
      <c r="C3" s="269"/>
      <c r="D3" s="270" t="s">
        <v>92</v>
      </c>
      <c r="E3" s="270"/>
      <c r="F3" s="269"/>
      <c r="G3" s="269"/>
      <c r="H3" s="266"/>
      <c r="I3" s="271"/>
      <c r="J3" s="271"/>
      <c r="L3" s="271"/>
    </row>
    <row r="4" spans="1:16">
      <c r="A4" s="738" t="s">
        <v>93</v>
      </c>
      <c r="B4" s="738"/>
      <c r="C4" s="738"/>
      <c r="D4" s="272">
        <f>'Summary Schedule'!G26+'Summary Schedule'!G27+'Summary Schedule'!G28-'Summary Schedule'!G29</f>
        <v>0</v>
      </c>
      <c r="E4" s="269" t="s">
        <v>102</v>
      </c>
      <c r="F4" s="267"/>
      <c r="G4" s="267"/>
      <c r="H4" s="267"/>
      <c r="I4" s="267"/>
      <c r="L4" s="427"/>
    </row>
    <row r="5" spans="1:16">
      <c r="A5" s="738" t="s">
        <v>117</v>
      </c>
      <c r="B5" s="738"/>
      <c r="C5" s="738"/>
      <c r="D5" s="273">
        <f>'Summary Schedule'!C30/12</f>
        <v>0</v>
      </c>
      <c r="E5" s="269" t="s">
        <v>102</v>
      </c>
      <c r="F5" s="267"/>
      <c r="G5" s="267"/>
      <c r="H5" s="274"/>
      <c r="I5" s="267"/>
      <c r="L5" s="271"/>
    </row>
    <row r="6" spans="1:16">
      <c r="A6" s="738" t="s">
        <v>118</v>
      </c>
      <c r="B6" s="738"/>
      <c r="C6" s="738"/>
      <c r="D6" s="275">
        <v>480</v>
      </c>
      <c r="E6" s="269" t="s">
        <v>108</v>
      </c>
      <c r="F6" s="267"/>
      <c r="G6" s="276"/>
      <c r="H6" s="267"/>
      <c r="I6" s="277"/>
      <c r="L6" s="271"/>
    </row>
    <row r="7" spans="1:16" ht="13" thickBot="1">
      <c r="A7" s="738" t="s">
        <v>94</v>
      </c>
      <c r="B7" s="738"/>
      <c r="C7" s="738"/>
      <c r="D7" s="278">
        <f>IF('Summary Schedule'!G32="",1/1/1,'Summary Schedule'!G32)</f>
        <v>1</v>
      </c>
      <c r="E7" s="269" t="s">
        <v>102</v>
      </c>
      <c r="F7" s="267"/>
      <c r="G7" s="267"/>
      <c r="H7" s="267"/>
      <c r="I7" s="267"/>
      <c r="L7" s="271"/>
    </row>
    <row r="8" spans="1:16">
      <c r="A8" s="279"/>
      <c r="B8" s="279"/>
      <c r="C8" s="279"/>
      <c r="D8" s="280"/>
      <c r="E8" s="279"/>
      <c r="F8" s="267"/>
      <c r="G8" s="267"/>
      <c r="H8" s="267"/>
      <c r="I8" s="267"/>
      <c r="L8" s="271"/>
    </row>
    <row r="9" spans="1:16" ht="14.25" customHeight="1" thickBot="1">
      <c r="A9" s="269"/>
      <c r="B9" s="269"/>
      <c r="C9" s="269"/>
      <c r="D9" s="269"/>
      <c r="E9" s="269"/>
      <c r="F9" s="267"/>
      <c r="G9" s="267"/>
      <c r="H9" s="267"/>
      <c r="I9" s="267"/>
      <c r="L9" s="271"/>
      <c r="M9" s="274"/>
    </row>
    <row r="10" spans="1:16" ht="14.25" customHeight="1" thickBot="1">
      <c r="A10" s="738" t="s">
        <v>357</v>
      </c>
      <c r="B10" s="738"/>
      <c r="C10" s="738"/>
      <c r="D10" s="281">
        <f>IF('Summary Schedule'!C36="Beginning",1,0)</f>
        <v>0</v>
      </c>
      <c r="E10" s="269" t="s">
        <v>103</v>
      </c>
      <c r="F10" s="267"/>
      <c r="G10" s="267"/>
      <c r="H10" s="267"/>
      <c r="I10" s="267"/>
      <c r="L10" s="271"/>
      <c r="M10" s="274"/>
    </row>
    <row r="11" spans="1:16" ht="14.25" customHeight="1">
      <c r="A11" s="738" t="s">
        <v>127</v>
      </c>
      <c r="B11" s="738"/>
      <c r="C11" s="738"/>
      <c r="D11" s="275">
        <f ca="1">M15</f>
        <v>0</v>
      </c>
      <c r="E11" s="269"/>
      <c r="F11" s="267"/>
      <c r="G11" s="282"/>
      <c r="H11" s="267"/>
      <c r="I11" s="267"/>
      <c r="L11" s="426"/>
      <c r="M11" s="426"/>
    </row>
    <row r="12" spans="1:16">
      <c r="A12" s="738" t="s">
        <v>125</v>
      </c>
      <c r="B12" s="738"/>
      <c r="C12" s="738"/>
      <c r="D12" s="283"/>
      <c r="E12" s="284"/>
      <c r="F12" s="83"/>
      <c r="G12" s="83"/>
      <c r="H12" s="267"/>
      <c r="I12" s="267"/>
    </row>
    <row r="13" spans="1:16">
      <c r="A13" s="738" t="s">
        <v>95</v>
      </c>
      <c r="B13" s="738"/>
      <c r="C13" s="738"/>
      <c r="D13" s="285"/>
      <c r="E13" s="284"/>
      <c r="F13" s="267"/>
      <c r="G13" s="267"/>
      <c r="H13" s="267"/>
      <c r="I13" s="267"/>
    </row>
    <row r="14" spans="1:16" ht="14.25" customHeight="1" thickBot="1">
      <c r="A14" s="738" t="s">
        <v>128</v>
      </c>
      <c r="B14" s="738"/>
      <c r="C14" s="738"/>
      <c r="D14" s="286"/>
      <c r="E14" s="269"/>
      <c r="F14" s="287"/>
      <c r="G14" s="287"/>
      <c r="H14" s="287"/>
      <c r="I14" s="267"/>
    </row>
    <row r="15" spans="1:16" ht="15.75" customHeight="1">
      <c r="A15" s="738"/>
      <c r="B15" s="738"/>
      <c r="C15" s="738"/>
      <c r="D15" s="288" t="s">
        <v>122</v>
      </c>
      <c r="E15" s="280"/>
      <c r="F15" s="267"/>
      <c r="G15" s="267"/>
      <c r="H15" s="287"/>
      <c r="I15" s="267"/>
      <c r="M15" s="267">
        <f ca="1">COUNTIF(M17:M56,"&gt;0")</f>
        <v>0</v>
      </c>
    </row>
    <row r="16" spans="1:16" s="294" customFormat="1" ht="28.5" customHeight="1">
      <c r="A16" s="289" t="s">
        <v>96</v>
      </c>
      <c r="B16" s="289" t="s">
        <v>97</v>
      </c>
      <c r="C16" s="289" t="s">
        <v>98</v>
      </c>
      <c r="D16" s="290"/>
      <c r="E16" s="289" t="s">
        <v>126</v>
      </c>
      <c r="F16" s="289" t="s">
        <v>99</v>
      </c>
      <c r="G16" s="289" t="s">
        <v>100</v>
      </c>
      <c r="H16" s="289" t="s">
        <v>101</v>
      </c>
      <c r="I16" s="291"/>
      <c r="J16" s="292" t="s">
        <v>115</v>
      </c>
      <c r="K16" s="292" t="s">
        <v>114</v>
      </c>
      <c r="L16" s="292" t="s">
        <v>124</v>
      </c>
      <c r="M16" s="292" t="s">
        <v>116</v>
      </c>
      <c r="N16" s="292" t="str">
        <f>F16</f>
        <v>Principal</v>
      </c>
      <c r="O16" s="292" t="str">
        <f>G16</f>
        <v>Interest</v>
      </c>
      <c r="P16" s="293"/>
    </row>
    <row r="17" spans="1:22">
      <c r="A17" s="295">
        <v>0</v>
      </c>
      <c r="B17" s="295"/>
      <c r="C17" s="296"/>
      <c r="D17" s="296">
        <f>IF(H17&lt;=0,0,0.25*(K17-L17))</f>
        <v>0</v>
      </c>
      <c r="E17" s="296"/>
      <c r="F17" s="296"/>
      <c r="G17" s="296"/>
      <c r="H17" s="296">
        <f>D4</f>
        <v>0</v>
      </c>
      <c r="I17" s="297">
        <f>ROUND((D17-H17),0)</f>
        <v>0</v>
      </c>
      <c r="J17" s="298">
        <v>1</v>
      </c>
      <c r="K17" s="299" cm="1">
        <f t="array" aca="1" ref="K17" ca="1">'Itemized Costs-HIDDEN'!N5-INDIRECT("'Sch3-Perf Period Cash Flow'!D"&amp;7&amp;"")</f>
        <v>-1</v>
      </c>
      <c r="L17" s="424" cm="1">
        <f t="array" ref="L17:L56">TRANSPOSE('Sch3-Perf Period Cash Flow'!D21:AQ21)</f>
        <v>0</v>
      </c>
      <c r="M17" s="299">
        <f ca="1">N17+O17</f>
        <v>0</v>
      </c>
      <c r="N17" s="299">
        <f ca="1">ROUND(SUM(INDIRECT(S17):INDIRECT(T17)),0)</f>
        <v>0</v>
      </c>
      <c r="O17" s="299">
        <f ca="1">IF(N17=0,0,ROUND(SUM(INDIRECT(U17):INDIRECT(V17)),0))</f>
        <v>0</v>
      </c>
      <c r="P17" s="461" t="str">
        <f ca="1">IF(N17&gt;0.005,J17,"")</f>
        <v/>
      </c>
      <c r="Q17" s="267">
        <v>18</v>
      </c>
      <c r="R17" s="267">
        <f t="shared" ref="R17:R34" si="0">Q17+11</f>
        <v>29</v>
      </c>
      <c r="S17" s="267" t="str">
        <f>CONCATENATE("f",Q17)</f>
        <v>f18</v>
      </c>
      <c r="T17" s="267" t="str">
        <f>CONCATENATE("f",R17)</f>
        <v>f29</v>
      </c>
      <c r="U17" s="267" t="str">
        <f t="shared" ref="U17:V32" si="1">CONCATENATE("G",Q17)</f>
        <v>G18</v>
      </c>
      <c r="V17" s="267" t="str">
        <f t="shared" si="1"/>
        <v>G29</v>
      </c>
    </row>
    <row r="18" spans="1:22">
      <c r="A18" s="295">
        <f t="shared" ref="A18:A81" si="2">IF(A17="","",IF(A17=$D$6,"",A17+1))</f>
        <v>1</v>
      </c>
      <c r="B18" s="300">
        <f>D7</f>
        <v>1</v>
      </c>
      <c r="C18" s="296">
        <f>IF(H17=0,0,H17)</f>
        <v>0</v>
      </c>
      <c r="D18" s="295"/>
      <c r="E18" s="296">
        <f>IF($D$10=1,
 IF(OR(MONTH(B18)=MONTH(EDATE($D$7,0)),MONTH(B18)=MONTH(EDATE($D$7,3)),MONTH(B18)=MONTH(EDATE($D$7,6)),MONTH(B18)=MONTH(EDATE($D$7,9))),(MIN($D$17,H17)),0),
IF($D$10=0,
 IF(OR(MONTH(B18)=MONTH(EDATE($D$7,2)),MONTH(B18)=MONTH(EDATE($D$7,5)),MONTH(B18)=MONTH(EDATE($D$7,8)),MONTH(B18)=MONTH(EDATE($D$7,11))),(MIN($D$17,H17)),0)))</f>
        <v>0</v>
      </c>
      <c r="F18" s="296">
        <f t="shared" ref="F18:F28" si="3">IF(E18="","",E18-G18)</f>
        <v>0</v>
      </c>
      <c r="G18" s="296">
        <f>ROUND((C18-E18)*$D$5,3)</f>
        <v>0</v>
      </c>
      <c r="H18" s="296">
        <f>IF(E18="","",ROUND(H17-F18,4))</f>
        <v>0</v>
      </c>
      <c r="I18" s="297">
        <f t="shared" ref="I18:I81" si="4">ROUND((D18-H18),0)</f>
        <v>0</v>
      </c>
      <c r="J18" s="298">
        <v>2</v>
      </c>
      <c r="K18" s="299" cm="1">
        <f t="array" aca="1" ref="K18" ca="1">'Itemized Costs-HIDDEN'!N6-INDIRECT("'Sch3-Perf Period Cash Flow'!D"&amp;7&amp;"")</f>
        <v>-1</v>
      </c>
      <c r="L18" s="425">
        <v>0</v>
      </c>
      <c r="M18" s="299">
        <f t="shared" ref="M18:M40" ca="1" si="5">N18+O18</f>
        <v>-1</v>
      </c>
      <c r="N18" s="299">
        <f ca="1">ROUND(SUM(INDIRECT(S18):INDIRECT(T18)),0)</f>
        <v>-1</v>
      </c>
      <c r="O18" s="299">
        <f ca="1">IF(N18=0,0,ROUND(SUM(INDIRECT(U18):INDIRECT(V18)),0))</f>
        <v>0</v>
      </c>
      <c r="P18" s="461" t="str">
        <f t="shared" ref="P18:P56" ca="1" si="6">IF(N18&gt;0.005,J18,"")</f>
        <v/>
      </c>
      <c r="Q18" s="267">
        <f>Q17+12</f>
        <v>30</v>
      </c>
      <c r="R18" s="267">
        <f t="shared" si="0"/>
        <v>41</v>
      </c>
      <c r="S18" s="267" t="str">
        <f t="shared" ref="S18:T56" si="7">CONCATENATE("f",Q18)</f>
        <v>f30</v>
      </c>
      <c r="T18" s="267" t="str">
        <f t="shared" si="7"/>
        <v>f41</v>
      </c>
      <c r="U18" s="267" t="str">
        <f t="shared" si="1"/>
        <v>G30</v>
      </c>
      <c r="V18" s="267" t="str">
        <f t="shared" si="1"/>
        <v>G41</v>
      </c>
    </row>
    <row r="19" spans="1:22">
      <c r="A19" s="295">
        <f t="shared" si="2"/>
        <v>2</v>
      </c>
      <c r="B19" s="300">
        <f>DATE(YEAR(B18),MONTH(B18)+1,1)</f>
        <v>32</v>
      </c>
      <c r="C19" s="296">
        <f t="shared" ref="C19:C82" si="8">IF(H18=0,0,H18)</f>
        <v>0</v>
      </c>
      <c r="D19" s="295"/>
      <c r="E19" s="296">
        <f t="shared" ref="E19:E29" si="9">IF($D$10=1,
 IF(OR(MONTH(B19)=MONTH(EDATE($D$7,0)),MONTH(B19)=MONTH(EDATE($D$7,3)),MONTH(B19)=MONTH(EDATE($D$7,6)),MONTH(B19)=MONTH(EDATE($D$7,9))),(MIN($D$17,H18)),0),
IF($D$10=0,
 IF(OR(MONTH(B19)=MONTH(EDATE($D$7,2)),MONTH(B19)=MONTH(EDATE($D$7,5)),MONTH(B19)=MONTH(EDATE($D$7,8)),MONTH(B19)=MONTH(EDATE($D$7,11))),(MIN($D$17,H18)),0)))</f>
        <v>0</v>
      </c>
      <c r="F19" s="296">
        <f t="shared" si="3"/>
        <v>0</v>
      </c>
      <c r="G19" s="296">
        <f t="shared" ref="G19:G28" si="10">ROUND((C19-E19)*$D$5,3)</f>
        <v>0</v>
      </c>
      <c r="H19" s="296">
        <f t="shared" ref="H19:H27" si="11">IF(E19="","",ROUND(H18-F19,4))</f>
        <v>0</v>
      </c>
      <c r="I19" s="297">
        <f t="shared" si="4"/>
        <v>0</v>
      </c>
      <c r="J19" s="298">
        <v>3</v>
      </c>
      <c r="K19" s="299" cm="1">
        <f t="array" aca="1" ref="K19" ca="1">'Itemized Costs-HIDDEN'!N7-INDIRECT("'Sch3-Perf Period Cash Flow'!D"&amp;7&amp;"")</f>
        <v>-1</v>
      </c>
      <c r="L19" s="425">
        <v>0</v>
      </c>
      <c r="M19" s="299">
        <f t="shared" ca="1" si="5"/>
        <v>-1</v>
      </c>
      <c r="N19" s="299">
        <f ca="1">ROUND(SUM(INDIRECT(S19):INDIRECT(T19)),0)</f>
        <v>-1</v>
      </c>
      <c r="O19" s="299">
        <f ca="1">IF(N19=0,0,ROUND(SUM(INDIRECT(U19):INDIRECT(V19)),0))</f>
        <v>0</v>
      </c>
      <c r="P19" s="461" t="str">
        <f t="shared" ca="1" si="6"/>
        <v/>
      </c>
      <c r="Q19" s="267">
        <f t="shared" ref="Q19:Q56" si="12">Q18+12</f>
        <v>42</v>
      </c>
      <c r="R19" s="267">
        <f t="shared" si="0"/>
        <v>53</v>
      </c>
      <c r="S19" s="267" t="str">
        <f t="shared" si="7"/>
        <v>f42</v>
      </c>
      <c r="T19" s="267" t="str">
        <f t="shared" si="7"/>
        <v>f53</v>
      </c>
      <c r="U19" s="267" t="str">
        <f t="shared" si="1"/>
        <v>G42</v>
      </c>
      <c r="V19" s="267" t="str">
        <f t="shared" si="1"/>
        <v>G53</v>
      </c>
    </row>
    <row r="20" spans="1:22">
      <c r="A20" s="295">
        <f t="shared" si="2"/>
        <v>3</v>
      </c>
      <c r="B20" s="300">
        <f t="shared" ref="B20:B83" si="13">DATE(YEAR(B19),MONTH(B19)+1,1)</f>
        <v>61</v>
      </c>
      <c r="C20" s="296">
        <f t="shared" si="8"/>
        <v>0</v>
      </c>
      <c r="D20" s="295"/>
      <c r="E20" s="296">
        <f t="shared" si="9"/>
        <v>0</v>
      </c>
      <c r="F20" s="296">
        <f t="shared" si="3"/>
        <v>0</v>
      </c>
      <c r="G20" s="296">
        <f t="shared" si="10"/>
        <v>0</v>
      </c>
      <c r="H20" s="296">
        <f t="shared" si="11"/>
        <v>0</v>
      </c>
      <c r="I20" s="297">
        <f t="shared" si="4"/>
        <v>0</v>
      </c>
      <c r="J20" s="298">
        <v>4</v>
      </c>
      <c r="K20" s="299" cm="1">
        <f t="array" aca="1" ref="K20" ca="1">'Itemized Costs-HIDDEN'!N8-INDIRECT("'Sch3-Perf Period Cash Flow'!D"&amp;7&amp;"")</f>
        <v>-1</v>
      </c>
      <c r="L20" s="425">
        <v>0</v>
      </c>
      <c r="M20" s="299">
        <f t="shared" ca="1" si="5"/>
        <v>-1</v>
      </c>
      <c r="N20" s="299">
        <f ca="1">ROUND(SUM(INDIRECT(S20):INDIRECT(T20)),0)</f>
        <v>-1</v>
      </c>
      <c r="O20" s="299">
        <f ca="1">IF(N20=0,0,ROUND(SUM(INDIRECT(U20):INDIRECT(V20)),0))</f>
        <v>0</v>
      </c>
      <c r="P20" s="461" t="str">
        <f t="shared" ca="1" si="6"/>
        <v/>
      </c>
      <c r="Q20" s="267">
        <f t="shared" si="12"/>
        <v>54</v>
      </c>
      <c r="R20" s="267">
        <f t="shared" si="0"/>
        <v>65</v>
      </c>
      <c r="S20" s="267" t="str">
        <f t="shared" si="7"/>
        <v>f54</v>
      </c>
      <c r="T20" s="267" t="str">
        <f t="shared" si="7"/>
        <v>f65</v>
      </c>
      <c r="U20" s="267" t="str">
        <f t="shared" si="1"/>
        <v>G54</v>
      </c>
      <c r="V20" s="267" t="str">
        <f t="shared" si="1"/>
        <v>G65</v>
      </c>
    </row>
    <row r="21" spans="1:22">
      <c r="A21" s="295">
        <f t="shared" si="2"/>
        <v>4</v>
      </c>
      <c r="B21" s="300">
        <f t="shared" si="13"/>
        <v>92</v>
      </c>
      <c r="C21" s="296">
        <f t="shared" si="8"/>
        <v>0</v>
      </c>
      <c r="D21" s="295"/>
      <c r="E21" s="296">
        <f t="shared" si="9"/>
        <v>0</v>
      </c>
      <c r="F21" s="296">
        <f t="shared" si="3"/>
        <v>0</v>
      </c>
      <c r="G21" s="296">
        <f t="shared" si="10"/>
        <v>0</v>
      </c>
      <c r="H21" s="296">
        <f t="shared" si="11"/>
        <v>0</v>
      </c>
      <c r="I21" s="297">
        <f t="shared" si="4"/>
        <v>0</v>
      </c>
      <c r="J21" s="298">
        <v>5</v>
      </c>
      <c r="K21" s="299" cm="1">
        <f t="array" aca="1" ref="K21" ca="1">'Itemized Costs-HIDDEN'!N9-INDIRECT("'Sch3-Perf Period Cash Flow'!D"&amp;7&amp;"")</f>
        <v>-1</v>
      </c>
      <c r="L21" s="425">
        <v>0</v>
      </c>
      <c r="M21" s="299">
        <f t="shared" ca="1" si="5"/>
        <v>-1</v>
      </c>
      <c r="N21" s="299">
        <f ca="1">ROUND(SUM(INDIRECT(S21):INDIRECT(T21)),0)</f>
        <v>-1</v>
      </c>
      <c r="O21" s="299">
        <f ca="1">IF(N21=0,0,ROUND(SUM(INDIRECT(U21):INDIRECT(V21)),0))</f>
        <v>0</v>
      </c>
      <c r="P21" s="461" t="str">
        <f t="shared" ca="1" si="6"/>
        <v/>
      </c>
      <c r="Q21" s="267">
        <f t="shared" si="12"/>
        <v>66</v>
      </c>
      <c r="R21" s="267">
        <f t="shared" si="0"/>
        <v>77</v>
      </c>
      <c r="S21" s="267" t="str">
        <f t="shared" si="7"/>
        <v>f66</v>
      </c>
      <c r="T21" s="267" t="str">
        <f t="shared" si="7"/>
        <v>f77</v>
      </c>
      <c r="U21" s="267" t="str">
        <f t="shared" si="1"/>
        <v>G66</v>
      </c>
      <c r="V21" s="267" t="str">
        <f t="shared" si="1"/>
        <v>G77</v>
      </c>
    </row>
    <row r="22" spans="1:22">
      <c r="A22" s="295">
        <f t="shared" si="2"/>
        <v>5</v>
      </c>
      <c r="B22" s="300">
        <f t="shared" si="13"/>
        <v>122</v>
      </c>
      <c r="C22" s="296">
        <f t="shared" si="8"/>
        <v>0</v>
      </c>
      <c r="D22" s="295"/>
      <c r="E22" s="296">
        <f t="shared" si="9"/>
        <v>0</v>
      </c>
      <c r="F22" s="296">
        <f t="shared" si="3"/>
        <v>0</v>
      </c>
      <c r="G22" s="296">
        <f t="shared" si="10"/>
        <v>0</v>
      </c>
      <c r="H22" s="296">
        <f t="shared" si="11"/>
        <v>0</v>
      </c>
      <c r="I22" s="297">
        <f t="shared" si="4"/>
        <v>0</v>
      </c>
      <c r="J22" s="298">
        <v>6</v>
      </c>
      <c r="K22" s="299" cm="1">
        <f t="array" aca="1" ref="K22" ca="1">'Itemized Costs-HIDDEN'!N10-INDIRECT("'Sch3-Perf Period Cash Flow'!D"&amp;7&amp;"")</f>
        <v>-1</v>
      </c>
      <c r="L22" s="425">
        <v>0</v>
      </c>
      <c r="M22" s="299">
        <f t="shared" ca="1" si="5"/>
        <v>-1</v>
      </c>
      <c r="N22" s="299">
        <f ca="1">ROUND(SUM(INDIRECT(S22):INDIRECT(T22)),0)</f>
        <v>-1</v>
      </c>
      <c r="O22" s="299">
        <f ca="1">IF(N22=0,0,ROUND(SUM(INDIRECT(U22):INDIRECT(V22)),0))</f>
        <v>0</v>
      </c>
      <c r="P22" s="461" t="str">
        <f t="shared" ca="1" si="6"/>
        <v/>
      </c>
      <c r="Q22" s="267">
        <f t="shared" si="12"/>
        <v>78</v>
      </c>
      <c r="R22" s="267">
        <f t="shared" si="0"/>
        <v>89</v>
      </c>
      <c r="S22" s="267" t="str">
        <f t="shared" si="7"/>
        <v>f78</v>
      </c>
      <c r="T22" s="267" t="str">
        <f t="shared" si="7"/>
        <v>f89</v>
      </c>
      <c r="U22" s="267" t="str">
        <f t="shared" si="1"/>
        <v>G78</v>
      </c>
      <c r="V22" s="267" t="str">
        <f t="shared" si="1"/>
        <v>G89</v>
      </c>
    </row>
    <row r="23" spans="1:22">
      <c r="A23" s="295">
        <f t="shared" si="2"/>
        <v>6</v>
      </c>
      <c r="B23" s="300">
        <f t="shared" si="13"/>
        <v>153</v>
      </c>
      <c r="C23" s="296">
        <f t="shared" si="8"/>
        <v>0</v>
      </c>
      <c r="D23" s="295"/>
      <c r="E23" s="296">
        <f t="shared" si="9"/>
        <v>0</v>
      </c>
      <c r="F23" s="296">
        <f t="shared" si="3"/>
        <v>0</v>
      </c>
      <c r="G23" s="296">
        <f t="shared" si="10"/>
        <v>0</v>
      </c>
      <c r="H23" s="296">
        <f t="shared" si="11"/>
        <v>0</v>
      </c>
      <c r="I23" s="297">
        <f t="shared" si="4"/>
        <v>0</v>
      </c>
      <c r="J23" s="298">
        <v>7</v>
      </c>
      <c r="K23" s="299" cm="1">
        <f t="array" aca="1" ref="K23" ca="1">'Itemized Costs-HIDDEN'!N11-INDIRECT("'Sch3-Perf Period Cash Flow'!D"&amp;7&amp;"")</f>
        <v>-1</v>
      </c>
      <c r="L23" s="425">
        <v>0</v>
      </c>
      <c r="M23" s="299">
        <f t="shared" ca="1" si="5"/>
        <v>-1</v>
      </c>
      <c r="N23" s="299">
        <f ca="1">ROUND(SUM(INDIRECT(S23):INDIRECT(T23)),0)</f>
        <v>-1</v>
      </c>
      <c r="O23" s="299">
        <f ca="1">IF(N23=0,0,ROUND(SUM(INDIRECT(U23):INDIRECT(V23)),0))</f>
        <v>0</v>
      </c>
      <c r="P23" s="461" t="str">
        <f t="shared" ca="1" si="6"/>
        <v/>
      </c>
      <c r="Q23" s="267">
        <f t="shared" si="12"/>
        <v>90</v>
      </c>
      <c r="R23" s="267">
        <f t="shared" si="0"/>
        <v>101</v>
      </c>
      <c r="S23" s="267" t="str">
        <f t="shared" si="7"/>
        <v>f90</v>
      </c>
      <c r="T23" s="267" t="str">
        <f t="shared" si="7"/>
        <v>f101</v>
      </c>
      <c r="U23" s="267" t="str">
        <f t="shared" si="1"/>
        <v>G90</v>
      </c>
      <c r="V23" s="267" t="str">
        <f t="shared" si="1"/>
        <v>G101</v>
      </c>
    </row>
    <row r="24" spans="1:22">
      <c r="A24" s="295">
        <f t="shared" si="2"/>
        <v>7</v>
      </c>
      <c r="B24" s="300">
        <f t="shared" si="13"/>
        <v>183</v>
      </c>
      <c r="C24" s="296">
        <f t="shared" si="8"/>
        <v>0</v>
      </c>
      <c r="D24" s="295"/>
      <c r="E24" s="296">
        <f t="shared" si="9"/>
        <v>0</v>
      </c>
      <c r="F24" s="296">
        <f t="shared" si="3"/>
        <v>0</v>
      </c>
      <c r="G24" s="296">
        <f t="shared" si="10"/>
        <v>0</v>
      </c>
      <c r="H24" s="296">
        <f t="shared" si="11"/>
        <v>0</v>
      </c>
      <c r="I24" s="297">
        <f t="shared" si="4"/>
        <v>0</v>
      </c>
      <c r="J24" s="298">
        <v>8</v>
      </c>
      <c r="K24" s="299" cm="1">
        <f t="array" aca="1" ref="K24" ca="1">'Itemized Costs-HIDDEN'!N12-INDIRECT("'Sch3-Perf Period Cash Flow'!D"&amp;7&amp;"")</f>
        <v>-1</v>
      </c>
      <c r="L24" s="425">
        <v>0</v>
      </c>
      <c r="M24" s="299">
        <f t="shared" ca="1" si="5"/>
        <v>-1</v>
      </c>
      <c r="N24" s="299">
        <f ca="1">ROUND(SUM(INDIRECT(S24):INDIRECT(T24)),0)</f>
        <v>-1</v>
      </c>
      <c r="O24" s="299">
        <f ca="1">IF(N24=0,0,ROUND(SUM(INDIRECT(U24):INDIRECT(V24)),0))</f>
        <v>0</v>
      </c>
      <c r="P24" s="461" t="str">
        <f t="shared" ca="1" si="6"/>
        <v/>
      </c>
      <c r="Q24" s="267">
        <f t="shared" si="12"/>
        <v>102</v>
      </c>
      <c r="R24" s="267">
        <f t="shared" si="0"/>
        <v>113</v>
      </c>
      <c r="S24" s="267" t="str">
        <f t="shared" si="7"/>
        <v>f102</v>
      </c>
      <c r="T24" s="267" t="str">
        <f t="shared" si="7"/>
        <v>f113</v>
      </c>
      <c r="U24" s="267" t="str">
        <f t="shared" si="1"/>
        <v>G102</v>
      </c>
      <c r="V24" s="267" t="str">
        <f t="shared" si="1"/>
        <v>G113</v>
      </c>
    </row>
    <row r="25" spans="1:22">
      <c r="A25" s="295">
        <f t="shared" si="2"/>
        <v>8</v>
      </c>
      <c r="B25" s="300">
        <f t="shared" si="13"/>
        <v>214</v>
      </c>
      <c r="C25" s="296">
        <f t="shared" si="8"/>
        <v>0</v>
      </c>
      <c r="D25" s="295"/>
      <c r="E25" s="296">
        <f t="shared" si="9"/>
        <v>0</v>
      </c>
      <c r="F25" s="296">
        <f t="shared" si="3"/>
        <v>0</v>
      </c>
      <c r="G25" s="296">
        <f t="shared" si="10"/>
        <v>0</v>
      </c>
      <c r="H25" s="296">
        <f t="shared" si="11"/>
        <v>0</v>
      </c>
      <c r="I25" s="297">
        <f t="shared" si="4"/>
        <v>0</v>
      </c>
      <c r="J25" s="298">
        <v>9</v>
      </c>
      <c r="K25" s="299" cm="1">
        <f t="array" aca="1" ref="K25" ca="1">'Itemized Costs-HIDDEN'!N13-INDIRECT("'Sch3-Perf Period Cash Flow'!D"&amp;7&amp;"")</f>
        <v>-1</v>
      </c>
      <c r="L25" s="425">
        <v>0</v>
      </c>
      <c r="M25" s="299">
        <f t="shared" ca="1" si="5"/>
        <v>-1</v>
      </c>
      <c r="N25" s="299">
        <f ca="1">ROUND(SUM(INDIRECT(S25):INDIRECT(T25)),0)</f>
        <v>-1</v>
      </c>
      <c r="O25" s="299">
        <f ca="1">IF(N25=0,0,ROUND(SUM(INDIRECT(U25):INDIRECT(V25)),0))</f>
        <v>0</v>
      </c>
      <c r="P25" s="461" t="str">
        <f t="shared" ca="1" si="6"/>
        <v/>
      </c>
      <c r="Q25" s="267">
        <f t="shared" si="12"/>
        <v>114</v>
      </c>
      <c r="R25" s="267">
        <f t="shared" si="0"/>
        <v>125</v>
      </c>
      <c r="S25" s="267" t="str">
        <f t="shared" si="7"/>
        <v>f114</v>
      </c>
      <c r="T25" s="267" t="str">
        <f t="shared" si="7"/>
        <v>f125</v>
      </c>
      <c r="U25" s="267" t="str">
        <f t="shared" si="1"/>
        <v>G114</v>
      </c>
      <c r="V25" s="267" t="str">
        <f t="shared" si="1"/>
        <v>G125</v>
      </c>
    </row>
    <row r="26" spans="1:22">
      <c r="A26" s="295">
        <f t="shared" si="2"/>
        <v>9</v>
      </c>
      <c r="B26" s="300">
        <f t="shared" si="13"/>
        <v>245</v>
      </c>
      <c r="C26" s="296">
        <f t="shared" si="8"/>
        <v>0</v>
      </c>
      <c r="D26" s="295"/>
      <c r="E26" s="296">
        <f t="shared" si="9"/>
        <v>0</v>
      </c>
      <c r="F26" s="296">
        <f t="shared" si="3"/>
        <v>0</v>
      </c>
      <c r="G26" s="296">
        <f t="shared" si="10"/>
        <v>0</v>
      </c>
      <c r="H26" s="296">
        <f t="shared" si="11"/>
        <v>0</v>
      </c>
      <c r="I26" s="297">
        <f t="shared" si="4"/>
        <v>0</v>
      </c>
      <c r="J26" s="298">
        <v>10</v>
      </c>
      <c r="K26" s="299" cm="1">
        <f t="array" aca="1" ref="K26" ca="1">'Itemized Costs-HIDDEN'!N14-INDIRECT("'Sch3-Perf Period Cash Flow'!D"&amp;7&amp;"")</f>
        <v>-1</v>
      </c>
      <c r="L26" s="425">
        <v>0</v>
      </c>
      <c r="M26" s="299">
        <f t="shared" ca="1" si="5"/>
        <v>-1</v>
      </c>
      <c r="N26" s="299">
        <f ca="1">ROUND(SUM(INDIRECT(S26):INDIRECT(T26)),0)</f>
        <v>-1</v>
      </c>
      <c r="O26" s="299">
        <f ca="1">IF(N26=0,0,ROUND(SUM(INDIRECT(U26):INDIRECT(V26)),0))</f>
        <v>0</v>
      </c>
      <c r="P26" s="461" t="str">
        <f t="shared" ca="1" si="6"/>
        <v/>
      </c>
      <c r="Q26" s="267">
        <f t="shared" si="12"/>
        <v>126</v>
      </c>
      <c r="R26" s="267">
        <f t="shared" si="0"/>
        <v>137</v>
      </c>
      <c r="S26" s="267" t="str">
        <f t="shared" si="7"/>
        <v>f126</v>
      </c>
      <c r="T26" s="267" t="str">
        <f t="shared" si="7"/>
        <v>f137</v>
      </c>
      <c r="U26" s="267" t="str">
        <f t="shared" si="1"/>
        <v>G126</v>
      </c>
      <c r="V26" s="267" t="str">
        <f t="shared" si="1"/>
        <v>G137</v>
      </c>
    </row>
    <row r="27" spans="1:22">
      <c r="A27" s="295">
        <f t="shared" si="2"/>
        <v>10</v>
      </c>
      <c r="B27" s="300">
        <f t="shared" si="13"/>
        <v>275</v>
      </c>
      <c r="C27" s="296">
        <f t="shared" si="8"/>
        <v>0</v>
      </c>
      <c r="D27" s="295"/>
      <c r="E27" s="296">
        <f t="shared" si="9"/>
        <v>0</v>
      </c>
      <c r="F27" s="296">
        <f t="shared" si="3"/>
        <v>0</v>
      </c>
      <c r="G27" s="296">
        <f t="shared" si="10"/>
        <v>0</v>
      </c>
      <c r="H27" s="296">
        <f t="shared" si="11"/>
        <v>0</v>
      </c>
      <c r="I27" s="297">
        <f t="shared" si="4"/>
        <v>0</v>
      </c>
      <c r="J27" s="298">
        <v>11</v>
      </c>
      <c r="K27" s="299" cm="1">
        <f t="array" aca="1" ref="K27" ca="1">'Itemized Costs-HIDDEN'!N15-INDIRECT("'Sch3-Perf Period Cash Flow'!D"&amp;7&amp;"")</f>
        <v>-1</v>
      </c>
      <c r="L27" s="425">
        <v>0</v>
      </c>
      <c r="M27" s="299">
        <f t="shared" ca="1" si="5"/>
        <v>-1</v>
      </c>
      <c r="N27" s="299">
        <f ca="1">ROUND(SUM(INDIRECT(S27):INDIRECT(T27)),0)</f>
        <v>-1</v>
      </c>
      <c r="O27" s="299">
        <f ca="1">IF(N27=0,0,ROUND(SUM(INDIRECT(U27):INDIRECT(V27)),0))</f>
        <v>0</v>
      </c>
      <c r="P27" s="461" t="str">
        <f t="shared" ca="1" si="6"/>
        <v/>
      </c>
      <c r="Q27" s="267">
        <f t="shared" si="12"/>
        <v>138</v>
      </c>
      <c r="R27" s="267">
        <f t="shared" si="0"/>
        <v>149</v>
      </c>
      <c r="S27" s="267" t="str">
        <f t="shared" si="7"/>
        <v>f138</v>
      </c>
      <c r="T27" s="267" t="str">
        <f t="shared" si="7"/>
        <v>f149</v>
      </c>
      <c r="U27" s="267" t="str">
        <f t="shared" si="1"/>
        <v>G138</v>
      </c>
      <c r="V27" s="267" t="str">
        <f t="shared" si="1"/>
        <v>G149</v>
      </c>
    </row>
    <row r="28" spans="1:22">
      <c r="A28" s="295">
        <f t="shared" si="2"/>
        <v>11</v>
      </c>
      <c r="B28" s="300">
        <f t="shared" si="13"/>
        <v>306</v>
      </c>
      <c r="C28" s="296">
        <f t="shared" si="8"/>
        <v>0</v>
      </c>
      <c r="D28" s="295"/>
      <c r="E28" s="296">
        <f t="shared" si="9"/>
        <v>0</v>
      </c>
      <c r="F28" s="296">
        <f t="shared" si="3"/>
        <v>0</v>
      </c>
      <c r="G28" s="296">
        <f t="shared" si="10"/>
        <v>0</v>
      </c>
      <c r="H28" s="296">
        <f>IF(E28="","",ROUND(H27-F28,4))</f>
        <v>0</v>
      </c>
      <c r="I28" s="297">
        <f t="shared" si="4"/>
        <v>0</v>
      </c>
      <c r="J28" s="298">
        <v>12</v>
      </c>
      <c r="K28" s="299" cm="1">
        <f t="array" aca="1" ref="K28" ca="1">'Itemized Costs-HIDDEN'!N16-INDIRECT("'Sch3-Perf Period Cash Flow'!D"&amp;7&amp;"")</f>
        <v>-1</v>
      </c>
      <c r="L28" s="425">
        <v>0</v>
      </c>
      <c r="M28" s="299">
        <f t="shared" ca="1" si="5"/>
        <v>-1</v>
      </c>
      <c r="N28" s="299">
        <f ca="1">ROUND(SUM(INDIRECT(S28):INDIRECT(T28)),0)</f>
        <v>-1</v>
      </c>
      <c r="O28" s="299">
        <f ca="1">IF(N28=0,0,ROUND(SUM(INDIRECT(U28):INDIRECT(V28)),0))</f>
        <v>0</v>
      </c>
      <c r="P28" s="461" t="str">
        <f t="shared" ca="1" si="6"/>
        <v/>
      </c>
      <c r="Q28" s="267">
        <f t="shared" si="12"/>
        <v>150</v>
      </c>
      <c r="R28" s="267">
        <f t="shared" si="0"/>
        <v>161</v>
      </c>
      <c r="S28" s="267" t="str">
        <f t="shared" si="7"/>
        <v>f150</v>
      </c>
      <c r="T28" s="267" t="str">
        <f t="shared" si="7"/>
        <v>f161</v>
      </c>
      <c r="U28" s="267" t="str">
        <f t="shared" si="1"/>
        <v>G150</v>
      </c>
      <c r="V28" s="267" t="str">
        <f t="shared" si="1"/>
        <v>G161</v>
      </c>
    </row>
    <row r="29" spans="1:22">
      <c r="A29" s="295">
        <f t="shared" si="2"/>
        <v>12</v>
      </c>
      <c r="B29" s="300">
        <f t="shared" si="13"/>
        <v>336</v>
      </c>
      <c r="C29" s="296">
        <f t="shared" si="8"/>
        <v>0</v>
      </c>
      <c r="D29" s="296">
        <f ca="1">IF(H29&lt;0,0,0.25*(K18-L18))</f>
        <v>-0.25</v>
      </c>
      <c r="E29" s="296">
        <f t="shared" si="9"/>
        <v>0</v>
      </c>
      <c r="F29" s="296">
        <f>IF(E29="","",E29-G29)</f>
        <v>0</v>
      </c>
      <c r="G29" s="296">
        <f>ROUND((C29-E29)*$D$5,3)</f>
        <v>0</v>
      </c>
      <c r="H29" s="296">
        <f>IF(E29="","",ROUND(H28-F29,4))</f>
        <v>0</v>
      </c>
      <c r="I29" s="297">
        <f t="shared" ca="1" si="4"/>
        <v>0</v>
      </c>
      <c r="J29" s="298">
        <v>13</v>
      </c>
      <c r="K29" s="299" cm="1">
        <f t="array" aca="1" ref="K29" ca="1">'Itemized Costs-HIDDEN'!N17-INDIRECT("'Sch3-Perf Period Cash Flow'!D"&amp;7&amp;"")</f>
        <v>-1</v>
      </c>
      <c r="L29" s="425">
        <v>0</v>
      </c>
      <c r="M29" s="299">
        <f t="shared" ca="1" si="5"/>
        <v>-1</v>
      </c>
      <c r="N29" s="299">
        <f ca="1">ROUND(SUM(INDIRECT(S29):INDIRECT(T29)),0)</f>
        <v>-1</v>
      </c>
      <c r="O29" s="299">
        <f ca="1">IF(N29=0,0,ROUND(SUM(INDIRECT(U29):INDIRECT(V29)),0))</f>
        <v>0</v>
      </c>
      <c r="P29" s="461" t="str">
        <f t="shared" ca="1" si="6"/>
        <v/>
      </c>
      <c r="Q29" s="267">
        <f t="shared" si="12"/>
        <v>162</v>
      </c>
      <c r="R29" s="267">
        <f t="shared" si="0"/>
        <v>173</v>
      </c>
      <c r="S29" s="267" t="str">
        <f t="shared" si="7"/>
        <v>f162</v>
      </c>
      <c r="T29" s="267" t="str">
        <f t="shared" si="7"/>
        <v>f173</v>
      </c>
      <c r="U29" s="267" t="str">
        <f t="shared" si="1"/>
        <v>G162</v>
      </c>
      <c r="V29" s="267" t="str">
        <f t="shared" si="1"/>
        <v>G173</v>
      </c>
    </row>
    <row r="30" spans="1:22">
      <c r="A30" s="295">
        <f t="shared" si="2"/>
        <v>13</v>
      </c>
      <c r="B30" s="300">
        <f t="shared" si="13"/>
        <v>367</v>
      </c>
      <c r="C30" s="296">
        <f t="shared" si="8"/>
        <v>0</v>
      </c>
      <c r="D30" s="295"/>
      <c r="E30" s="296">
        <f t="shared" ref="E30:E41" si="14">IF($D$10=1,
 IF(OR(MONTH(B30)=MONTH(EDATE($D$7,0)),MONTH(B30)=MONTH(EDATE($D$7,3)),MONTH(B30)=MONTH(EDATE($D$7,6)),MONTH(B30)=MONTH(EDATE($D$7,9))),(MIN($D$29,H29)),0),
IF($D$10=0,
 IF(OR(MONTH(B30)=MONTH(EDATE($D$7,2)),MONTH(B30)=MONTH(EDATE($D$7,5)),MONTH(B30)=MONTH(EDATE($D$7,8)),MONTH(B30)=MONTH(EDATE($D$7,11))),(MIN($D$29,H29)),0)))</f>
        <v>0</v>
      </c>
      <c r="F30" s="296">
        <f t="shared" ref="F30:F93" si="15">IF(E30="","",E30-G30)</f>
        <v>0</v>
      </c>
      <c r="G30" s="296">
        <f t="shared" ref="G30:G93" si="16">ROUND((C30-E30)*$D$5,3)</f>
        <v>0</v>
      </c>
      <c r="H30" s="296">
        <f t="shared" ref="H30:H93" si="17">IF(E30="","",ROUND(H29-F30,4))</f>
        <v>0</v>
      </c>
      <c r="I30" s="297">
        <f t="shared" si="4"/>
        <v>0</v>
      </c>
      <c r="J30" s="298">
        <v>14</v>
      </c>
      <c r="K30" s="299" cm="1">
        <f t="array" aca="1" ref="K30" ca="1">'Itemized Costs-HIDDEN'!N18-INDIRECT("'Sch3-Perf Period Cash Flow'!D"&amp;7&amp;"")</f>
        <v>-1</v>
      </c>
      <c r="L30" s="425">
        <v>0</v>
      </c>
      <c r="M30" s="299">
        <f t="shared" ca="1" si="5"/>
        <v>-1</v>
      </c>
      <c r="N30" s="299">
        <f ca="1">ROUND(SUM(INDIRECT(S30):INDIRECT(T30)),0)</f>
        <v>-1</v>
      </c>
      <c r="O30" s="299">
        <f ca="1">IF(N30=0,0,ROUND(SUM(INDIRECT(U30):INDIRECT(V30)),0))</f>
        <v>0</v>
      </c>
      <c r="P30" s="461" t="str">
        <f t="shared" ca="1" si="6"/>
        <v/>
      </c>
      <c r="Q30" s="267">
        <f t="shared" si="12"/>
        <v>174</v>
      </c>
      <c r="R30" s="267">
        <f t="shared" si="0"/>
        <v>185</v>
      </c>
      <c r="S30" s="267" t="str">
        <f t="shared" si="7"/>
        <v>f174</v>
      </c>
      <c r="T30" s="267" t="str">
        <f t="shared" si="7"/>
        <v>f185</v>
      </c>
      <c r="U30" s="267" t="str">
        <f t="shared" si="1"/>
        <v>G174</v>
      </c>
      <c r="V30" s="267" t="str">
        <f t="shared" si="1"/>
        <v>G185</v>
      </c>
    </row>
    <row r="31" spans="1:22">
      <c r="A31" s="295">
        <f t="shared" si="2"/>
        <v>14</v>
      </c>
      <c r="B31" s="300">
        <f t="shared" si="13"/>
        <v>398</v>
      </c>
      <c r="C31" s="296">
        <f t="shared" si="8"/>
        <v>0</v>
      </c>
      <c r="D31" s="295"/>
      <c r="E31" s="296">
        <f t="shared" si="14"/>
        <v>0</v>
      </c>
      <c r="F31" s="296">
        <f t="shared" si="15"/>
        <v>0</v>
      </c>
      <c r="G31" s="296">
        <f t="shared" si="16"/>
        <v>0</v>
      </c>
      <c r="H31" s="296">
        <f t="shared" si="17"/>
        <v>0</v>
      </c>
      <c r="I31" s="297">
        <f t="shared" si="4"/>
        <v>0</v>
      </c>
      <c r="J31" s="298">
        <v>15</v>
      </c>
      <c r="K31" s="299" cm="1">
        <f t="array" aca="1" ref="K31" ca="1">'Itemized Costs-HIDDEN'!N19-INDIRECT("'Sch3-Perf Period Cash Flow'!D"&amp;7&amp;"")</f>
        <v>-1</v>
      </c>
      <c r="L31" s="425">
        <v>0</v>
      </c>
      <c r="M31" s="299">
        <f t="shared" ca="1" si="5"/>
        <v>-1</v>
      </c>
      <c r="N31" s="299">
        <f ca="1">ROUND(SUM(INDIRECT(S31):INDIRECT(T31)),0)</f>
        <v>-1</v>
      </c>
      <c r="O31" s="299">
        <f ca="1">IF(N31=0,0,ROUND(SUM(INDIRECT(U31):INDIRECT(V31)),0))</f>
        <v>0</v>
      </c>
      <c r="P31" s="461" t="str">
        <f t="shared" ca="1" si="6"/>
        <v/>
      </c>
      <c r="Q31" s="267">
        <f t="shared" si="12"/>
        <v>186</v>
      </c>
      <c r="R31" s="267">
        <f t="shared" si="0"/>
        <v>197</v>
      </c>
      <c r="S31" s="267" t="str">
        <f t="shared" si="7"/>
        <v>f186</v>
      </c>
      <c r="T31" s="267" t="str">
        <f t="shared" si="7"/>
        <v>f197</v>
      </c>
      <c r="U31" s="267" t="str">
        <f t="shared" si="1"/>
        <v>G186</v>
      </c>
      <c r="V31" s="267" t="str">
        <f t="shared" si="1"/>
        <v>G197</v>
      </c>
    </row>
    <row r="32" spans="1:22">
      <c r="A32" s="295">
        <f t="shared" si="2"/>
        <v>15</v>
      </c>
      <c r="B32" s="300">
        <f t="shared" si="13"/>
        <v>426</v>
      </c>
      <c r="C32" s="296">
        <f t="shared" si="8"/>
        <v>0</v>
      </c>
      <c r="D32" s="295"/>
      <c r="E32" s="296">
        <f t="shared" ca="1" si="14"/>
        <v>-0.25</v>
      </c>
      <c r="F32" s="296">
        <f t="shared" ca="1" si="15"/>
        <v>-0.25</v>
      </c>
      <c r="G32" s="296">
        <f t="shared" ca="1" si="16"/>
        <v>0</v>
      </c>
      <c r="H32" s="296">
        <f t="shared" ca="1" si="17"/>
        <v>0.25</v>
      </c>
      <c r="I32" s="297">
        <f t="shared" ca="1" si="4"/>
        <v>0</v>
      </c>
      <c r="J32" s="298">
        <v>16</v>
      </c>
      <c r="K32" s="299" cm="1">
        <f t="array" aca="1" ref="K32" ca="1">'Itemized Costs-HIDDEN'!N20-INDIRECT("'Sch3-Perf Period Cash Flow'!D"&amp;7&amp;"")</f>
        <v>-1</v>
      </c>
      <c r="L32" s="425">
        <v>0</v>
      </c>
      <c r="M32" s="299">
        <f t="shared" ca="1" si="5"/>
        <v>-1</v>
      </c>
      <c r="N32" s="299">
        <f ca="1">ROUND(SUM(INDIRECT(S32):INDIRECT(T32)),0)</f>
        <v>-1</v>
      </c>
      <c r="O32" s="299">
        <f ca="1">IF(N32=0,0,ROUND(SUM(INDIRECT(U32):INDIRECT(V32)),0))</f>
        <v>0</v>
      </c>
      <c r="P32" s="461" t="str">
        <f t="shared" ca="1" si="6"/>
        <v/>
      </c>
      <c r="Q32" s="267">
        <f t="shared" si="12"/>
        <v>198</v>
      </c>
      <c r="R32" s="267">
        <f t="shared" si="0"/>
        <v>209</v>
      </c>
      <c r="S32" s="267" t="str">
        <f t="shared" si="7"/>
        <v>f198</v>
      </c>
      <c r="T32" s="267" t="str">
        <f t="shared" si="7"/>
        <v>f209</v>
      </c>
      <c r="U32" s="267" t="str">
        <f t="shared" si="1"/>
        <v>G198</v>
      </c>
      <c r="V32" s="267" t="str">
        <f t="shared" si="1"/>
        <v>G209</v>
      </c>
    </row>
    <row r="33" spans="1:22">
      <c r="A33" s="295">
        <f t="shared" si="2"/>
        <v>16</v>
      </c>
      <c r="B33" s="300">
        <f t="shared" si="13"/>
        <v>457</v>
      </c>
      <c r="C33" s="296">
        <f t="shared" ca="1" si="8"/>
        <v>0.25</v>
      </c>
      <c r="D33" s="295"/>
      <c r="E33" s="296">
        <f t="shared" si="14"/>
        <v>0</v>
      </c>
      <c r="F33" s="296">
        <f t="shared" ca="1" si="15"/>
        <v>0</v>
      </c>
      <c r="G33" s="296">
        <f t="shared" ca="1" si="16"/>
        <v>0</v>
      </c>
      <c r="H33" s="296">
        <f t="shared" ca="1" si="17"/>
        <v>0.25</v>
      </c>
      <c r="I33" s="297">
        <f t="shared" ca="1" si="4"/>
        <v>0</v>
      </c>
      <c r="J33" s="298">
        <v>17</v>
      </c>
      <c r="K33" s="299" cm="1">
        <f t="array" aca="1" ref="K33" ca="1">'Itemized Costs-HIDDEN'!N21-INDIRECT("'Sch3-Perf Period Cash Flow'!D"&amp;7&amp;"")</f>
        <v>-1</v>
      </c>
      <c r="L33" s="425">
        <v>0</v>
      </c>
      <c r="M33" s="299">
        <f t="shared" ca="1" si="5"/>
        <v>-1</v>
      </c>
      <c r="N33" s="299">
        <f ca="1">ROUND(SUM(INDIRECT(S33):INDIRECT(T33)),0)</f>
        <v>-1</v>
      </c>
      <c r="O33" s="299">
        <f ca="1">IF(N33=0,0,ROUND(SUM(INDIRECT(U33):INDIRECT(V33)),0))</f>
        <v>0</v>
      </c>
      <c r="P33" s="461" t="str">
        <f t="shared" ca="1" si="6"/>
        <v/>
      </c>
      <c r="Q33" s="267">
        <f t="shared" si="12"/>
        <v>210</v>
      </c>
      <c r="R33" s="267">
        <f t="shared" si="0"/>
        <v>221</v>
      </c>
      <c r="S33" s="267" t="str">
        <f t="shared" si="7"/>
        <v>f210</v>
      </c>
      <c r="T33" s="267" t="str">
        <f t="shared" si="7"/>
        <v>f221</v>
      </c>
      <c r="U33" s="267" t="str">
        <f t="shared" ref="U33:V40" si="18">CONCATENATE("G",Q33)</f>
        <v>G210</v>
      </c>
      <c r="V33" s="267" t="str">
        <f t="shared" si="18"/>
        <v>G221</v>
      </c>
    </row>
    <row r="34" spans="1:22">
      <c r="A34" s="295">
        <f t="shared" si="2"/>
        <v>17</v>
      </c>
      <c r="B34" s="300">
        <f t="shared" si="13"/>
        <v>487</v>
      </c>
      <c r="C34" s="296">
        <f t="shared" ca="1" si="8"/>
        <v>0.25</v>
      </c>
      <c r="D34" s="295"/>
      <c r="E34" s="296">
        <f t="shared" si="14"/>
        <v>0</v>
      </c>
      <c r="F34" s="296">
        <f t="shared" ca="1" si="15"/>
        <v>0</v>
      </c>
      <c r="G34" s="296">
        <f t="shared" ca="1" si="16"/>
        <v>0</v>
      </c>
      <c r="H34" s="296">
        <f t="shared" ca="1" si="17"/>
        <v>0.25</v>
      </c>
      <c r="I34" s="297">
        <f t="shared" ca="1" si="4"/>
        <v>0</v>
      </c>
      <c r="J34" s="298">
        <v>18</v>
      </c>
      <c r="K34" s="299" cm="1">
        <f t="array" aca="1" ref="K34" ca="1">'Itemized Costs-HIDDEN'!N22-INDIRECT("'Sch3-Perf Period Cash Flow'!D"&amp;7&amp;"")</f>
        <v>-1</v>
      </c>
      <c r="L34" s="425">
        <v>0</v>
      </c>
      <c r="M34" s="299">
        <f t="shared" ca="1" si="5"/>
        <v>-1</v>
      </c>
      <c r="N34" s="299">
        <f ca="1">ROUND(SUM(INDIRECT(S34):INDIRECT(T34)),0)</f>
        <v>-1</v>
      </c>
      <c r="O34" s="299">
        <f ca="1">IF(N34=0,0,ROUND(SUM(INDIRECT(U34):INDIRECT(V34)),0))</f>
        <v>0</v>
      </c>
      <c r="P34" s="461" t="str">
        <f t="shared" ca="1" si="6"/>
        <v/>
      </c>
      <c r="Q34" s="267">
        <f t="shared" si="12"/>
        <v>222</v>
      </c>
      <c r="R34" s="267">
        <f t="shared" si="0"/>
        <v>233</v>
      </c>
      <c r="S34" s="267" t="str">
        <f t="shared" si="7"/>
        <v>f222</v>
      </c>
      <c r="T34" s="267" t="str">
        <f t="shared" si="7"/>
        <v>f233</v>
      </c>
      <c r="U34" s="267" t="str">
        <f t="shared" si="18"/>
        <v>G222</v>
      </c>
      <c r="V34" s="267" t="str">
        <f t="shared" si="18"/>
        <v>G233</v>
      </c>
    </row>
    <row r="35" spans="1:22">
      <c r="A35" s="295">
        <f t="shared" si="2"/>
        <v>18</v>
      </c>
      <c r="B35" s="300">
        <f t="shared" si="13"/>
        <v>518</v>
      </c>
      <c r="C35" s="296">
        <f t="shared" ca="1" si="8"/>
        <v>0.25</v>
      </c>
      <c r="D35" s="295"/>
      <c r="E35" s="296">
        <f t="shared" ca="1" si="14"/>
        <v>-0.25</v>
      </c>
      <c r="F35" s="296">
        <f t="shared" ca="1" si="15"/>
        <v>-0.25</v>
      </c>
      <c r="G35" s="296">
        <f t="shared" ca="1" si="16"/>
        <v>0</v>
      </c>
      <c r="H35" s="296">
        <f t="shared" ca="1" si="17"/>
        <v>0.5</v>
      </c>
      <c r="I35" s="297">
        <f t="shared" ca="1" si="4"/>
        <v>-1</v>
      </c>
      <c r="J35" s="298">
        <v>19</v>
      </c>
      <c r="K35" s="299" cm="1">
        <f t="array" aca="1" ref="K35" ca="1">'Itemized Costs-HIDDEN'!N23-INDIRECT("'Sch3-Perf Period Cash Flow'!D"&amp;7&amp;"")</f>
        <v>-1</v>
      </c>
      <c r="L35" s="425">
        <v>0</v>
      </c>
      <c r="M35" s="299">
        <f t="shared" ca="1" si="5"/>
        <v>-1</v>
      </c>
      <c r="N35" s="299">
        <f ca="1">ROUND(SUM(INDIRECT(S35):INDIRECT(T35)),0)</f>
        <v>-1</v>
      </c>
      <c r="O35" s="299">
        <f ca="1">IF(N35=0,0,ROUND(SUM(INDIRECT(U35):INDIRECT(V35)),0))</f>
        <v>0</v>
      </c>
      <c r="P35" s="461" t="str">
        <f t="shared" ca="1" si="6"/>
        <v/>
      </c>
      <c r="Q35" s="267">
        <f t="shared" si="12"/>
        <v>234</v>
      </c>
      <c r="R35" s="267">
        <f>Q35+11</f>
        <v>245</v>
      </c>
      <c r="S35" s="267" t="str">
        <f t="shared" si="7"/>
        <v>f234</v>
      </c>
      <c r="T35" s="267" t="str">
        <f t="shared" si="7"/>
        <v>f245</v>
      </c>
      <c r="U35" s="267" t="str">
        <f t="shared" si="18"/>
        <v>G234</v>
      </c>
      <c r="V35" s="267" t="str">
        <f t="shared" si="18"/>
        <v>G245</v>
      </c>
    </row>
    <row r="36" spans="1:22">
      <c r="A36" s="295">
        <f t="shared" si="2"/>
        <v>19</v>
      </c>
      <c r="B36" s="300">
        <f t="shared" si="13"/>
        <v>548</v>
      </c>
      <c r="C36" s="296">
        <f t="shared" ca="1" si="8"/>
        <v>0.5</v>
      </c>
      <c r="D36" s="295"/>
      <c r="E36" s="296">
        <f t="shared" si="14"/>
        <v>0</v>
      </c>
      <c r="F36" s="296">
        <f t="shared" ca="1" si="15"/>
        <v>0</v>
      </c>
      <c r="G36" s="296">
        <f t="shared" ca="1" si="16"/>
        <v>0</v>
      </c>
      <c r="H36" s="296">
        <f t="shared" ca="1" si="17"/>
        <v>0.5</v>
      </c>
      <c r="I36" s="297">
        <f t="shared" ca="1" si="4"/>
        <v>-1</v>
      </c>
      <c r="J36" s="298">
        <v>20</v>
      </c>
      <c r="K36" s="299" cm="1">
        <f t="array" aca="1" ref="K36" ca="1">'Itemized Costs-HIDDEN'!N24-INDIRECT("'Sch3-Perf Period Cash Flow'!D"&amp;7&amp;"")</f>
        <v>-1</v>
      </c>
      <c r="L36" s="425">
        <v>0</v>
      </c>
      <c r="M36" s="299">
        <f t="shared" ca="1" si="5"/>
        <v>-1</v>
      </c>
      <c r="N36" s="299">
        <f ca="1">ROUND(SUM(INDIRECT(S36):INDIRECT(T36)),0)</f>
        <v>-1</v>
      </c>
      <c r="O36" s="299">
        <f ca="1">IF(N36=0,0,ROUND(SUM(INDIRECT(U36):INDIRECT(V36)),0))</f>
        <v>0</v>
      </c>
      <c r="P36" s="461" t="str">
        <f t="shared" ca="1" si="6"/>
        <v/>
      </c>
      <c r="Q36" s="267">
        <f t="shared" si="12"/>
        <v>246</v>
      </c>
      <c r="R36" s="267">
        <f t="shared" ref="R36:R56" si="19">Q36+11</f>
        <v>257</v>
      </c>
      <c r="S36" s="267" t="str">
        <f t="shared" si="7"/>
        <v>f246</v>
      </c>
      <c r="T36" s="267" t="str">
        <f t="shared" si="7"/>
        <v>f257</v>
      </c>
      <c r="U36" s="267" t="str">
        <f t="shared" si="18"/>
        <v>G246</v>
      </c>
      <c r="V36" s="267" t="str">
        <f t="shared" si="18"/>
        <v>G257</v>
      </c>
    </row>
    <row r="37" spans="1:22">
      <c r="A37" s="295">
        <f t="shared" si="2"/>
        <v>20</v>
      </c>
      <c r="B37" s="300">
        <f t="shared" si="13"/>
        <v>579</v>
      </c>
      <c r="C37" s="296">
        <f t="shared" ca="1" si="8"/>
        <v>0.5</v>
      </c>
      <c r="D37" s="295"/>
      <c r="E37" s="296">
        <f t="shared" si="14"/>
        <v>0</v>
      </c>
      <c r="F37" s="296">
        <f t="shared" ca="1" si="15"/>
        <v>0</v>
      </c>
      <c r="G37" s="296">
        <f t="shared" ca="1" si="16"/>
        <v>0</v>
      </c>
      <c r="H37" s="296">
        <f t="shared" ca="1" si="17"/>
        <v>0.5</v>
      </c>
      <c r="I37" s="297">
        <f t="shared" ca="1" si="4"/>
        <v>-1</v>
      </c>
      <c r="J37" s="298">
        <v>21</v>
      </c>
      <c r="K37" s="299" cm="1">
        <f t="array" aca="1" ref="K37" ca="1">'Itemized Costs-HIDDEN'!N25-INDIRECT("'Sch3-Perf Period Cash Flow'!D"&amp;7&amp;"")</f>
        <v>-1</v>
      </c>
      <c r="L37" s="425">
        <v>0</v>
      </c>
      <c r="M37" s="299">
        <f t="shared" ca="1" si="5"/>
        <v>-1</v>
      </c>
      <c r="N37" s="299">
        <f ca="1">ROUND(SUM(INDIRECT(S37):INDIRECT(T37)),0)</f>
        <v>-1</v>
      </c>
      <c r="O37" s="299">
        <f ca="1">IF(N37=0,0,ROUND(SUM(INDIRECT(U37):INDIRECT(V37)),0))</f>
        <v>0</v>
      </c>
      <c r="P37" s="461" t="str">
        <f t="shared" ca="1" si="6"/>
        <v/>
      </c>
      <c r="Q37" s="267">
        <f t="shared" si="12"/>
        <v>258</v>
      </c>
      <c r="R37" s="267">
        <f t="shared" si="19"/>
        <v>269</v>
      </c>
      <c r="S37" s="267" t="str">
        <f t="shared" si="7"/>
        <v>f258</v>
      </c>
      <c r="T37" s="267" t="str">
        <f t="shared" si="7"/>
        <v>f269</v>
      </c>
      <c r="U37" s="267" t="str">
        <f t="shared" si="18"/>
        <v>G258</v>
      </c>
      <c r="V37" s="267" t="str">
        <f t="shared" si="18"/>
        <v>G269</v>
      </c>
    </row>
    <row r="38" spans="1:22">
      <c r="A38" s="295">
        <f t="shared" si="2"/>
        <v>21</v>
      </c>
      <c r="B38" s="300">
        <f t="shared" si="13"/>
        <v>610</v>
      </c>
      <c r="C38" s="296">
        <f t="shared" ca="1" si="8"/>
        <v>0.5</v>
      </c>
      <c r="D38" s="295"/>
      <c r="E38" s="296">
        <f t="shared" ca="1" si="14"/>
        <v>-0.25</v>
      </c>
      <c r="F38" s="296">
        <f t="shared" ca="1" si="15"/>
        <v>-0.25</v>
      </c>
      <c r="G38" s="296">
        <f t="shared" ca="1" si="16"/>
        <v>0</v>
      </c>
      <c r="H38" s="296">
        <f t="shared" ca="1" si="17"/>
        <v>0.75</v>
      </c>
      <c r="I38" s="297">
        <f t="shared" ca="1" si="4"/>
        <v>-1</v>
      </c>
      <c r="J38" s="298">
        <v>22</v>
      </c>
      <c r="K38" s="299" cm="1">
        <f t="array" aca="1" ref="K38" ca="1">'Itemized Costs-HIDDEN'!N26-INDIRECT("'Sch3-Perf Period Cash Flow'!D"&amp;7&amp;"")</f>
        <v>-1</v>
      </c>
      <c r="L38" s="425">
        <v>0</v>
      </c>
      <c r="M38" s="299">
        <f t="shared" ca="1" si="5"/>
        <v>-1</v>
      </c>
      <c r="N38" s="299">
        <f ca="1">ROUND(SUM(INDIRECT(S38):INDIRECT(T38)),0)</f>
        <v>-1</v>
      </c>
      <c r="O38" s="299">
        <f ca="1">IF(N38=0,0,ROUND(SUM(INDIRECT(U38):INDIRECT(V38)),0))</f>
        <v>0</v>
      </c>
      <c r="P38" s="461" t="str">
        <f t="shared" ca="1" si="6"/>
        <v/>
      </c>
      <c r="Q38" s="267">
        <f t="shared" si="12"/>
        <v>270</v>
      </c>
      <c r="R38" s="267">
        <f t="shared" si="19"/>
        <v>281</v>
      </c>
      <c r="S38" s="267" t="str">
        <f t="shared" si="7"/>
        <v>f270</v>
      </c>
      <c r="T38" s="267" t="str">
        <f t="shared" si="7"/>
        <v>f281</v>
      </c>
      <c r="U38" s="267" t="str">
        <f t="shared" si="18"/>
        <v>G270</v>
      </c>
      <c r="V38" s="267" t="str">
        <f t="shared" si="18"/>
        <v>G281</v>
      </c>
    </row>
    <row r="39" spans="1:22">
      <c r="A39" s="295">
        <f t="shared" si="2"/>
        <v>22</v>
      </c>
      <c r="B39" s="300">
        <f t="shared" si="13"/>
        <v>640</v>
      </c>
      <c r="C39" s="296">
        <f t="shared" ca="1" si="8"/>
        <v>0.75</v>
      </c>
      <c r="D39" s="295"/>
      <c r="E39" s="296">
        <f t="shared" si="14"/>
        <v>0</v>
      </c>
      <c r="F39" s="296">
        <f t="shared" ca="1" si="15"/>
        <v>0</v>
      </c>
      <c r="G39" s="296">
        <f t="shared" ca="1" si="16"/>
        <v>0</v>
      </c>
      <c r="H39" s="296">
        <f t="shared" ca="1" si="17"/>
        <v>0.75</v>
      </c>
      <c r="I39" s="297">
        <f t="shared" ca="1" si="4"/>
        <v>-1</v>
      </c>
      <c r="J39" s="298">
        <v>23</v>
      </c>
      <c r="K39" s="299" cm="1">
        <f t="array" aca="1" ref="K39" ca="1">'Itemized Costs-HIDDEN'!N27-INDIRECT("'Sch3-Perf Period Cash Flow'!D"&amp;7&amp;"")</f>
        <v>-1</v>
      </c>
      <c r="L39" s="425">
        <v>0</v>
      </c>
      <c r="M39" s="299">
        <f t="shared" ca="1" si="5"/>
        <v>-1</v>
      </c>
      <c r="N39" s="299">
        <f ca="1">ROUND(SUM(INDIRECT(S39):INDIRECT(T39)),0)</f>
        <v>-1</v>
      </c>
      <c r="O39" s="299">
        <f ca="1">IF(N39=0,0,ROUND(SUM(INDIRECT(U39):INDIRECT(V39)),0))</f>
        <v>0</v>
      </c>
      <c r="P39" s="461" t="str">
        <f t="shared" ca="1" si="6"/>
        <v/>
      </c>
      <c r="Q39" s="267">
        <f t="shared" si="12"/>
        <v>282</v>
      </c>
      <c r="R39" s="267">
        <f t="shared" si="19"/>
        <v>293</v>
      </c>
      <c r="S39" s="267" t="str">
        <f t="shared" si="7"/>
        <v>f282</v>
      </c>
      <c r="T39" s="267" t="str">
        <f t="shared" si="7"/>
        <v>f293</v>
      </c>
      <c r="U39" s="267" t="str">
        <f t="shared" si="18"/>
        <v>G282</v>
      </c>
      <c r="V39" s="267" t="str">
        <f t="shared" si="18"/>
        <v>G293</v>
      </c>
    </row>
    <row r="40" spans="1:22">
      <c r="A40" s="295">
        <f t="shared" si="2"/>
        <v>23</v>
      </c>
      <c r="B40" s="300">
        <f t="shared" si="13"/>
        <v>671</v>
      </c>
      <c r="C40" s="296">
        <f t="shared" ca="1" si="8"/>
        <v>0.75</v>
      </c>
      <c r="D40" s="295"/>
      <c r="E40" s="296">
        <f t="shared" si="14"/>
        <v>0</v>
      </c>
      <c r="F40" s="296">
        <f t="shared" ca="1" si="15"/>
        <v>0</v>
      </c>
      <c r="G40" s="296">
        <f t="shared" ca="1" si="16"/>
        <v>0</v>
      </c>
      <c r="H40" s="296">
        <f t="shared" ca="1" si="17"/>
        <v>0.75</v>
      </c>
      <c r="I40" s="297">
        <f t="shared" ca="1" si="4"/>
        <v>-1</v>
      </c>
      <c r="J40" s="298">
        <v>24</v>
      </c>
      <c r="K40" s="299" cm="1">
        <f t="array" aca="1" ref="K40" ca="1">'Itemized Costs-HIDDEN'!N28-INDIRECT("'Sch3-Perf Period Cash Flow'!D"&amp;7&amp;"")</f>
        <v>-1</v>
      </c>
      <c r="L40" s="425">
        <v>0</v>
      </c>
      <c r="M40" s="299">
        <f t="shared" ca="1" si="5"/>
        <v>-1</v>
      </c>
      <c r="N40" s="299">
        <f ca="1">ROUND(SUM(INDIRECT(S40):INDIRECT(T40)),0)</f>
        <v>-1</v>
      </c>
      <c r="O40" s="299">
        <f ca="1">IF(N40=0,0,ROUND(SUM(INDIRECT(U40):INDIRECT(V40)),0))</f>
        <v>0</v>
      </c>
      <c r="P40" s="461" t="str">
        <f t="shared" ca="1" si="6"/>
        <v/>
      </c>
      <c r="Q40" s="267">
        <f t="shared" si="12"/>
        <v>294</v>
      </c>
      <c r="R40" s="267">
        <f t="shared" si="19"/>
        <v>305</v>
      </c>
      <c r="S40" s="267" t="str">
        <f t="shared" si="7"/>
        <v>f294</v>
      </c>
      <c r="T40" s="267" t="str">
        <f t="shared" si="7"/>
        <v>f305</v>
      </c>
      <c r="U40" s="267" t="str">
        <f t="shared" si="18"/>
        <v>G294</v>
      </c>
      <c r="V40" s="267" t="str">
        <f t="shared" si="18"/>
        <v>G305</v>
      </c>
    </row>
    <row r="41" spans="1:22">
      <c r="A41" s="295">
        <f t="shared" si="2"/>
        <v>24</v>
      </c>
      <c r="B41" s="300">
        <f t="shared" si="13"/>
        <v>701</v>
      </c>
      <c r="C41" s="296">
        <f t="shared" ca="1" si="8"/>
        <v>0.75</v>
      </c>
      <c r="D41" s="296">
        <f ca="1">IF(H41&lt;0,0,0.25*(K19-L19))</f>
        <v>-0.25</v>
      </c>
      <c r="E41" s="296">
        <f t="shared" ca="1" si="14"/>
        <v>-0.25</v>
      </c>
      <c r="F41" s="296">
        <f t="shared" ca="1" si="15"/>
        <v>-0.25</v>
      </c>
      <c r="G41" s="296">
        <f t="shared" ca="1" si="16"/>
        <v>0</v>
      </c>
      <c r="H41" s="296">
        <f t="shared" ca="1" si="17"/>
        <v>1</v>
      </c>
      <c r="I41" s="297">
        <f t="shared" ca="1" si="4"/>
        <v>-1</v>
      </c>
      <c r="J41" s="298">
        <v>25</v>
      </c>
      <c r="K41" s="299" cm="1">
        <f t="array" aca="1" ref="K41" ca="1">'Itemized Costs-HIDDEN'!N29-INDIRECT("'Sch3-Perf Period Cash Flow'!D"&amp;7&amp;"")</f>
        <v>-1</v>
      </c>
      <c r="L41" s="425">
        <v>0</v>
      </c>
      <c r="M41" s="299">
        <f ca="1">N41+O41</f>
        <v>-1</v>
      </c>
      <c r="N41" s="299">
        <f ca="1">ROUND(SUM(INDIRECT(S41):INDIRECT(T41)),0)</f>
        <v>-1</v>
      </c>
      <c r="O41" s="299">
        <f ca="1">IF(N41=0,0,ROUND(SUM(INDIRECT(U41):INDIRECT(V41)),0))</f>
        <v>0</v>
      </c>
      <c r="P41" s="461" t="str">
        <f t="shared" ca="1" si="6"/>
        <v/>
      </c>
      <c r="Q41" s="267">
        <f t="shared" si="12"/>
        <v>306</v>
      </c>
      <c r="R41" s="267">
        <f t="shared" si="19"/>
        <v>317</v>
      </c>
      <c r="S41" s="267" t="str">
        <f t="shared" si="7"/>
        <v>f306</v>
      </c>
      <c r="T41" s="267" t="str">
        <f t="shared" si="7"/>
        <v>f317</v>
      </c>
      <c r="U41" s="267" t="str">
        <f>CONCATENATE("G",Q41)</f>
        <v>G306</v>
      </c>
      <c r="V41" s="267" t="str">
        <f>CONCATENATE("G",R41)</f>
        <v>G317</v>
      </c>
    </row>
    <row r="42" spans="1:22">
      <c r="A42" s="295">
        <f t="shared" si="2"/>
        <v>25</v>
      </c>
      <c r="B42" s="300">
        <f t="shared" si="13"/>
        <v>732</v>
      </c>
      <c r="C42" s="296">
        <f t="shared" ca="1" si="8"/>
        <v>1</v>
      </c>
      <c r="D42" s="296"/>
      <c r="E42" s="296">
        <f t="shared" ref="E42:E53" si="20">IF($D$10=1,
 IF(OR(MONTH(B42)=MONTH(EDATE($D$7,0)),MONTH(B42)=MONTH(EDATE($D$7,3)),MONTH(B42)=MONTH(EDATE($D$7,6)),MONTH(B42)=MONTH(EDATE($D$7,9))),(MIN($D$41,H41)),0),
IF($D$10=0,
 IF(OR(MONTH(B42)=MONTH(EDATE($D$7,2)),MONTH(B42)=MONTH(EDATE($D$7,5)),MONTH(B42)=MONTH(EDATE($D$7,8)),MONTH(B42)=MONTH(EDATE($D$7,11))),(MIN($D$41,H41)),0)))</f>
        <v>0</v>
      </c>
      <c r="F42" s="296">
        <f t="shared" ca="1" si="15"/>
        <v>0</v>
      </c>
      <c r="G42" s="296">
        <f t="shared" ca="1" si="16"/>
        <v>0</v>
      </c>
      <c r="H42" s="296">
        <f t="shared" ca="1" si="17"/>
        <v>1</v>
      </c>
      <c r="I42" s="297">
        <f t="shared" ca="1" si="4"/>
        <v>-1</v>
      </c>
      <c r="J42" s="298">
        <v>26</v>
      </c>
      <c r="K42" s="299" cm="1">
        <f t="array" aca="1" ref="K42" ca="1">'Itemized Costs-HIDDEN'!N30-INDIRECT("'Sch3-Perf Period Cash Flow'!D"&amp;7&amp;"")</f>
        <v>-1</v>
      </c>
      <c r="L42" s="299">
        <v>0</v>
      </c>
      <c r="M42" s="299">
        <f t="shared" ref="M42:M56" ca="1" si="21">N42+O42</f>
        <v>-1</v>
      </c>
      <c r="N42" s="299">
        <f ca="1">ROUND(SUM(INDIRECT(S42):INDIRECT(T42)),0)</f>
        <v>-1</v>
      </c>
      <c r="O42" s="299">
        <f ca="1">IF(N42=0,0,ROUND(SUM(INDIRECT(U42):INDIRECT(V42)),0))</f>
        <v>0</v>
      </c>
      <c r="P42" s="461" t="str">
        <f t="shared" ca="1" si="6"/>
        <v/>
      </c>
      <c r="Q42" s="267">
        <f t="shared" si="12"/>
        <v>318</v>
      </c>
      <c r="R42" s="267">
        <f t="shared" si="19"/>
        <v>329</v>
      </c>
      <c r="S42" s="267" t="str">
        <f t="shared" si="7"/>
        <v>f318</v>
      </c>
      <c r="T42" s="267" t="str">
        <f t="shared" si="7"/>
        <v>f329</v>
      </c>
      <c r="U42" s="267" t="str">
        <f>CONCATENATE("G",Q42)</f>
        <v>G318</v>
      </c>
      <c r="V42" s="267" t="str">
        <f>CONCATENATE("G",R42)</f>
        <v>G329</v>
      </c>
    </row>
    <row r="43" spans="1:22">
      <c r="A43" s="295">
        <f t="shared" si="2"/>
        <v>26</v>
      </c>
      <c r="B43" s="300">
        <f t="shared" si="13"/>
        <v>763</v>
      </c>
      <c r="C43" s="296">
        <f t="shared" ca="1" si="8"/>
        <v>1</v>
      </c>
      <c r="D43" s="295"/>
      <c r="E43" s="296">
        <f t="shared" si="20"/>
        <v>0</v>
      </c>
      <c r="F43" s="296">
        <f t="shared" ca="1" si="15"/>
        <v>0</v>
      </c>
      <c r="G43" s="296">
        <f t="shared" ca="1" si="16"/>
        <v>0</v>
      </c>
      <c r="H43" s="296">
        <f t="shared" ca="1" si="17"/>
        <v>1</v>
      </c>
      <c r="I43" s="297">
        <f t="shared" ca="1" si="4"/>
        <v>-1</v>
      </c>
      <c r="J43" s="298">
        <v>27</v>
      </c>
      <c r="K43" s="299" cm="1">
        <f t="array" aca="1" ref="K43" ca="1">'Itemized Costs-HIDDEN'!N31-INDIRECT("'Sch3-Perf Period Cash Flow'!D"&amp;7&amp;"")</f>
        <v>-1</v>
      </c>
      <c r="L43" s="299">
        <v>0</v>
      </c>
      <c r="M43" s="299">
        <f t="shared" ca="1" si="21"/>
        <v>-1</v>
      </c>
      <c r="N43" s="299">
        <f ca="1">ROUND(SUM(INDIRECT(S43):INDIRECT(T43)),0)</f>
        <v>-1</v>
      </c>
      <c r="O43" s="299">
        <f ca="1">IF(N43=0,0,ROUND(SUM(INDIRECT(U43):INDIRECT(V43)),0))</f>
        <v>0</v>
      </c>
      <c r="P43" s="461" t="str">
        <f t="shared" ca="1" si="6"/>
        <v/>
      </c>
      <c r="Q43" s="267">
        <f t="shared" si="12"/>
        <v>330</v>
      </c>
      <c r="R43" s="267">
        <f t="shared" si="19"/>
        <v>341</v>
      </c>
      <c r="S43" s="267" t="str">
        <f t="shared" si="7"/>
        <v>f330</v>
      </c>
      <c r="T43" s="267" t="str">
        <f t="shared" si="7"/>
        <v>f341</v>
      </c>
      <c r="U43" s="267" t="str">
        <f t="shared" ref="U43:V56" si="22">CONCATENATE("G",Q43)</f>
        <v>G330</v>
      </c>
      <c r="V43" s="267" t="str">
        <f t="shared" si="22"/>
        <v>G341</v>
      </c>
    </row>
    <row r="44" spans="1:22">
      <c r="A44" s="295">
        <f t="shared" si="2"/>
        <v>27</v>
      </c>
      <c r="B44" s="300">
        <f t="shared" si="13"/>
        <v>791</v>
      </c>
      <c r="C44" s="296">
        <f t="shared" ca="1" si="8"/>
        <v>1</v>
      </c>
      <c r="D44" s="295"/>
      <c r="E44" s="296">
        <f t="shared" ca="1" si="20"/>
        <v>-0.25</v>
      </c>
      <c r="F44" s="296">
        <f t="shared" ca="1" si="15"/>
        <v>-0.25</v>
      </c>
      <c r="G44" s="296">
        <f t="shared" ca="1" si="16"/>
        <v>0</v>
      </c>
      <c r="H44" s="296">
        <f t="shared" ca="1" si="17"/>
        <v>1.25</v>
      </c>
      <c r="I44" s="297">
        <f t="shared" ca="1" si="4"/>
        <v>-1</v>
      </c>
      <c r="J44" s="298">
        <v>28</v>
      </c>
      <c r="K44" s="299" cm="1">
        <f t="array" aca="1" ref="K44" ca="1">'Itemized Costs-HIDDEN'!N32-INDIRECT("'Sch3-Perf Period Cash Flow'!D"&amp;7&amp;"")</f>
        <v>-1</v>
      </c>
      <c r="L44" s="299">
        <v>0</v>
      </c>
      <c r="M44" s="299">
        <f t="shared" ca="1" si="21"/>
        <v>-1</v>
      </c>
      <c r="N44" s="299">
        <f ca="1">ROUND(SUM(INDIRECT(S44):INDIRECT(T44)),0)</f>
        <v>-1</v>
      </c>
      <c r="O44" s="299">
        <f ca="1">IF(N44=0,0,ROUND(SUM(INDIRECT(U44):INDIRECT(V44)),0))</f>
        <v>0</v>
      </c>
      <c r="P44" s="461" t="str">
        <f t="shared" ca="1" si="6"/>
        <v/>
      </c>
      <c r="Q44" s="267">
        <f t="shared" si="12"/>
        <v>342</v>
      </c>
      <c r="R44" s="267">
        <f t="shared" si="19"/>
        <v>353</v>
      </c>
      <c r="S44" s="267" t="str">
        <f t="shared" si="7"/>
        <v>f342</v>
      </c>
      <c r="T44" s="267" t="str">
        <f t="shared" si="7"/>
        <v>f353</v>
      </c>
      <c r="U44" s="267" t="str">
        <f t="shared" si="22"/>
        <v>G342</v>
      </c>
      <c r="V44" s="267" t="str">
        <f t="shared" si="22"/>
        <v>G353</v>
      </c>
    </row>
    <row r="45" spans="1:22">
      <c r="A45" s="295">
        <f t="shared" si="2"/>
        <v>28</v>
      </c>
      <c r="B45" s="300">
        <f t="shared" si="13"/>
        <v>822</v>
      </c>
      <c r="C45" s="296">
        <f t="shared" ca="1" si="8"/>
        <v>1.25</v>
      </c>
      <c r="D45" s="295"/>
      <c r="E45" s="296">
        <f t="shared" si="20"/>
        <v>0</v>
      </c>
      <c r="F45" s="296">
        <f t="shared" ca="1" si="15"/>
        <v>0</v>
      </c>
      <c r="G45" s="296">
        <f t="shared" ca="1" si="16"/>
        <v>0</v>
      </c>
      <c r="H45" s="296">
        <f t="shared" ca="1" si="17"/>
        <v>1.25</v>
      </c>
      <c r="I45" s="297">
        <f t="shared" ca="1" si="4"/>
        <v>-1</v>
      </c>
      <c r="J45" s="298">
        <v>29</v>
      </c>
      <c r="K45" s="299" cm="1">
        <f t="array" aca="1" ref="K45" ca="1">'Itemized Costs-HIDDEN'!N33-INDIRECT("'Sch3-Perf Period Cash Flow'!D"&amp;7&amp;"")</f>
        <v>-1</v>
      </c>
      <c r="L45" s="299">
        <v>0</v>
      </c>
      <c r="M45" s="299">
        <f t="shared" ca="1" si="21"/>
        <v>-1</v>
      </c>
      <c r="N45" s="299">
        <f ca="1">ROUND(SUM(INDIRECT(S45):INDIRECT(T45)),0)</f>
        <v>-1</v>
      </c>
      <c r="O45" s="299">
        <f ca="1">IF(N45=0,0,ROUND(SUM(INDIRECT(U45):INDIRECT(V45)),0))</f>
        <v>0</v>
      </c>
      <c r="P45" s="461" t="str">
        <f t="shared" ca="1" si="6"/>
        <v/>
      </c>
      <c r="Q45" s="267">
        <f t="shared" si="12"/>
        <v>354</v>
      </c>
      <c r="R45" s="267">
        <f t="shared" si="19"/>
        <v>365</v>
      </c>
      <c r="S45" s="267" t="str">
        <f t="shared" si="7"/>
        <v>f354</v>
      </c>
      <c r="T45" s="267" t="str">
        <f t="shared" si="7"/>
        <v>f365</v>
      </c>
      <c r="U45" s="267" t="str">
        <f t="shared" si="22"/>
        <v>G354</v>
      </c>
      <c r="V45" s="267" t="str">
        <f t="shared" si="22"/>
        <v>G365</v>
      </c>
    </row>
    <row r="46" spans="1:22">
      <c r="A46" s="295">
        <f t="shared" si="2"/>
        <v>29</v>
      </c>
      <c r="B46" s="300">
        <f t="shared" si="13"/>
        <v>852</v>
      </c>
      <c r="C46" s="296">
        <f t="shared" ca="1" si="8"/>
        <v>1.25</v>
      </c>
      <c r="D46" s="295"/>
      <c r="E46" s="296">
        <f t="shared" si="20"/>
        <v>0</v>
      </c>
      <c r="F46" s="296">
        <f t="shared" ca="1" si="15"/>
        <v>0</v>
      </c>
      <c r="G46" s="296">
        <f t="shared" ca="1" si="16"/>
        <v>0</v>
      </c>
      <c r="H46" s="296">
        <f t="shared" ca="1" si="17"/>
        <v>1.25</v>
      </c>
      <c r="I46" s="297">
        <f t="shared" ca="1" si="4"/>
        <v>-1</v>
      </c>
      <c r="J46" s="298">
        <v>30</v>
      </c>
      <c r="K46" s="299" cm="1">
        <f t="array" aca="1" ref="K46" ca="1">'Itemized Costs-HIDDEN'!N34-INDIRECT("'Sch3-Perf Period Cash Flow'!D"&amp;7&amp;"")</f>
        <v>-1</v>
      </c>
      <c r="L46" s="299">
        <v>0</v>
      </c>
      <c r="M46" s="299">
        <f t="shared" ca="1" si="21"/>
        <v>-1</v>
      </c>
      <c r="N46" s="299">
        <f ca="1">ROUND(SUM(INDIRECT(S46):INDIRECT(T46)),0)</f>
        <v>-1</v>
      </c>
      <c r="O46" s="299">
        <f ca="1">IF(N46=0,0,ROUND(SUM(INDIRECT(U46):INDIRECT(V46)),0))</f>
        <v>0</v>
      </c>
      <c r="P46" s="461" t="str">
        <f t="shared" ca="1" si="6"/>
        <v/>
      </c>
      <c r="Q46" s="267">
        <f t="shared" si="12"/>
        <v>366</v>
      </c>
      <c r="R46" s="267">
        <f t="shared" si="19"/>
        <v>377</v>
      </c>
      <c r="S46" s="267" t="str">
        <f t="shared" si="7"/>
        <v>f366</v>
      </c>
      <c r="T46" s="267" t="str">
        <f t="shared" si="7"/>
        <v>f377</v>
      </c>
      <c r="U46" s="267" t="str">
        <f t="shared" si="22"/>
        <v>G366</v>
      </c>
      <c r="V46" s="267" t="str">
        <f t="shared" si="22"/>
        <v>G377</v>
      </c>
    </row>
    <row r="47" spans="1:22">
      <c r="A47" s="295">
        <f t="shared" si="2"/>
        <v>30</v>
      </c>
      <c r="B47" s="300">
        <f t="shared" si="13"/>
        <v>883</v>
      </c>
      <c r="C47" s="296">
        <f t="shared" ca="1" si="8"/>
        <v>1.25</v>
      </c>
      <c r="D47" s="295"/>
      <c r="E47" s="296">
        <f t="shared" ca="1" si="20"/>
        <v>-0.25</v>
      </c>
      <c r="F47" s="296">
        <f t="shared" ca="1" si="15"/>
        <v>-0.25</v>
      </c>
      <c r="G47" s="296">
        <f t="shared" ca="1" si="16"/>
        <v>0</v>
      </c>
      <c r="H47" s="296">
        <f t="shared" ca="1" si="17"/>
        <v>1.5</v>
      </c>
      <c r="I47" s="297">
        <f t="shared" ca="1" si="4"/>
        <v>-2</v>
      </c>
      <c r="J47" s="298">
        <v>31</v>
      </c>
      <c r="K47" s="299" cm="1">
        <f t="array" aca="1" ref="K47" ca="1">'Itemized Costs-HIDDEN'!N35-INDIRECT("'Sch3-Perf Period Cash Flow'!D"&amp;7&amp;"")</f>
        <v>-1</v>
      </c>
      <c r="L47" s="299">
        <v>0</v>
      </c>
      <c r="M47" s="299">
        <f t="shared" ca="1" si="21"/>
        <v>-1</v>
      </c>
      <c r="N47" s="299">
        <f ca="1">ROUND(SUM(INDIRECT(S47):INDIRECT(T47)),0)</f>
        <v>-1</v>
      </c>
      <c r="O47" s="299">
        <f ca="1">IF(N47=0,0,ROUND(SUM(INDIRECT(U47):INDIRECT(V47)),0))</f>
        <v>0</v>
      </c>
      <c r="P47" s="461" t="str">
        <f t="shared" ca="1" si="6"/>
        <v/>
      </c>
      <c r="Q47" s="267">
        <f t="shared" si="12"/>
        <v>378</v>
      </c>
      <c r="R47" s="267">
        <f t="shared" si="19"/>
        <v>389</v>
      </c>
      <c r="S47" s="267" t="str">
        <f t="shared" si="7"/>
        <v>f378</v>
      </c>
      <c r="T47" s="267" t="str">
        <f t="shared" si="7"/>
        <v>f389</v>
      </c>
      <c r="U47" s="267" t="str">
        <f t="shared" si="22"/>
        <v>G378</v>
      </c>
      <c r="V47" s="267" t="str">
        <f t="shared" si="22"/>
        <v>G389</v>
      </c>
    </row>
    <row r="48" spans="1:22">
      <c r="A48" s="295">
        <f t="shared" si="2"/>
        <v>31</v>
      </c>
      <c r="B48" s="300">
        <f t="shared" si="13"/>
        <v>913</v>
      </c>
      <c r="C48" s="296">
        <f t="shared" ca="1" si="8"/>
        <v>1.5</v>
      </c>
      <c r="D48" s="295"/>
      <c r="E48" s="296">
        <f t="shared" si="20"/>
        <v>0</v>
      </c>
      <c r="F48" s="296">
        <f t="shared" ca="1" si="15"/>
        <v>0</v>
      </c>
      <c r="G48" s="296">
        <f t="shared" ca="1" si="16"/>
        <v>0</v>
      </c>
      <c r="H48" s="296">
        <f t="shared" ca="1" si="17"/>
        <v>1.5</v>
      </c>
      <c r="I48" s="297">
        <f t="shared" ca="1" si="4"/>
        <v>-2</v>
      </c>
      <c r="J48" s="298">
        <v>32</v>
      </c>
      <c r="K48" s="299" cm="1">
        <f t="array" aca="1" ref="K48" ca="1">'Itemized Costs-HIDDEN'!N36-INDIRECT("'Sch3-Perf Period Cash Flow'!D"&amp;7&amp;"")</f>
        <v>-1</v>
      </c>
      <c r="L48" s="299">
        <v>0</v>
      </c>
      <c r="M48" s="299">
        <f t="shared" ca="1" si="21"/>
        <v>-1</v>
      </c>
      <c r="N48" s="299">
        <f ca="1">ROUND(SUM(INDIRECT(S48):INDIRECT(T48)),0)</f>
        <v>-1</v>
      </c>
      <c r="O48" s="299">
        <f ca="1">IF(N48=0,0,ROUND(SUM(INDIRECT(U48):INDIRECT(V48)),0))</f>
        <v>0</v>
      </c>
      <c r="P48" s="461" t="str">
        <f t="shared" ca="1" si="6"/>
        <v/>
      </c>
      <c r="Q48" s="267">
        <f t="shared" si="12"/>
        <v>390</v>
      </c>
      <c r="R48" s="267">
        <f t="shared" si="19"/>
        <v>401</v>
      </c>
      <c r="S48" s="267" t="str">
        <f t="shared" si="7"/>
        <v>f390</v>
      </c>
      <c r="T48" s="267" t="str">
        <f t="shared" si="7"/>
        <v>f401</v>
      </c>
      <c r="U48" s="267" t="str">
        <f t="shared" si="22"/>
        <v>G390</v>
      </c>
      <c r="V48" s="267" t="str">
        <f t="shared" si="22"/>
        <v>G401</v>
      </c>
    </row>
    <row r="49" spans="1:22">
      <c r="A49" s="295">
        <f t="shared" si="2"/>
        <v>32</v>
      </c>
      <c r="B49" s="300">
        <f t="shared" si="13"/>
        <v>944</v>
      </c>
      <c r="C49" s="296">
        <f t="shared" ca="1" si="8"/>
        <v>1.5</v>
      </c>
      <c r="D49" s="295"/>
      <c r="E49" s="296">
        <f t="shared" si="20"/>
        <v>0</v>
      </c>
      <c r="F49" s="296">
        <f t="shared" ca="1" si="15"/>
        <v>0</v>
      </c>
      <c r="G49" s="296">
        <f t="shared" ca="1" si="16"/>
        <v>0</v>
      </c>
      <c r="H49" s="296">
        <f t="shared" ca="1" si="17"/>
        <v>1.5</v>
      </c>
      <c r="I49" s="297">
        <f t="shared" ca="1" si="4"/>
        <v>-2</v>
      </c>
      <c r="J49" s="298">
        <v>33</v>
      </c>
      <c r="K49" s="299" cm="1">
        <f t="array" aca="1" ref="K49" ca="1">'Itemized Costs-HIDDEN'!N37-INDIRECT("'Sch3-Perf Period Cash Flow'!D"&amp;7&amp;"")</f>
        <v>-1</v>
      </c>
      <c r="L49" s="299">
        <v>0</v>
      </c>
      <c r="M49" s="299">
        <f t="shared" ca="1" si="21"/>
        <v>-1</v>
      </c>
      <c r="N49" s="299">
        <f ca="1">ROUND(SUM(INDIRECT(S49):INDIRECT(T49)),0)</f>
        <v>-1</v>
      </c>
      <c r="O49" s="299">
        <f ca="1">IF(N49=0,0,ROUND(SUM(INDIRECT(U49):INDIRECT(V49)),0))</f>
        <v>0</v>
      </c>
      <c r="P49" s="461" t="str">
        <f t="shared" ca="1" si="6"/>
        <v/>
      </c>
      <c r="Q49" s="267">
        <f t="shared" si="12"/>
        <v>402</v>
      </c>
      <c r="R49" s="267">
        <f t="shared" si="19"/>
        <v>413</v>
      </c>
      <c r="S49" s="267" t="str">
        <f t="shared" si="7"/>
        <v>f402</v>
      </c>
      <c r="T49" s="267" t="str">
        <f t="shared" si="7"/>
        <v>f413</v>
      </c>
      <c r="U49" s="267" t="str">
        <f t="shared" si="22"/>
        <v>G402</v>
      </c>
      <c r="V49" s="267" t="str">
        <f t="shared" si="22"/>
        <v>G413</v>
      </c>
    </row>
    <row r="50" spans="1:22">
      <c r="A50" s="295">
        <f t="shared" si="2"/>
        <v>33</v>
      </c>
      <c r="B50" s="300">
        <f t="shared" si="13"/>
        <v>975</v>
      </c>
      <c r="C50" s="296">
        <f t="shared" ca="1" si="8"/>
        <v>1.5</v>
      </c>
      <c r="D50" s="295"/>
      <c r="E50" s="296">
        <f t="shared" ca="1" si="20"/>
        <v>-0.25</v>
      </c>
      <c r="F50" s="296">
        <f t="shared" ca="1" si="15"/>
        <v>-0.25</v>
      </c>
      <c r="G50" s="296">
        <f t="shared" ca="1" si="16"/>
        <v>0</v>
      </c>
      <c r="H50" s="296">
        <f t="shared" ca="1" si="17"/>
        <v>1.75</v>
      </c>
      <c r="I50" s="297">
        <f t="shared" ca="1" si="4"/>
        <v>-2</v>
      </c>
      <c r="J50" s="298">
        <v>34</v>
      </c>
      <c r="K50" s="299" cm="1">
        <f t="array" aca="1" ref="K50" ca="1">'Itemized Costs-HIDDEN'!N38-INDIRECT("'Sch3-Perf Period Cash Flow'!D"&amp;7&amp;"")</f>
        <v>-1</v>
      </c>
      <c r="L50" s="299">
        <v>0</v>
      </c>
      <c r="M50" s="299">
        <f t="shared" ca="1" si="21"/>
        <v>-1</v>
      </c>
      <c r="N50" s="299">
        <f ca="1">ROUND(SUM(INDIRECT(S50):INDIRECT(T50)),0)</f>
        <v>-1</v>
      </c>
      <c r="O50" s="299">
        <f ca="1">IF(N50=0,0,ROUND(SUM(INDIRECT(U50):INDIRECT(V50)),0))</f>
        <v>0</v>
      </c>
      <c r="P50" s="461" t="str">
        <f t="shared" ca="1" si="6"/>
        <v/>
      </c>
      <c r="Q50" s="267">
        <f t="shared" si="12"/>
        <v>414</v>
      </c>
      <c r="R50" s="267">
        <f t="shared" si="19"/>
        <v>425</v>
      </c>
      <c r="S50" s="267" t="str">
        <f t="shared" si="7"/>
        <v>f414</v>
      </c>
      <c r="T50" s="267" t="str">
        <f t="shared" si="7"/>
        <v>f425</v>
      </c>
      <c r="U50" s="267" t="str">
        <f t="shared" si="22"/>
        <v>G414</v>
      </c>
      <c r="V50" s="267" t="str">
        <f t="shared" si="22"/>
        <v>G425</v>
      </c>
    </row>
    <row r="51" spans="1:22">
      <c r="A51" s="295">
        <f t="shared" si="2"/>
        <v>34</v>
      </c>
      <c r="B51" s="300">
        <f t="shared" si="13"/>
        <v>1005</v>
      </c>
      <c r="C51" s="296">
        <f t="shared" ca="1" si="8"/>
        <v>1.75</v>
      </c>
      <c r="D51" s="295"/>
      <c r="E51" s="296">
        <f t="shared" si="20"/>
        <v>0</v>
      </c>
      <c r="F51" s="296">
        <f t="shared" ca="1" si="15"/>
        <v>0</v>
      </c>
      <c r="G51" s="296">
        <f t="shared" ca="1" si="16"/>
        <v>0</v>
      </c>
      <c r="H51" s="296">
        <f t="shared" ca="1" si="17"/>
        <v>1.75</v>
      </c>
      <c r="I51" s="297">
        <f t="shared" ca="1" si="4"/>
        <v>-2</v>
      </c>
      <c r="J51" s="298">
        <v>35</v>
      </c>
      <c r="K51" s="299" cm="1">
        <f t="array" aca="1" ref="K51" ca="1">'Itemized Costs-HIDDEN'!N39-INDIRECT("'Sch3-Perf Period Cash Flow'!D"&amp;7&amp;"")</f>
        <v>-1</v>
      </c>
      <c r="L51" s="299">
        <v>0</v>
      </c>
      <c r="M51" s="299">
        <f t="shared" ca="1" si="21"/>
        <v>-1</v>
      </c>
      <c r="N51" s="299">
        <f ca="1">ROUND(SUM(INDIRECT(S51):INDIRECT(T51)),0)</f>
        <v>-1</v>
      </c>
      <c r="O51" s="299">
        <f ca="1">IF(N51=0,0,ROUND(SUM(INDIRECT(U51):INDIRECT(V51)),0))</f>
        <v>0</v>
      </c>
      <c r="P51" s="461" t="str">
        <f t="shared" ca="1" si="6"/>
        <v/>
      </c>
      <c r="Q51" s="267">
        <f t="shared" si="12"/>
        <v>426</v>
      </c>
      <c r="R51" s="267">
        <f t="shared" si="19"/>
        <v>437</v>
      </c>
      <c r="S51" s="267" t="str">
        <f t="shared" si="7"/>
        <v>f426</v>
      </c>
      <c r="T51" s="267" t="str">
        <f t="shared" si="7"/>
        <v>f437</v>
      </c>
      <c r="U51" s="267" t="str">
        <f t="shared" si="22"/>
        <v>G426</v>
      </c>
      <c r="V51" s="267" t="str">
        <f t="shared" si="22"/>
        <v>G437</v>
      </c>
    </row>
    <row r="52" spans="1:22">
      <c r="A52" s="295">
        <f t="shared" si="2"/>
        <v>35</v>
      </c>
      <c r="B52" s="300">
        <f t="shared" si="13"/>
        <v>1036</v>
      </c>
      <c r="C52" s="296">
        <f t="shared" ca="1" si="8"/>
        <v>1.75</v>
      </c>
      <c r="D52" s="295"/>
      <c r="E52" s="296">
        <f t="shared" si="20"/>
        <v>0</v>
      </c>
      <c r="F52" s="296">
        <f t="shared" ca="1" si="15"/>
        <v>0</v>
      </c>
      <c r="G52" s="296">
        <f t="shared" ca="1" si="16"/>
        <v>0</v>
      </c>
      <c r="H52" s="296">
        <f t="shared" ca="1" si="17"/>
        <v>1.75</v>
      </c>
      <c r="I52" s="297">
        <f t="shared" ca="1" si="4"/>
        <v>-2</v>
      </c>
      <c r="J52" s="298">
        <v>36</v>
      </c>
      <c r="K52" s="299" cm="1">
        <f t="array" aca="1" ref="K52" ca="1">'Itemized Costs-HIDDEN'!N40-INDIRECT("'Sch3-Perf Period Cash Flow'!D"&amp;7&amp;"")</f>
        <v>-1</v>
      </c>
      <c r="L52" s="299">
        <v>0</v>
      </c>
      <c r="M52" s="299">
        <f t="shared" ca="1" si="21"/>
        <v>-1</v>
      </c>
      <c r="N52" s="299">
        <f ca="1">ROUND(SUM(INDIRECT(S52):INDIRECT(T52)),0)</f>
        <v>-1</v>
      </c>
      <c r="O52" s="299">
        <f ca="1">IF(N52=0,0,ROUND(SUM(INDIRECT(U52):INDIRECT(V52)),0))</f>
        <v>0</v>
      </c>
      <c r="P52" s="461" t="str">
        <f t="shared" ca="1" si="6"/>
        <v/>
      </c>
      <c r="Q52" s="267">
        <f t="shared" si="12"/>
        <v>438</v>
      </c>
      <c r="R52" s="267">
        <f t="shared" si="19"/>
        <v>449</v>
      </c>
      <c r="S52" s="267" t="str">
        <f t="shared" si="7"/>
        <v>f438</v>
      </c>
      <c r="T52" s="267" t="str">
        <f t="shared" si="7"/>
        <v>f449</v>
      </c>
      <c r="U52" s="267" t="str">
        <f t="shared" si="22"/>
        <v>G438</v>
      </c>
      <c r="V52" s="267" t="str">
        <f t="shared" si="22"/>
        <v>G449</v>
      </c>
    </row>
    <row r="53" spans="1:22">
      <c r="A53" s="295">
        <f t="shared" si="2"/>
        <v>36</v>
      </c>
      <c r="B53" s="300">
        <f t="shared" si="13"/>
        <v>1066</v>
      </c>
      <c r="C53" s="296">
        <f t="shared" ca="1" si="8"/>
        <v>1.75</v>
      </c>
      <c r="D53" s="296">
        <f ca="1">IF(H53&lt;0,0,0.25*(K20-L20))</f>
        <v>-0.25</v>
      </c>
      <c r="E53" s="296">
        <f t="shared" ca="1" si="20"/>
        <v>-0.25</v>
      </c>
      <c r="F53" s="296">
        <f t="shared" ca="1" si="15"/>
        <v>-0.25</v>
      </c>
      <c r="G53" s="296">
        <f t="shared" ca="1" si="16"/>
        <v>0</v>
      </c>
      <c r="H53" s="296">
        <f t="shared" ca="1" si="17"/>
        <v>2</v>
      </c>
      <c r="I53" s="297">
        <f t="shared" ca="1" si="4"/>
        <v>-2</v>
      </c>
      <c r="J53" s="298">
        <v>37</v>
      </c>
      <c r="K53" s="299" cm="1">
        <f t="array" aca="1" ref="K53" ca="1">'Itemized Costs-HIDDEN'!N41-INDIRECT("'Sch3-Perf Period Cash Flow'!D"&amp;7&amp;"")</f>
        <v>-1</v>
      </c>
      <c r="L53" s="299">
        <v>0</v>
      </c>
      <c r="M53" s="299">
        <f t="shared" ca="1" si="21"/>
        <v>-1</v>
      </c>
      <c r="N53" s="299">
        <f ca="1">ROUND(SUM(INDIRECT(S53):INDIRECT(T53)),0)</f>
        <v>-1</v>
      </c>
      <c r="O53" s="299">
        <f ca="1">IF(N53=0,0,ROUND(SUM(INDIRECT(U53):INDIRECT(V53)),0))</f>
        <v>0</v>
      </c>
      <c r="P53" s="461" t="str">
        <f t="shared" ca="1" si="6"/>
        <v/>
      </c>
      <c r="Q53" s="267">
        <f t="shared" si="12"/>
        <v>450</v>
      </c>
      <c r="R53" s="267">
        <f t="shared" si="19"/>
        <v>461</v>
      </c>
      <c r="S53" s="267" t="str">
        <f t="shared" si="7"/>
        <v>f450</v>
      </c>
      <c r="T53" s="267" t="str">
        <f t="shared" si="7"/>
        <v>f461</v>
      </c>
      <c r="U53" s="267" t="str">
        <f t="shared" si="22"/>
        <v>G450</v>
      </c>
      <c r="V53" s="267" t="str">
        <f t="shared" si="22"/>
        <v>G461</v>
      </c>
    </row>
    <row r="54" spans="1:22">
      <c r="A54" s="295">
        <f t="shared" si="2"/>
        <v>37</v>
      </c>
      <c r="B54" s="300">
        <f t="shared" si="13"/>
        <v>1097</v>
      </c>
      <c r="C54" s="296">
        <f t="shared" ca="1" si="8"/>
        <v>2</v>
      </c>
      <c r="D54" s="296"/>
      <c r="E54" s="296">
        <f t="shared" ref="E54:E65" si="23">IF($D$10=1,
 IF(OR(MONTH(B54)=MONTH(EDATE($D$7,0)),MONTH(B54)=MONTH(EDATE($D$7,3)),MONTH(B54)=MONTH(EDATE($D$7,6)),MONTH(B54)=MONTH(EDATE($D$7,9))),(MIN($D$53,H53)),0),
IF($D$10=0,
 IF(OR(MONTH(B54)=MONTH(EDATE($D$7,2)),MONTH(B54)=MONTH(EDATE($D$7,5)),MONTH(B54)=MONTH(EDATE($D$7,8)),MONTH(B54)=MONTH(EDATE($D$7,11))),(MIN($D$53,H53)),0)))</f>
        <v>0</v>
      </c>
      <c r="F54" s="296">
        <f t="shared" ca="1" si="15"/>
        <v>0</v>
      </c>
      <c r="G54" s="296">
        <f t="shared" ca="1" si="16"/>
        <v>0</v>
      </c>
      <c r="H54" s="296">
        <f t="shared" ca="1" si="17"/>
        <v>2</v>
      </c>
      <c r="I54" s="297">
        <f t="shared" ca="1" si="4"/>
        <v>-2</v>
      </c>
      <c r="J54" s="298">
        <v>38</v>
      </c>
      <c r="K54" s="299" cm="1">
        <f t="array" aca="1" ref="K54" ca="1">'Itemized Costs-HIDDEN'!N42-INDIRECT("'Sch3-Perf Period Cash Flow'!D"&amp;7&amp;"")</f>
        <v>-1</v>
      </c>
      <c r="L54" s="299">
        <v>0</v>
      </c>
      <c r="M54" s="299">
        <f t="shared" ca="1" si="21"/>
        <v>-1</v>
      </c>
      <c r="N54" s="299">
        <f ca="1">ROUND(SUM(INDIRECT(S54):INDIRECT(T54)),0)</f>
        <v>-1</v>
      </c>
      <c r="O54" s="299">
        <f ca="1">IF(N54=0,0,ROUND(SUM(INDIRECT(U54):INDIRECT(V54)),0))</f>
        <v>0</v>
      </c>
      <c r="P54" s="461" t="str">
        <f t="shared" ca="1" si="6"/>
        <v/>
      </c>
      <c r="Q54" s="267">
        <f t="shared" si="12"/>
        <v>462</v>
      </c>
      <c r="R54" s="267">
        <f t="shared" si="19"/>
        <v>473</v>
      </c>
      <c r="S54" s="267" t="str">
        <f t="shared" si="7"/>
        <v>f462</v>
      </c>
      <c r="T54" s="267" t="str">
        <f t="shared" si="7"/>
        <v>f473</v>
      </c>
      <c r="U54" s="267" t="str">
        <f t="shared" si="22"/>
        <v>G462</v>
      </c>
      <c r="V54" s="267" t="str">
        <f t="shared" si="22"/>
        <v>G473</v>
      </c>
    </row>
    <row r="55" spans="1:22">
      <c r="A55" s="295">
        <f t="shared" si="2"/>
        <v>38</v>
      </c>
      <c r="B55" s="300">
        <f t="shared" si="13"/>
        <v>1128</v>
      </c>
      <c r="C55" s="296">
        <f t="shared" ca="1" si="8"/>
        <v>2</v>
      </c>
      <c r="D55" s="295"/>
      <c r="E55" s="296">
        <f t="shared" si="23"/>
        <v>0</v>
      </c>
      <c r="F55" s="296">
        <f t="shared" ca="1" si="15"/>
        <v>0</v>
      </c>
      <c r="G55" s="296">
        <f t="shared" ca="1" si="16"/>
        <v>0</v>
      </c>
      <c r="H55" s="296">
        <f t="shared" ca="1" si="17"/>
        <v>2</v>
      </c>
      <c r="I55" s="297">
        <f t="shared" ca="1" si="4"/>
        <v>-2</v>
      </c>
      <c r="J55" s="298">
        <v>39</v>
      </c>
      <c r="K55" s="299" cm="1">
        <f t="array" aca="1" ref="K55" ca="1">'Itemized Costs-HIDDEN'!N43-INDIRECT("'Sch3-Perf Period Cash Flow'!D"&amp;7&amp;"")</f>
        <v>-1</v>
      </c>
      <c r="L55" s="299">
        <v>0</v>
      </c>
      <c r="M55" s="299">
        <f t="shared" ca="1" si="21"/>
        <v>-1</v>
      </c>
      <c r="N55" s="299">
        <f ca="1">ROUND(SUM(INDIRECT(S55):INDIRECT(T55)),0)</f>
        <v>-1</v>
      </c>
      <c r="O55" s="299">
        <f ca="1">IF(N55=0,0,ROUND(SUM(INDIRECT(U55):INDIRECT(V55)),0))</f>
        <v>0</v>
      </c>
      <c r="P55" s="461" t="str">
        <f t="shared" ca="1" si="6"/>
        <v/>
      </c>
      <c r="Q55" s="267">
        <f t="shared" si="12"/>
        <v>474</v>
      </c>
      <c r="R55" s="267">
        <f t="shared" si="19"/>
        <v>485</v>
      </c>
      <c r="S55" s="267" t="str">
        <f t="shared" si="7"/>
        <v>f474</v>
      </c>
      <c r="T55" s="267" t="str">
        <f t="shared" si="7"/>
        <v>f485</v>
      </c>
      <c r="U55" s="267" t="str">
        <f t="shared" si="22"/>
        <v>G474</v>
      </c>
      <c r="V55" s="267" t="str">
        <f t="shared" si="22"/>
        <v>G485</v>
      </c>
    </row>
    <row r="56" spans="1:22">
      <c r="A56" s="295">
        <f t="shared" si="2"/>
        <v>39</v>
      </c>
      <c r="B56" s="300">
        <f t="shared" si="13"/>
        <v>1156</v>
      </c>
      <c r="C56" s="296">
        <f t="shared" ca="1" si="8"/>
        <v>2</v>
      </c>
      <c r="D56" s="295"/>
      <c r="E56" s="296">
        <f t="shared" ca="1" si="23"/>
        <v>-0.25</v>
      </c>
      <c r="F56" s="296">
        <f t="shared" ca="1" si="15"/>
        <v>-0.25</v>
      </c>
      <c r="G56" s="296">
        <f t="shared" ca="1" si="16"/>
        <v>0</v>
      </c>
      <c r="H56" s="296">
        <f t="shared" ca="1" si="17"/>
        <v>2.25</v>
      </c>
      <c r="I56" s="297">
        <f t="shared" ca="1" si="4"/>
        <v>-2</v>
      </c>
      <c r="J56" s="298">
        <v>40</v>
      </c>
      <c r="K56" s="299" cm="1">
        <f t="array" aca="1" ref="K56" ca="1">'Itemized Costs-HIDDEN'!N44-INDIRECT("'Sch3-Perf Period Cash Flow'!D"&amp;7&amp;"")</f>
        <v>-1</v>
      </c>
      <c r="L56" s="299">
        <v>0</v>
      </c>
      <c r="M56" s="299">
        <f t="shared" ca="1" si="21"/>
        <v>-1</v>
      </c>
      <c r="N56" s="299">
        <f ca="1">ROUND(SUM(INDIRECT(S56):INDIRECT(T56)),0)</f>
        <v>-1</v>
      </c>
      <c r="O56" s="299">
        <f ca="1">IF(N56=0,0,ROUND(SUM(INDIRECT(U56):INDIRECT(V56)),0))</f>
        <v>0</v>
      </c>
      <c r="P56" s="461" t="str">
        <f t="shared" ca="1" si="6"/>
        <v/>
      </c>
      <c r="Q56" s="267">
        <f t="shared" si="12"/>
        <v>486</v>
      </c>
      <c r="R56" s="267">
        <f t="shared" si="19"/>
        <v>497</v>
      </c>
      <c r="S56" s="267" t="str">
        <f t="shared" si="7"/>
        <v>f486</v>
      </c>
      <c r="T56" s="267" t="str">
        <f t="shared" si="7"/>
        <v>f497</v>
      </c>
      <c r="U56" s="267" t="str">
        <f t="shared" si="22"/>
        <v>G486</v>
      </c>
      <c r="V56" s="267" t="str">
        <f t="shared" si="22"/>
        <v>G497</v>
      </c>
    </row>
    <row r="57" spans="1:22">
      <c r="A57" s="295">
        <f t="shared" si="2"/>
        <v>40</v>
      </c>
      <c r="B57" s="300">
        <f t="shared" si="13"/>
        <v>1187</v>
      </c>
      <c r="C57" s="296">
        <f t="shared" ca="1" si="8"/>
        <v>2.25</v>
      </c>
      <c r="D57" s="295"/>
      <c r="E57" s="296">
        <f t="shared" si="23"/>
        <v>0</v>
      </c>
      <c r="F57" s="296">
        <f t="shared" ca="1" si="15"/>
        <v>0</v>
      </c>
      <c r="G57" s="296">
        <f t="shared" ca="1" si="16"/>
        <v>0</v>
      </c>
      <c r="H57" s="296">
        <f t="shared" ca="1" si="17"/>
        <v>2.25</v>
      </c>
      <c r="I57" s="297">
        <f t="shared" ca="1" si="4"/>
        <v>-2</v>
      </c>
    </row>
    <row r="58" spans="1:22">
      <c r="A58" s="295">
        <f t="shared" si="2"/>
        <v>41</v>
      </c>
      <c r="B58" s="300">
        <f t="shared" si="13"/>
        <v>1217</v>
      </c>
      <c r="C58" s="296">
        <f t="shared" ca="1" si="8"/>
        <v>2.25</v>
      </c>
      <c r="D58" s="295"/>
      <c r="E58" s="296">
        <f t="shared" si="23"/>
        <v>0</v>
      </c>
      <c r="F58" s="296">
        <f t="shared" ca="1" si="15"/>
        <v>0</v>
      </c>
      <c r="G58" s="296">
        <f t="shared" ca="1" si="16"/>
        <v>0</v>
      </c>
      <c r="H58" s="296">
        <f t="shared" ca="1" si="17"/>
        <v>2.25</v>
      </c>
      <c r="I58" s="297">
        <f t="shared" ca="1" si="4"/>
        <v>-2</v>
      </c>
    </row>
    <row r="59" spans="1:22">
      <c r="A59" s="295">
        <f t="shared" si="2"/>
        <v>42</v>
      </c>
      <c r="B59" s="300">
        <f t="shared" si="13"/>
        <v>1248</v>
      </c>
      <c r="C59" s="296">
        <f t="shared" ca="1" si="8"/>
        <v>2.25</v>
      </c>
      <c r="D59" s="295"/>
      <c r="E59" s="296">
        <f t="shared" ca="1" si="23"/>
        <v>-0.25</v>
      </c>
      <c r="F59" s="296">
        <f t="shared" ca="1" si="15"/>
        <v>-0.25</v>
      </c>
      <c r="G59" s="296">
        <f t="shared" ca="1" si="16"/>
        <v>0</v>
      </c>
      <c r="H59" s="296">
        <f t="shared" ca="1" si="17"/>
        <v>2.5</v>
      </c>
      <c r="I59" s="297">
        <f t="shared" ca="1" si="4"/>
        <v>-3</v>
      </c>
      <c r="K59" s="274"/>
    </row>
    <row r="60" spans="1:22">
      <c r="A60" s="295">
        <f t="shared" si="2"/>
        <v>43</v>
      </c>
      <c r="B60" s="300">
        <f t="shared" si="13"/>
        <v>1278</v>
      </c>
      <c r="C60" s="296">
        <f t="shared" ca="1" si="8"/>
        <v>2.5</v>
      </c>
      <c r="D60" s="295"/>
      <c r="E60" s="296">
        <f t="shared" si="23"/>
        <v>0</v>
      </c>
      <c r="F60" s="296">
        <f t="shared" ca="1" si="15"/>
        <v>0</v>
      </c>
      <c r="G60" s="296">
        <f t="shared" ca="1" si="16"/>
        <v>0</v>
      </c>
      <c r="H60" s="296">
        <f t="shared" ca="1" si="17"/>
        <v>2.5</v>
      </c>
      <c r="I60" s="297">
        <f t="shared" ca="1" si="4"/>
        <v>-3</v>
      </c>
    </row>
    <row r="61" spans="1:22">
      <c r="A61" s="295">
        <f t="shared" si="2"/>
        <v>44</v>
      </c>
      <c r="B61" s="300">
        <f t="shared" si="13"/>
        <v>1309</v>
      </c>
      <c r="C61" s="296">
        <f t="shared" ca="1" si="8"/>
        <v>2.5</v>
      </c>
      <c r="D61" s="295"/>
      <c r="E61" s="296">
        <f t="shared" si="23"/>
        <v>0</v>
      </c>
      <c r="F61" s="296">
        <f t="shared" ca="1" si="15"/>
        <v>0</v>
      </c>
      <c r="G61" s="296">
        <f t="shared" ca="1" si="16"/>
        <v>0</v>
      </c>
      <c r="H61" s="296">
        <f t="shared" ca="1" si="17"/>
        <v>2.5</v>
      </c>
      <c r="I61" s="297">
        <f t="shared" ca="1" si="4"/>
        <v>-3</v>
      </c>
    </row>
    <row r="62" spans="1:22">
      <c r="A62" s="295">
        <f t="shared" si="2"/>
        <v>45</v>
      </c>
      <c r="B62" s="300">
        <f t="shared" si="13"/>
        <v>1340</v>
      </c>
      <c r="C62" s="296">
        <f t="shared" ca="1" si="8"/>
        <v>2.5</v>
      </c>
      <c r="D62" s="295"/>
      <c r="E62" s="296">
        <f t="shared" ca="1" si="23"/>
        <v>-0.25</v>
      </c>
      <c r="F62" s="296">
        <f t="shared" ca="1" si="15"/>
        <v>-0.25</v>
      </c>
      <c r="G62" s="296">
        <f t="shared" ca="1" si="16"/>
        <v>0</v>
      </c>
      <c r="H62" s="296">
        <f t="shared" ca="1" si="17"/>
        <v>2.75</v>
      </c>
      <c r="I62" s="297">
        <f t="shared" ca="1" si="4"/>
        <v>-3</v>
      </c>
    </row>
    <row r="63" spans="1:22">
      <c r="A63" s="295">
        <f t="shared" si="2"/>
        <v>46</v>
      </c>
      <c r="B63" s="300">
        <f t="shared" si="13"/>
        <v>1370</v>
      </c>
      <c r="C63" s="296">
        <f t="shared" ca="1" si="8"/>
        <v>2.75</v>
      </c>
      <c r="D63" s="295"/>
      <c r="E63" s="296">
        <f t="shared" si="23"/>
        <v>0</v>
      </c>
      <c r="F63" s="296">
        <f t="shared" ca="1" si="15"/>
        <v>0</v>
      </c>
      <c r="G63" s="296">
        <f t="shared" ca="1" si="16"/>
        <v>0</v>
      </c>
      <c r="H63" s="296">
        <f t="shared" ca="1" si="17"/>
        <v>2.75</v>
      </c>
      <c r="I63" s="297">
        <f t="shared" ca="1" si="4"/>
        <v>-3</v>
      </c>
    </row>
    <row r="64" spans="1:22">
      <c r="A64" s="295">
        <f t="shared" si="2"/>
        <v>47</v>
      </c>
      <c r="B64" s="300">
        <f t="shared" si="13"/>
        <v>1401</v>
      </c>
      <c r="C64" s="296">
        <f t="shared" ca="1" si="8"/>
        <v>2.75</v>
      </c>
      <c r="D64" s="295"/>
      <c r="E64" s="296">
        <f t="shared" si="23"/>
        <v>0</v>
      </c>
      <c r="F64" s="296">
        <f t="shared" ca="1" si="15"/>
        <v>0</v>
      </c>
      <c r="G64" s="296">
        <f t="shared" ca="1" si="16"/>
        <v>0</v>
      </c>
      <c r="H64" s="296">
        <f t="shared" ca="1" si="17"/>
        <v>2.75</v>
      </c>
      <c r="I64" s="297">
        <f t="shared" ca="1" si="4"/>
        <v>-3</v>
      </c>
    </row>
    <row r="65" spans="1:9">
      <c r="A65" s="295">
        <f t="shared" si="2"/>
        <v>48</v>
      </c>
      <c r="B65" s="300">
        <f t="shared" si="13"/>
        <v>1431</v>
      </c>
      <c r="C65" s="296">
        <f t="shared" ca="1" si="8"/>
        <v>2.75</v>
      </c>
      <c r="D65" s="296">
        <f ca="1">IF(H65&lt;0,0,0.25*(K21-L21))</f>
        <v>-0.25</v>
      </c>
      <c r="E65" s="296">
        <f t="shared" ca="1" si="23"/>
        <v>-0.25</v>
      </c>
      <c r="F65" s="296">
        <f t="shared" ca="1" si="15"/>
        <v>-0.25</v>
      </c>
      <c r="G65" s="296">
        <f t="shared" ca="1" si="16"/>
        <v>0</v>
      </c>
      <c r="H65" s="296">
        <f t="shared" ca="1" si="17"/>
        <v>3</v>
      </c>
      <c r="I65" s="297">
        <f t="shared" ca="1" si="4"/>
        <v>-3</v>
      </c>
    </row>
    <row r="66" spans="1:9">
      <c r="A66" s="295">
        <f t="shared" si="2"/>
        <v>49</v>
      </c>
      <c r="B66" s="300">
        <f t="shared" si="13"/>
        <v>1462</v>
      </c>
      <c r="C66" s="296">
        <f t="shared" ca="1" si="8"/>
        <v>3</v>
      </c>
      <c r="D66" s="295"/>
      <c r="E66" s="296">
        <f t="shared" ref="E66:E77" si="24">IF($D$10=1,
 IF(OR(MONTH(B66)=MONTH(EDATE($D$7,0)),MONTH(B66)=MONTH(EDATE($D$7,3)),MONTH(B66)=MONTH(EDATE($D$7,6)),MONTH(B66)=MONTH(EDATE($D$7,9))),(MIN($D$65,H65)),0),
IF($D$10=0,
 IF(OR(MONTH(B66)=MONTH(EDATE($D$7,2)),MONTH(B66)=MONTH(EDATE($D$7,5)),MONTH(B66)=MONTH(EDATE($D$7,8)),MONTH(B66)=MONTH(EDATE($D$7,11))),(MIN($D$65,H65)),0)))</f>
        <v>0</v>
      </c>
      <c r="F66" s="296">
        <f t="shared" ca="1" si="15"/>
        <v>0</v>
      </c>
      <c r="G66" s="296">
        <f t="shared" ca="1" si="16"/>
        <v>0</v>
      </c>
      <c r="H66" s="296">
        <f t="shared" ca="1" si="17"/>
        <v>3</v>
      </c>
      <c r="I66" s="297">
        <f t="shared" ca="1" si="4"/>
        <v>-3</v>
      </c>
    </row>
    <row r="67" spans="1:9">
      <c r="A67" s="295">
        <f t="shared" si="2"/>
        <v>50</v>
      </c>
      <c r="B67" s="300">
        <f t="shared" si="13"/>
        <v>1493</v>
      </c>
      <c r="C67" s="296">
        <f t="shared" ca="1" si="8"/>
        <v>3</v>
      </c>
      <c r="D67" s="296"/>
      <c r="E67" s="296">
        <f t="shared" si="24"/>
        <v>0</v>
      </c>
      <c r="F67" s="296">
        <f t="shared" ca="1" si="15"/>
        <v>0</v>
      </c>
      <c r="G67" s="296">
        <f t="shared" ca="1" si="16"/>
        <v>0</v>
      </c>
      <c r="H67" s="296">
        <f t="shared" ca="1" si="17"/>
        <v>3</v>
      </c>
      <c r="I67" s="297">
        <f t="shared" ca="1" si="4"/>
        <v>-3</v>
      </c>
    </row>
    <row r="68" spans="1:9">
      <c r="A68" s="295">
        <f t="shared" si="2"/>
        <v>51</v>
      </c>
      <c r="B68" s="300">
        <f t="shared" si="13"/>
        <v>1522</v>
      </c>
      <c r="C68" s="296">
        <f t="shared" ca="1" si="8"/>
        <v>3</v>
      </c>
      <c r="D68" s="295"/>
      <c r="E68" s="296">
        <f t="shared" ca="1" si="24"/>
        <v>-0.25</v>
      </c>
      <c r="F68" s="296">
        <f t="shared" ca="1" si="15"/>
        <v>-0.25</v>
      </c>
      <c r="G68" s="296">
        <f t="shared" ca="1" si="16"/>
        <v>0</v>
      </c>
      <c r="H68" s="296">
        <f t="shared" ca="1" si="17"/>
        <v>3.25</v>
      </c>
      <c r="I68" s="297">
        <f t="shared" ca="1" si="4"/>
        <v>-3</v>
      </c>
    </row>
    <row r="69" spans="1:9">
      <c r="A69" s="295">
        <f t="shared" si="2"/>
        <v>52</v>
      </c>
      <c r="B69" s="300">
        <f t="shared" si="13"/>
        <v>1553</v>
      </c>
      <c r="C69" s="296">
        <f t="shared" ca="1" si="8"/>
        <v>3.25</v>
      </c>
      <c r="D69" s="295"/>
      <c r="E69" s="296">
        <f t="shared" si="24"/>
        <v>0</v>
      </c>
      <c r="F69" s="296">
        <f t="shared" ca="1" si="15"/>
        <v>0</v>
      </c>
      <c r="G69" s="296">
        <f t="shared" ca="1" si="16"/>
        <v>0</v>
      </c>
      <c r="H69" s="296">
        <f t="shared" ca="1" si="17"/>
        <v>3.25</v>
      </c>
      <c r="I69" s="297">
        <f t="shared" ca="1" si="4"/>
        <v>-3</v>
      </c>
    </row>
    <row r="70" spans="1:9">
      <c r="A70" s="295">
        <f t="shared" si="2"/>
        <v>53</v>
      </c>
      <c r="B70" s="300">
        <f t="shared" si="13"/>
        <v>1583</v>
      </c>
      <c r="C70" s="296">
        <f t="shared" ca="1" si="8"/>
        <v>3.25</v>
      </c>
      <c r="D70" s="295"/>
      <c r="E70" s="296">
        <f t="shared" si="24"/>
        <v>0</v>
      </c>
      <c r="F70" s="296">
        <f t="shared" ca="1" si="15"/>
        <v>0</v>
      </c>
      <c r="G70" s="296">
        <f t="shared" ca="1" si="16"/>
        <v>0</v>
      </c>
      <c r="H70" s="296">
        <f t="shared" ca="1" si="17"/>
        <v>3.25</v>
      </c>
      <c r="I70" s="297">
        <f t="shared" ca="1" si="4"/>
        <v>-3</v>
      </c>
    </row>
    <row r="71" spans="1:9">
      <c r="A71" s="295">
        <f t="shared" si="2"/>
        <v>54</v>
      </c>
      <c r="B71" s="300">
        <f t="shared" si="13"/>
        <v>1614</v>
      </c>
      <c r="C71" s="296">
        <f t="shared" ca="1" si="8"/>
        <v>3.25</v>
      </c>
      <c r="D71" s="295"/>
      <c r="E71" s="296">
        <f t="shared" ca="1" si="24"/>
        <v>-0.25</v>
      </c>
      <c r="F71" s="296">
        <f t="shared" ca="1" si="15"/>
        <v>-0.25</v>
      </c>
      <c r="G71" s="296">
        <f t="shared" ca="1" si="16"/>
        <v>0</v>
      </c>
      <c r="H71" s="296">
        <f t="shared" ca="1" si="17"/>
        <v>3.5</v>
      </c>
      <c r="I71" s="297">
        <f t="shared" ca="1" si="4"/>
        <v>-4</v>
      </c>
    </row>
    <row r="72" spans="1:9">
      <c r="A72" s="295">
        <f t="shared" si="2"/>
        <v>55</v>
      </c>
      <c r="B72" s="300">
        <f t="shared" si="13"/>
        <v>1644</v>
      </c>
      <c r="C72" s="296">
        <f t="shared" ca="1" si="8"/>
        <v>3.5</v>
      </c>
      <c r="D72" s="295"/>
      <c r="E72" s="296">
        <f t="shared" si="24"/>
        <v>0</v>
      </c>
      <c r="F72" s="296">
        <f t="shared" ca="1" si="15"/>
        <v>0</v>
      </c>
      <c r="G72" s="296">
        <f t="shared" ca="1" si="16"/>
        <v>0</v>
      </c>
      <c r="H72" s="296">
        <f t="shared" ca="1" si="17"/>
        <v>3.5</v>
      </c>
      <c r="I72" s="297">
        <f t="shared" ca="1" si="4"/>
        <v>-4</v>
      </c>
    </row>
    <row r="73" spans="1:9">
      <c r="A73" s="295">
        <f t="shared" si="2"/>
        <v>56</v>
      </c>
      <c r="B73" s="300">
        <f t="shared" si="13"/>
        <v>1675</v>
      </c>
      <c r="C73" s="296">
        <f t="shared" ca="1" si="8"/>
        <v>3.5</v>
      </c>
      <c r="D73" s="295"/>
      <c r="E73" s="296">
        <f t="shared" si="24"/>
        <v>0</v>
      </c>
      <c r="F73" s="296">
        <f t="shared" ca="1" si="15"/>
        <v>0</v>
      </c>
      <c r="G73" s="296">
        <f t="shared" ca="1" si="16"/>
        <v>0</v>
      </c>
      <c r="H73" s="296">
        <f t="shared" ca="1" si="17"/>
        <v>3.5</v>
      </c>
      <c r="I73" s="297">
        <f t="shared" ca="1" si="4"/>
        <v>-4</v>
      </c>
    </row>
    <row r="74" spans="1:9">
      <c r="A74" s="295">
        <f t="shared" si="2"/>
        <v>57</v>
      </c>
      <c r="B74" s="300">
        <f t="shared" si="13"/>
        <v>1706</v>
      </c>
      <c r="C74" s="296">
        <f t="shared" ca="1" si="8"/>
        <v>3.5</v>
      </c>
      <c r="D74" s="295"/>
      <c r="E74" s="296">
        <f t="shared" ca="1" si="24"/>
        <v>-0.25</v>
      </c>
      <c r="F74" s="296">
        <f t="shared" ca="1" si="15"/>
        <v>-0.25</v>
      </c>
      <c r="G74" s="296">
        <f t="shared" ca="1" si="16"/>
        <v>0</v>
      </c>
      <c r="H74" s="296">
        <f t="shared" ca="1" si="17"/>
        <v>3.75</v>
      </c>
      <c r="I74" s="297">
        <f t="shared" ca="1" si="4"/>
        <v>-4</v>
      </c>
    </row>
    <row r="75" spans="1:9">
      <c r="A75" s="295">
        <f t="shared" si="2"/>
        <v>58</v>
      </c>
      <c r="B75" s="300">
        <f t="shared" si="13"/>
        <v>1736</v>
      </c>
      <c r="C75" s="296">
        <f t="shared" ca="1" si="8"/>
        <v>3.75</v>
      </c>
      <c r="D75" s="295"/>
      <c r="E75" s="296">
        <f t="shared" si="24"/>
        <v>0</v>
      </c>
      <c r="F75" s="296">
        <f t="shared" ca="1" si="15"/>
        <v>0</v>
      </c>
      <c r="G75" s="296">
        <f t="shared" ca="1" si="16"/>
        <v>0</v>
      </c>
      <c r="H75" s="296">
        <f t="shared" ca="1" si="17"/>
        <v>3.75</v>
      </c>
      <c r="I75" s="297">
        <f t="shared" ca="1" si="4"/>
        <v>-4</v>
      </c>
    </row>
    <row r="76" spans="1:9">
      <c r="A76" s="295">
        <f t="shared" si="2"/>
        <v>59</v>
      </c>
      <c r="B76" s="300">
        <f t="shared" si="13"/>
        <v>1767</v>
      </c>
      <c r="C76" s="296">
        <f t="shared" ca="1" si="8"/>
        <v>3.75</v>
      </c>
      <c r="D76" s="295"/>
      <c r="E76" s="296">
        <f t="shared" si="24"/>
        <v>0</v>
      </c>
      <c r="F76" s="296">
        <f t="shared" ca="1" si="15"/>
        <v>0</v>
      </c>
      <c r="G76" s="296">
        <f t="shared" ca="1" si="16"/>
        <v>0</v>
      </c>
      <c r="H76" s="296">
        <f t="shared" ca="1" si="17"/>
        <v>3.75</v>
      </c>
      <c r="I76" s="297">
        <f t="shared" ca="1" si="4"/>
        <v>-4</v>
      </c>
    </row>
    <row r="77" spans="1:9">
      <c r="A77" s="295">
        <f t="shared" si="2"/>
        <v>60</v>
      </c>
      <c r="B77" s="300">
        <f t="shared" si="13"/>
        <v>1797</v>
      </c>
      <c r="C77" s="296">
        <f t="shared" ca="1" si="8"/>
        <v>3.75</v>
      </c>
      <c r="D77" s="296">
        <f ca="1">IF(H77&lt;0,0,0.25*(K22-L22))</f>
        <v>-0.25</v>
      </c>
      <c r="E77" s="296">
        <f t="shared" ca="1" si="24"/>
        <v>-0.25</v>
      </c>
      <c r="F77" s="296">
        <f t="shared" ca="1" si="15"/>
        <v>-0.25</v>
      </c>
      <c r="G77" s="296">
        <f t="shared" ca="1" si="16"/>
        <v>0</v>
      </c>
      <c r="H77" s="296">
        <f t="shared" ca="1" si="17"/>
        <v>4</v>
      </c>
      <c r="I77" s="297">
        <f t="shared" ca="1" si="4"/>
        <v>-4</v>
      </c>
    </row>
    <row r="78" spans="1:9">
      <c r="A78" s="295">
        <f t="shared" si="2"/>
        <v>61</v>
      </c>
      <c r="B78" s="300">
        <f t="shared" si="13"/>
        <v>1828</v>
      </c>
      <c r="C78" s="296">
        <f t="shared" ca="1" si="8"/>
        <v>4</v>
      </c>
      <c r="D78" s="296"/>
      <c r="E78" s="296">
        <f t="shared" ref="E78:E89" si="25">IF($D$10=1,
 IF(OR(MONTH(B78)=MONTH(EDATE($D$7,0)),MONTH(B78)=MONTH(EDATE($D$7,3)),MONTH(B78)=MONTH(EDATE($D$7,6)),MONTH(B78)=MONTH(EDATE($D$7,9))),(MIN($D$77,H77)),0),
IF($D$10=0,
 IF(OR(MONTH(B78)=MONTH(EDATE($D$7,2)),MONTH(B78)=MONTH(EDATE($D$7,5)),MONTH(B78)=MONTH(EDATE($D$7,8)),MONTH(B78)=MONTH(EDATE($D$7,11))),(MIN($D$77,H77)),0)))</f>
        <v>0</v>
      </c>
      <c r="F78" s="296">
        <f t="shared" ca="1" si="15"/>
        <v>0</v>
      </c>
      <c r="G78" s="296">
        <f t="shared" ca="1" si="16"/>
        <v>0</v>
      </c>
      <c r="H78" s="296">
        <f t="shared" ca="1" si="17"/>
        <v>4</v>
      </c>
      <c r="I78" s="297">
        <f t="shared" ca="1" si="4"/>
        <v>-4</v>
      </c>
    </row>
    <row r="79" spans="1:9">
      <c r="A79" s="295">
        <f t="shared" si="2"/>
        <v>62</v>
      </c>
      <c r="B79" s="300">
        <f t="shared" si="13"/>
        <v>1859</v>
      </c>
      <c r="C79" s="296">
        <f t="shared" ca="1" si="8"/>
        <v>4</v>
      </c>
      <c r="D79" s="296"/>
      <c r="E79" s="296">
        <f t="shared" si="25"/>
        <v>0</v>
      </c>
      <c r="F79" s="296">
        <f t="shared" ca="1" si="15"/>
        <v>0</v>
      </c>
      <c r="G79" s="296">
        <f t="shared" ca="1" si="16"/>
        <v>0</v>
      </c>
      <c r="H79" s="296">
        <f t="shared" ca="1" si="17"/>
        <v>4</v>
      </c>
      <c r="I79" s="297">
        <f t="shared" ca="1" si="4"/>
        <v>-4</v>
      </c>
    </row>
    <row r="80" spans="1:9">
      <c r="A80" s="295">
        <f t="shared" si="2"/>
        <v>63</v>
      </c>
      <c r="B80" s="300">
        <f t="shared" si="13"/>
        <v>1887</v>
      </c>
      <c r="C80" s="296">
        <f t="shared" ca="1" si="8"/>
        <v>4</v>
      </c>
      <c r="D80" s="295"/>
      <c r="E80" s="296">
        <f t="shared" ca="1" si="25"/>
        <v>-0.25</v>
      </c>
      <c r="F80" s="296">
        <f t="shared" ca="1" si="15"/>
        <v>-0.25</v>
      </c>
      <c r="G80" s="296">
        <f t="shared" ca="1" si="16"/>
        <v>0</v>
      </c>
      <c r="H80" s="296">
        <f t="shared" ca="1" si="17"/>
        <v>4.25</v>
      </c>
      <c r="I80" s="297">
        <f t="shared" ca="1" si="4"/>
        <v>-4</v>
      </c>
    </row>
    <row r="81" spans="1:9">
      <c r="A81" s="295">
        <f t="shared" si="2"/>
        <v>64</v>
      </c>
      <c r="B81" s="300">
        <f t="shared" si="13"/>
        <v>1918</v>
      </c>
      <c r="C81" s="296">
        <f t="shared" ca="1" si="8"/>
        <v>4.25</v>
      </c>
      <c r="D81" s="295"/>
      <c r="E81" s="296">
        <f t="shared" si="25"/>
        <v>0</v>
      </c>
      <c r="F81" s="296">
        <f t="shared" ca="1" si="15"/>
        <v>0</v>
      </c>
      <c r="G81" s="296">
        <f t="shared" ca="1" si="16"/>
        <v>0</v>
      </c>
      <c r="H81" s="296">
        <f t="shared" ca="1" si="17"/>
        <v>4.25</v>
      </c>
      <c r="I81" s="297">
        <f t="shared" ca="1" si="4"/>
        <v>-4</v>
      </c>
    </row>
    <row r="82" spans="1:9">
      <c r="A82" s="295">
        <f t="shared" ref="A82:A145" si="26">IF(A81="","",IF(A81=$D$6,"",A81+1))</f>
        <v>65</v>
      </c>
      <c r="B82" s="300">
        <f t="shared" si="13"/>
        <v>1948</v>
      </c>
      <c r="C82" s="296">
        <f t="shared" ca="1" si="8"/>
        <v>4.25</v>
      </c>
      <c r="D82" s="295"/>
      <c r="E82" s="296">
        <f t="shared" si="25"/>
        <v>0</v>
      </c>
      <c r="F82" s="296">
        <f t="shared" ca="1" si="15"/>
        <v>0</v>
      </c>
      <c r="G82" s="296">
        <f t="shared" ca="1" si="16"/>
        <v>0</v>
      </c>
      <c r="H82" s="296">
        <f t="shared" ca="1" si="17"/>
        <v>4.25</v>
      </c>
      <c r="I82" s="297">
        <f t="shared" ref="I82:I145" ca="1" si="27">ROUND((D82-H82),0)</f>
        <v>-4</v>
      </c>
    </row>
    <row r="83" spans="1:9">
      <c r="A83" s="295">
        <f t="shared" si="26"/>
        <v>66</v>
      </c>
      <c r="B83" s="300">
        <f t="shared" si="13"/>
        <v>1979</v>
      </c>
      <c r="C83" s="296">
        <f t="shared" ref="C83:C146" ca="1" si="28">IF(H82=0,0,H82)</f>
        <v>4.25</v>
      </c>
      <c r="D83" s="295"/>
      <c r="E83" s="296">
        <f t="shared" ca="1" si="25"/>
        <v>-0.25</v>
      </c>
      <c r="F83" s="296">
        <f t="shared" ca="1" si="15"/>
        <v>-0.25</v>
      </c>
      <c r="G83" s="296">
        <f t="shared" ca="1" si="16"/>
        <v>0</v>
      </c>
      <c r="H83" s="296">
        <f t="shared" ca="1" si="17"/>
        <v>4.5</v>
      </c>
      <c r="I83" s="297">
        <f t="shared" ca="1" si="27"/>
        <v>-5</v>
      </c>
    </row>
    <row r="84" spans="1:9">
      <c r="A84" s="295">
        <f t="shared" si="26"/>
        <v>67</v>
      </c>
      <c r="B84" s="300">
        <f t="shared" ref="B84:B147" si="29">DATE(YEAR(B83),MONTH(B83)+1,1)</f>
        <v>2009</v>
      </c>
      <c r="C84" s="296">
        <f t="shared" ca="1" si="28"/>
        <v>4.5</v>
      </c>
      <c r="D84" s="295"/>
      <c r="E84" s="296">
        <f t="shared" si="25"/>
        <v>0</v>
      </c>
      <c r="F84" s="296">
        <f t="shared" ca="1" si="15"/>
        <v>0</v>
      </c>
      <c r="G84" s="296">
        <f t="shared" ca="1" si="16"/>
        <v>0</v>
      </c>
      <c r="H84" s="296">
        <f t="shared" ca="1" si="17"/>
        <v>4.5</v>
      </c>
      <c r="I84" s="297">
        <f t="shared" ca="1" si="27"/>
        <v>-5</v>
      </c>
    </row>
    <row r="85" spans="1:9">
      <c r="A85" s="295">
        <f t="shared" si="26"/>
        <v>68</v>
      </c>
      <c r="B85" s="300">
        <f t="shared" si="29"/>
        <v>2040</v>
      </c>
      <c r="C85" s="296">
        <f t="shared" ca="1" si="28"/>
        <v>4.5</v>
      </c>
      <c r="D85" s="295"/>
      <c r="E85" s="296">
        <f t="shared" si="25"/>
        <v>0</v>
      </c>
      <c r="F85" s="296">
        <f t="shared" ca="1" si="15"/>
        <v>0</v>
      </c>
      <c r="G85" s="296">
        <f t="shared" ca="1" si="16"/>
        <v>0</v>
      </c>
      <c r="H85" s="296">
        <f t="shared" ca="1" si="17"/>
        <v>4.5</v>
      </c>
      <c r="I85" s="297">
        <f t="shared" ca="1" si="27"/>
        <v>-5</v>
      </c>
    </row>
    <row r="86" spans="1:9">
      <c r="A86" s="295">
        <f t="shared" si="26"/>
        <v>69</v>
      </c>
      <c r="B86" s="300">
        <f t="shared" si="29"/>
        <v>2071</v>
      </c>
      <c r="C86" s="296">
        <f t="shared" ca="1" si="28"/>
        <v>4.5</v>
      </c>
      <c r="D86" s="295"/>
      <c r="E86" s="296">
        <f t="shared" ca="1" si="25"/>
        <v>-0.25</v>
      </c>
      <c r="F86" s="296">
        <f t="shared" ca="1" si="15"/>
        <v>-0.25</v>
      </c>
      <c r="G86" s="296">
        <f t="shared" ca="1" si="16"/>
        <v>0</v>
      </c>
      <c r="H86" s="296">
        <f t="shared" ca="1" si="17"/>
        <v>4.75</v>
      </c>
      <c r="I86" s="297">
        <f t="shared" ca="1" si="27"/>
        <v>-5</v>
      </c>
    </row>
    <row r="87" spans="1:9">
      <c r="A87" s="295">
        <f t="shared" si="26"/>
        <v>70</v>
      </c>
      <c r="B87" s="300">
        <f t="shared" si="29"/>
        <v>2101</v>
      </c>
      <c r="C87" s="296">
        <f t="shared" ca="1" si="28"/>
        <v>4.75</v>
      </c>
      <c r="D87" s="295"/>
      <c r="E87" s="296">
        <f t="shared" si="25"/>
        <v>0</v>
      </c>
      <c r="F87" s="296">
        <f t="shared" ca="1" si="15"/>
        <v>0</v>
      </c>
      <c r="G87" s="296">
        <f t="shared" ca="1" si="16"/>
        <v>0</v>
      </c>
      <c r="H87" s="296">
        <f t="shared" ca="1" si="17"/>
        <v>4.75</v>
      </c>
      <c r="I87" s="297">
        <f t="shared" ca="1" si="27"/>
        <v>-5</v>
      </c>
    </row>
    <row r="88" spans="1:9">
      <c r="A88" s="295">
        <f t="shared" si="26"/>
        <v>71</v>
      </c>
      <c r="B88" s="300">
        <f t="shared" si="29"/>
        <v>2132</v>
      </c>
      <c r="C88" s="296">
        <f t="shared" ca="1" si="28"/>
        <v>4.75</v>
      </c>
      <c r="D88" s="295"/>
      <c r="E88" s="296">
        <f t="shared" si="25"/>
        <v>0</v>
      </c>
      <c r="F88" s="296">
        <f t="shared" ca="1" si="15"/>
        <v>0</v>
      </c>
      <c r="G88" s="296">
        <f t="shared" ca="1" si="16"/>
        <v>0</v>
      </c>
      <c r="H88" s="296">
        <f t="shared" ca="1" si="17"/>
        <v>4.75</v>
      </c>
      <c r="I88" s="297">
        <f t="shared" ca="1" si="27"/>
        <v>-5</v>
      </c>
    </row>
    <row r="89" spans="1:9">
      <c r="A89" s="295">
        <f t="shared" si="26"/>
        <v>72</v>
      </c>
      <c r="B89" s="300">
        <f t="shared" si="29"/>
        <v>2162</v>
      </c>
      <c r="C89" s="296">
        <f t="shared" ca="1" si="28"/>
        <v>4.75</v>
      </c>
      <c r="D89" s="296">
        <f ca="1">IF(H89&lt;0,0,0.25*(K23-L23))</f>
        <v>-0.25</v>
      </c>
      <c r="E89" s="296">
        <f t="shared" ca="1" si="25"/>
        <v>-0.25</v>
      </c>
      <c r="F89" s="296">
        <f t="shared" ca="1" si="15"/>
        <v>-0.25</v>
      </c>
      <c r="G89" s="296">
        <f t="shared" ca="1" si="16"/>
        <v>0</v>
      </c>
      <c r="H89" s="296">
        <f t="shared" ca="1" si="17"/>
        <v>5</v>
      </c>
      <c r="I89" s="297">
        <f t="shared" ca="1" si="27"/>
        <v>-5</v>
      </c>
    </row>
    <row r="90" spans="1:9">
      <c r="A90" s="295">
        <f t="shared" si="26"/>
        <v>73</v>
      </c>
      <c r="B90" s="300">
        <f t="shared" si="29"/>
        <v>2193</v>
      </c>
      <c r="C90" s="296">
        <f t="shared" ca="1" si="28"/>
        <v>5</v>
      </c>
      <c r="D90" s="296"/>
      <c r="E90" s="296">
        <f t="shared" ref="E90:E101" si="30">IF($D$10=1,
 IF(OR(MONTH(B90)=MONTH(EDATE($D$7,0)),MONTH(B90)=MONTH(EDATE($D$7,3)),MONTH(B90)=MONTH(EDATE($D$7,6)),MONTH(B90)=MONTH(EDATE($D$7,9))),(MIN($D$89,H89)),0),
IF($D$10=0,
 IF(OR(MONTH(B90)=MONTH(EDATE($D$7,2)),MONTH(B90)=MONTH(EDATE($D$7,5)),MONTH(B90)=MONTH(EDATE($D$7,8)),MONTH(B90)=MONTH(EDATE($D$7,11))),(MIN($D$89,H89)),0)))</f>
        <v>0</v>
      </c>
      <c r="F90" s="296">
        <f t="shared" ca="1" si="15"/>
        <v>0</v>
      </c>
      <c r="G90" s="296">
        <f t="shared" ca="1" si="16"/>
        <v>0</v>
      </c>
      <c r="H90" s="296">
        <f t="shared" ca="1" si="17"/>
        <v>5</v>
      </c>
      <c r="I90" s="297">
        <f t="shared" ca="1" si="27"/>
        <v>-5</v>
      </c>
    </row>
    <row r="91" spans="1:9">
      <c r="A91" s="295">
        <f t="shared" si="26"/>
        <v>74</v>
      </c>
      <c r="B91" s="300">
        <f t="shared" si="29"/>
        <v>2224</v>
      </c>
      <c r="C91" s="296">
        <f t="shared" ca="1" si="28"/>
        <v>5</v>
      </c>
      <c r="D91" s="296"/>
      <c r="E91" s="296">
        <f t="shared" si="30"/>
        <v>0</v>
      </c>
      <c r="F91" s="296">
        <f t="shared" ca="1" si="15"/>
        <v>0</v>
      </c>
      <c r="G91" s="296">
        <f t="shared" ca="1" si="16"/>
        <v>0</v>
      </c>
      <c r="H91" s="296">
        <f t="shared" ca="1" si="17"/>
        <v>5</v>
      </c>
      <c r="I91" s="297">
        <f t="shared" ca="1" si="27"/>
        <v>-5</v>
      </c>
    </row>
    <row r="92" spans="1:9">
      <c r="A92" s="295">
        <f t="shared" si="26"/>
        <v>75</v>
      </c>
      <c r="B92" s="300">
        <f t="shared" si="29"/>
        <v>2252</v>
      </c>
      <c r="C92" s="296">
        <f t="shared" ca="1" si="28"/>
        <v>5</v>
      </c>
      <c r="D92" s="295"/>
      <c r="E92" s="296">
        <f t="shared" ca="1" si="30"/>
        <v>-0.25</v>
      </c>
      <c r="F92" s="296">
        <f t="shared" ca="1" si="15"/>
        <v>-0.25</v>
      </c>
      <c r="G92" s="296">
        <f t="shared" ca="1" si="16"/>
        <v>0</v>
      </c>
      <c r="H92" s="296">
        <f t="shared" ca="1" si="17"/>
        <v>5.25</v>
      </c>
      <c r="I92" s="297">
        <f t="shared" ca="1" si="27"/>
        <v>-5</v>
      </c>
    </row>
    <row r="93" spans="1:9">
      <c r="A93" s="295">
        <f t="shared" si="26"/>
        <v>76</v>
      </c>
      <c r="B93" s="300">
        <f t="shared" si="29"/>
        <v>2283</v>
      </c>
      <c r="C93" s="296">
        <f t="shared" ca="1" si="28"/>
        <v>5.25</v>
      </c>
      <c r="D93" s="295"/>
      <c r="E93" s="296">
        <f t="shared" si="30"/>
        <v>0</v>
      </c>
      <c r="F93" s="296">
        <f t="shared" ca="1" si="15"/>
        <v>0</v>
      </c>
      <c r="G93" s="296">
        <f t="shared" ca="1" si="16"/>
        <v>0</v>
      </c>
      <c r="H93" s="296">
        <f t="shared" ca="1" si="17"/>
        <v>5.25</v>
      </c>
      <c r="I93" s="297">
        <f t="shared" ca="1" si="27"/>
        <v>-5</v>
      </c>
    </row>
    <row r="94" spans="1:9">
      <c r="A94" s="295">
        <f t="shared" si="26"/>
        <v>77</v>
      </c>
      <c r="B94" s="300">
        <f t="shared" si="29"/>
        <v>2313</v>
      </c>
      <c r="C94" s="296">
        <f t="shared" ca="1" si="28"/>
        <v>5.25</v>
      </c>
      <c r="D94" s="295"/>
      <c r="E94" s="296">
        <f t="shared" si="30"/>
        <v>0</v>
      </c>
      <c r="F94" s="296">
        <f t="shared" ref="F94:F157" ca="1" si="31">IF(E94="","",E94-G94)</f>
        <v>0</v>
      </c>
      <c r="G94" s="296">
        <f t="shared" ref="G94:G157" ca="1" si="32">ROUND((C94-E94)*$D$5,3)</f>
        <v>0</v>
      </c>
      <c r="H94" s="296">
        <f t="shared" ref="H94:H157" ca="1" si="33">IF(E94="","",ROUND(H93-F94,4))</f>
        <v>5.25</v>
      </c>
      <c r="I94" s="297">
        <f t="shared" ca="1" si="27"/>
        <v>-5</v>
      </c>
    </row>
    <row r="95" spans="1:9">
      <c r="A95" s="295">
        <f t="shared" si="26"/>
        <v>78</v>
      </c>
      <c r="B95" s="300">
        <f t="shared" si="29"/>
        <v>2344</v>
      </c>
      <c r="C95" s="296">
        <f t="shared" ca="1" si="28"/>
        <v>5.25</v>
      </c>
      <c r="D95" s="295"/>
      <c r="E95" s="296">
        <f t="shared" ca="1" si="30"/>
        <v>-0.25</v>
      </c>
      <c r="F95" s="296">
        <f t="shared" ca="1" si="31"/>
        <v>-0.25</v>
      </c>
      <c r="G95" s="296">
        <f t="shared" ca="1" si="32"/>
        <v>0</v>
      </c>
      <c r="H95" s="296">
        <f t="shared" ca="1" si="33"/>
        <v>5.5</v>
      </c>
      <c r="I95" s="297">
        <f t="shared" ca="1" si="27"/>
        <v>-6</v>
      </c>
    </row>
    <row r="96" spans="1:9">
      <c r="A96" s="295">
        <f t="shared" si="26"/>
        <v>79</v>
      </c>
      <c r="B96" s="300">
        <f t="shared" si="29"/>
        <v>2374</v>
      </c>
      <c r="C96" s="296">
        <f t="shared" ca="1" si="28"/>
        <v>5.5</v>
      </c>
      <c r="D96" s="295"/>
      <c r="E96" s="296">
        <f t="shared" si="30"/>
        <v>0</v>
      </c>
      <c r="F96" s="296">
        <f t="shared" ca="1" si="31"/>
        <v>0</v>
      </c>
      <c r="G96" s="296">
        <f t="shared" ca="1" si="32"/>
        <v>0</v>
      </c>
      <c r="H96" s="296">
        <f t="shared" ca="1" si="33"/>
        <v>5.5</v>
      </c>
      <c r="I96" s="297">
        <f t="shared" ca="1" si="27"/>
        <v>-6</v>
      </c>
    </row>
    <row r="97" spans="1:9">
      <c r="A97" s="295">
        <f t="shared" si="26"/>
        <v>80</v>
      </c>
      <c r="B97" s="300">
        <f t="shared" si="29"/>
        <v>2405</v>
      </c>
      <c r="C97" s="296">
        <f t="shared" ca="1" si="28"/>
        <v>5.5</v>
      </c>
      <c r="D97" s="295"/>
      <c r="E97" s="296">
        <f t="shared" si="30"/>
        <v>0</v>
      </c>
      <c r="F97" s="296">
        <f t="shared" ca="1" si="31"/>
        <v>0</v>
      </c>
      <c r="G97" s="296">
        <f t="shared" ca="1" si="32"/>
        <v>0</v>
      </c>
      <c r="H97" s="296">
        <f t="shared" ca="1" si="33"/>
        <v>5.5</v>
      </c>
      <c r="I97" s="297">
        <f t="shared" ca="1" si="27"/>
        <v>-6</v>
      </c>
    </row>
    <row r="98" spans="1:9">
      <c r="A98" s="295">
        <f t="shared" si="26"/>
        <v>81</v>
      </c>
      <c r="B98" s="300">
        <f t="shared" si="29"/>
        <v>2436</v>
      </c>
      <c r="C98" s="296">
        <f t="shared" ca="1" si="28"/>
        <v>5.5</v>
      </c>
      <c r="D98" s="295"/>
      <c r="E98" s="296">
        <f t="shared" ca="1" si="30"/>
        <v>-0.25</v>
      </c>
      <c r="F98" s="296">
        <f t="shared" ca="1" si="31"/>
        <v>-0.25</v>
      </c>
      <c r="G98" s="296">
        <f t="shared" ca="1" si="32"/>
        <v>0</v>
      </c>
      <c r="H98" s="296">
        <f t="shared" ca="1" si="33"/>
        <v>5.75</v>
      </c>
      <c r="I98" s="297">
        <f t="shared" ca="1" si="27"/>
        <v>-6</v>
      </c>
    </row>
    <row r="99" spans="1:9">
      <c r="A99" s="295">
        <f t="shared" si="26"/>
        <v>82</v>
      </c>
      <c r="B99" s="300">
        <f t="shared" si="29"/>
        <v>2466</v>
      </c>
      <c r="C99" s="296">
        <f t="shared" ca="1" si="28"/>
        <v>5.75</v>
      </c>
      <c r="D99" s="295"/>
      <c r="E99" s="296">
        <f t="shared" si="30"/>
        <v>0</v>
      </c>
      <c r="F99" s="296">
        <f t="shared" ca="1" si="31"/>
        <v>0</v>
      </c>
      <c r="G99" s="296">
        <f t="shared" ca="1" si="32"/>
        <v>0</v>
      </c>
      <c r="H99" s="296">
        <f t="shared" ca="1" si="33"/>
        <v>5.75</v>
      </c>
      <c r="I99" s="297">
        <f t="shared" ca="1" si="27"/>
        <v>-6</v>
      </c>
    </row>
    <row r="100" spans="1:9">
      <c r="A100" s="295">
        <f t="shared" si="26"/>
        <v>83</v>
      </c>
      <c r="B100" s="300">
        <f t="shared" si="29"/>
        <v>2497</v>
      </c>
      <c r="C100" s="296">
        <f t="shared" ca="1" si="28"/>
        <v>5.75</v>
      </c>
      <c r="D100" s="295"/>
      <c r="E100" s="296">
        <f t="shared" si="30"/>
        <v>0</v>
      </c>
      <c r="F100" s="296">
        <f t="shared" ca="1" si="31"/>
        <v>0</v>
      </c>
      <c r="G100" s="296">
        <f t="shared" ca="1" si="32"/>
        <v>0</v>
      </c>
      <c r="H100" s="296">
        <f t="shared" ca="1" si="33"/>
        <v>5.75</v>
      </c>
      <c r="I100" s="297">
        <f t="shared" ca="1" si="27"/>
        <v>-6</v>
      </c>
    </row>
    <row r="101" spans="1:9">
      <c r="A101" s="295">
        <f t="shared" si="26"/>
        <v>84</v>
      </c>
      <c r="B101" s="300">
        <f t="shared" si="29"/>
        <v>2527</v>
      </c>
      <c r="C101" s="296">
        <f t="shared" ca="1" si="28"/>
        <v>5.75</v>
      </c>
      <c r="D101" s="296">
        <f ca="1">IF(H101&lt;0,0,0.25*(K24-L24))</f>
        <v>-0.25</v>
      </c>
      <c r="E101" s="296">
        <f t="shared" ca="1" si="30"/>
        <v>-0.25</v>
      </c>
      <c r="F101" s="296">
        <f t="shared" ca="1" si="31"/>
        <v>-0.25</v>
      </c>
      <c r="G101" s="296">
        <f t="shared" ca="1" si="32"/>
        <v>0</v>
      </c>
      <c r="H101" s="296">
        <f t="shared" ca="1" si="33"/>
        <v>6</v>
      </c>
      <c r="I101" s="297">
        <f t="shared" ca="1" si="27"/>
        <v>-6</v>
      </c>
    </row>
    <row r="102" spans="1:9">
      <c r="A102" s="295">
        <f t="shared" si="26"/>
        <v>85</v>
      </c>
      <c r="B102" s="300">
        <f t="shared" si="29"/>
        <v>2558</v>
      </c>
      <c r="C102" s="296">
        <f t="shared" ca="1" si="28"/>
        <v>6</v>
      </c>
      <c r="D102" s="296"/>
      <c r="E102" s="296">
        <f t="shared" ref="E102:E113" si="34">IF($D$10=1,
 IF(OR(MONTH(B102)=MONTH(EDATE($D$7,0)),MONTH(B102)=MONTH(EDATE($D$7,3)),MONTH(B102)=MONTH(EDATE($D$7,6)),MONTH(B102)=MONTH(EDATE($D$7,9))),(MIN($D$101,H101)),0),
IF($D$10=0,
 IF(OR(MONTH(B102)=MONTH(EDATE($D$7,2)),MONTH(B102)=MONTH(EDATE($D$7,5)),MONTH(B102)=MONTH(EDATE($D$7,8)),MONTH(B102)=MONTH(EDATE($D$7,11))),(MIN($D$101,H101)),0)))</f>
        <v>0</v>
      </c>
      <c r="F102" s="296">
        <f t="shared" ca="1" si="31"/>
        <v>0</v>
      </c>
      <c r="G102" s="296">
        <f t="shared" ca="1" si="32"/>
        <v>0</v>
      </c>
      <c r="H102" s="296">
        <f t="shared" ca="1" si="33"/>
        <v>6</v>
      </c>
      <c r="I102" s="297">
        <f t="shared" ca="1" si="27"/>
        <v>-6</v>
      </c>
    </row>
    <row r="103" spans="1:9">
      <c r="A103" s="295">
        <f t="shared" si="26"/>
        <v>86</v>
      </c>
      <c r="B103" s="300">
        <f t="shared" si="29"/>
        <v>2589</v>
      </c>
      <c r="C103" s="296">
        <f t="shared" ca="1" si="28"/>
        <v>6</v>
      </c>
      <c r="D103" s="295"/>
      <c r="E103" s="296">
        <f t="shared" si="34"/>
        <v>0</v>
      </c>
      <c r="F103" s="296">
        <f t="shared" ca="1" si="31"/>
        <v>0</v>
      </c>
      <c r="G103" s="296">
        <f t="shared" ca="1" si="32"/>
        <v>0</v>
      </c>
      <c r="H103" s="296">
        <f t="shared" ca="1" si="33"/>
        <v>6</v>
      </c>
      <c r="I103" s="297">
        <f t="shared" ca="1" si="27"/>
        <v>-6</v>
      </c>
    </row>
    <row r="104" spans="1:9">
      <c r="A104" s="295">
        <f t="shared" si="26"/>
        <v>87</v>
      </c>
      <c r="B104" s="300">
        <f t="shared" si="29"/>
        <v>2617</v>
      </c>
      <c r="C104" s="296">
        <f t="shared" ca="1" si="28"/>
        <v>6</v>
      </c>
      <c r="D104" s="295"/>
      <c r="E104" s="296">
        <f t="shared" ca="1" si="34"/>
        <v>-0.25</v>
      </c>
      <c r="F104" s="296">
        <f t="shared" ca="1" si="31"/>
        <v>-0.25</v>
      </c>
      <c r="G104" s="296">
        <f t="shared" ca="1" si="32"/>
        <v>0</v>
      </c>
      <c r="H104" s="296">
        <f t="shared" ca="1" si="33"/>
        <v>6.25</v>
      </c>
      <c r="I104" s="297">
        <f t="shared" ca="1" si="27"/>
        <v>-6</v>
      </c>
    </row>
    <row r="105" spans="1:9">
      <c r="A105" s="295">
        <f t="shared" si="26"/>
        <v>88</v>
      </c>
      <c r="B105" s="300">
        <f t="shared" si="29"/>
        <v>2648</v>
      </c>
      <c r="C105" s="296">
        <f t="shared" ca="1" si="28"/>
        <v>6.25</v>
      </c>
      <c r="D105" s="295"/>
      <c r="E105" s="296">
        <f t="shared" si="34"/>
        <v>0</v>
      </c>
      <c r="F105" s="296">
        <f t="shared" ca="1" si="31"/>
        <v>0</v>
      </c>
      <c r="G105" s="296">
        <f t="shared" ca="1" si="32"/>
        <v>0</v>
      </c>
      <c r="H105" s="296">
        <f t="shared" ca="1" si="33"/>
        <v>6.25</v>
      </c>
      <c r="I105" s="297">
        <f t="shared" ca="1" si="27"/>
        <v>-6</v>
      </c>
    </row>
    <row r="106" spans="1:9">
      <c r="A106" s="295">
        <f t="shared" si="26"/>
        <v>89</v>
      </c>
      <c r="B106" s="300">
        <f t="shared" si="29"/>
        <v>2678</v>
      </c>
      <c r="C106" s="296">
        <f t="shared" ca="1" si="28"/>
        <v>6.25</v>
      </c>
      <c r="D106" s="295"/>
      <c r="E106" s="296">
        <f t="shared" si="34"/>
        <v>0</v>
      </c>
      <c r="F106" s="296">
        <f t="shared" ca="1" si="31"/>
        <v>0</v>
      </c>
      <c r="G106" s="296">
        <f t="shared" ca="1" si="32"/>
        <v>0</v>
      </c>
      <c r="H106" s="296">
        <f t="shared" ca="1" si="33"/>
        <v>6.25</v>
      </c>
      <c r="I106" s="297">
        <f t="shared" ca="1" si="27"/>
        <v>-6</v>
      </c>
    </row>
    <row r="107" spans="1:9">
      <c r="A107" s="295">
        <f t="shared" si="26"/>
        <v>90</v>
      </c>
      <c r="B107" s="300">
        <f t="shared" si="29"/>
        <v>2709</v>
      </c>
      <c r="C107" s="296">
        <f t="shared" ca="1" si="28"/>
        <v>6.25</v>
      </c>
      <c r="D107" s="295"/>
      <c r="E107" s="296">
        <f t="shared" ca="1" si="34"/>
        <v>-0.25</v>
      </c>
      <c r="F107" s="296">
        <f t="shared" ca="1" si="31"/>
        <v>-0.25</v>
      </c>
      <c r="G107" s="296">
        <f t="shared" ca="1" si="32"/>
        <v>0</v>
      </c>
      <c r="H107" s="296">
        <f t="shared" ca="1" si="33"/>
        <v>6.5</v>
      </c>
      <c r="I107" s="297">
        <f t="shared" ca="1" si="27"/>
        <v>-7</v>
      </c>
    </row>
    <row r="108" spans="1:9">
      <c r="A108" s="295">
        <f t="shared" si="26"/>
        <v>91</v>
      </c>
      <c r="B108" s="300">
        <f t="shared" si="29"/>
        <v>2739</v>
      </c>
      <c r="C108" s="296">
        <f t="shared" ca="1" si="28"/>
        <v>6.5</v>
      </c>
      <c r="D108" s="295"/>
      <c r="E108" s="296">
        <f t="shared" si="34"/>
        <v>0</v>
      </c>
      <c r="F108" s="296">
        <f t="shared" ca="1" si="31"/>
        <v>0</v>
      </c>
      <c r="G108" s="296">
        <f t="shared" ca="1" si="32"/>
        <v>0</v>
      </c>
      <c r="H108" s="296">
        <f t="shared" ca="1" si="33"/>
        <v>6.5</v>
      </c>
      <c r="I108" s="297">
        <f t="shared" ca="1" si="27"/>
        <v>-7</v>
      </c>
    </row>
    <row r="109" spans="1:9">
      <c r="A109" s="295">
        <f t="shared" si="26"/>
        <v>92</v>
      </c>
      <c r="B109" s="300">
        <f t="shared" si="29"/>
        <v>2770</v>
      </c>
      <c r="C109" s="296">
        <f t="shared" ca="1" si="28"/>
        <v>6.5</v>
      </c>
      <c r="D109" s="295"/>
      <c r="E109" s="296">
        <f t="shared" si="34"/>
        <v>0</v>
      </c>
      <c r="F109" s="296">
        <f t="shared" ca="1" si="31"/>
        <v>0</v>
      </c>
      <c r="G109" s="296">
        <f t="shared" ca="1" si="32"/>
        <v>0</v>
      </c>
      <c r="H109" s="296">
        <f t="shared" ca="1" si="33"/>
        <v>6.5</v>
      </c>
      <c r="I109" s="297">
        <f t="shared" ca="1" si="27"/>
        <v>-7</v>
      </c>
    </row>
    <row r="110" spans="1:9">
      <c r="A110" s="295">
        <f t="shared" si="26"/>
        <v>93</v>
      </c>
      <c r="B110" s="300">
        <f t="shared" si="29"/>
        <v>2801</v>
      </c>
      <c r="C110" s="296">
        <f t="shared" ca="1" si="28"/>
        <v>6.5</v>
      </c>
      <c r="D110" s="295"/>
      <c r="E110" s="296">
        <f t="shared" ca="1" si="34"/>
        <v>-0.25</v>
      </c>
      <c r="F110" s="296">
        <f t="shared" ca="1" si="31"/>
        <v>-0.25</v>
      </c>
      <c r="G110" s="296">
        <f t="shared" ca="1" si="32"/>
        <v>0</v>
      </c>
      <c r="H110" s="296">
        <f t="shared" ca="1" si="33"/>
        <v>6.75</v>
      </c>
      <c r="I110" s="297">
        <f t="shared" ca="1" si="27"/>
        <v>-7</v>
      </c>
    </row>
    <row r="111" spans="1:9">
      <c r="A111" s="295">
        <f t="shared" si="26"/>
        <v>94</v>
      </c>
      <c r="B111" s="300">
        <f t="shared" si="29"/>
        <v>2831</v>
      </c>
      <c r="C111" s="296">
        <f t="shared" ca="1" si="28"/>
        <v>6.75</v>
      </c>
      <c r="D111" s="295"/>
      <c r="E111" s="296">
        <f t="shared" si="34"/>
        <v>0</v>
      </c>
      <c r="F111" s="296">
        <f t="shared" ca="1" si="31"/>
        <v>0</v>
      </c>
      <c r="G111" s="296">
        <f t="shared" ca="1" si="32"/>
        <v>0</v>
      </c>
      <c r="H111" s="296">
        <f t="shared" ca="1" si="33"/>
        <v>6.75</v>
      </c>
      <c r="I111" s="297">
        <f t="shared" ca="1" si="27"/>
        <v>-7</v>
      </c>
    </row>
    <row r="112" spans="1:9">
      <c r="A112" s="295">
        <f t="shared" si="26"/>
        <v>95</v>
      </c>
      <c r="B112" s="300">
        <f t="shared" si="29"/>
        <v>2862</v>
      </c>
      <c r="C112" s="296">
        <f t="shared" ca="1" si="28"/>
        <v>6.75</v>
      </c>
      <c r="D112" s="295"/>
      <c r="E112" s="296">
        <f t="shared" si="34"/>
        <v>0</v>
      </c>
      <c r="F112" s="296">
        <f t="shared" ca="1" si="31"/>
        <v>0</v>
      </c>
      <c r="G112" s="296">
        <f t="shared" ca="1" si="32"/>
        <v>0</v>
      </c>
      <c r="H112" s="296">
        <f t="shared" ca="1" si="33"/>
        <v>6.75</v>
      </c>
      <c r="I112" s="297">
        <f t="shared" ca="1" si="27"/>
        <v>-7</v>
      </c>
    </row>
    <row r="113" spans="1:9">
      <c r="A113" s="295">
        <f t="shared" si="26"/>
        <v>96</v>
      </c>
      <c r="B113" s="300">
        <f t="shared" si="29"/>
        <v>2892</v>
      </c>
      <c r="C113" s="296">
        <f t="shared" ca="1" si="28"/>
        <v>6.75</v>
      </c>
      <c r="D113" s="296">
        <f ca="1">IF(H113&lt;0,0,0.25*(K25-L25))</f>
        <v>-0.25</v>
      </c>
      <c r="E113" s="296">
        <f t="shared" ca="1" si="34"/>
        <v>-0.25</v>
      </c>
      <c r="F113" s="296">
        <f t="shared" ca="1" si="31"/>
        <v>-0.25</v>
      </c>
      <c r="G113" s="296">
        <f t="shared" ca="1" si="32"/>
        <v>0</v>
      </c>
      <c r="H113" s="296">
        <f ca="1">IF(E113="","",ROUND(H112-F113,4))</f>
        <v>7</v>
      </c>
      <c r="I113" s="297">
        <f t="shared" ca="1" si="27"/>
        <v>-7</v>
      </c>
    </row>
    <row r="114" spans="1:9">
      <c r="A114" s="295">
        <f t="shared" si="26"/>
        <v>97</v>
      </c>
      <c r="B114" s="300">
        <f t="shared" si="29"/>
        <v>2923</v>
      </c>
      <c r="C114" s="296">
        <f t="shared" ca="1" si="28"/>
        <v>7</v>
      </c>
      <c r="D114" s="296"/>
      <c r="E114" s="296">
        <f t="shared" ref="E114:E125" si="35">IF($D$10=1,
 IF(OR(MONTH(B114)=MONTH(EDATE($D$7,0)),MONTH(B114)=MONTH(EDATE($D$7,3)),MONTH(B114)=MONTH(EDATE($D$7,6)),MONTH(B114)=MONTH(EDATE($D$7,9))),(MIN($D$113,H113)),0),
IF($D$10=0,
 IF(OR(MONTH(B114)=MONTH(EDATE($D$7,2)),MONTH(B114)=MONTH(EDATE($D$7,5)),MONTH(B114)=MONTH(EDATE($D$7,8)),MONTH(B114)=MONTH(EDATE($D$7,11))),(MIN($D$113,H113)),0)))</f>
        <v>0</v>
      </c>
      <c r="F114" s="296">
        <f t="shared" ca="1" si="31"/>
        <v>0</v>
      </c>
      <c r="G114" s="296">
        <f t="shared" ca="1" si="32"/>
        <v>0</v>
      </c>
      <c r="H114" s="296">
        <f ca="1">IF(E114="","",ROUND(H113-F114,4))</f>
        <v>7</v>
      </c>
      <c r="I114" s="297">
        <f t="shared" ca="1" si="27"/>
        <v>-7</v>
      </c>
    </row>
    <row r="115" spans="1:9">
      <c r="A115" s="295">
        <f t="shared" si="26"/>
        <v>98</v>
      </c>
      <c r="B115" s="300">
        <f t="shared" si="29"/>
        <v>2954</v>
      </c>
      <c r="C115" s="296">
        <f t="shared" ca="1" si="28"/>
        <v>7</v>
      </c>
      <c r="D115" s="295"/>
      <c r="E115" s="296">
        <f t="shared" si="35"/>
        <v>0</v>
      </c>
      <c r="F115" s="296">
        <f t="shared" ca="1" si="31"/>
        <v>0</v>
      </c>
      <c r="G115" s="296">
        <f t="shared" ca="1" si="32"/>
        <v>0</v>
      </c>
      <c r="H115" s="296">
        <f t="shared" ca="1" si="33"/>
        <v>7</v>
      </c>
      <c r="I115" s="297">
        <f t="shared" ca="1" si="27"/>
        <v>-7</v>
      </c>
    </row>
    <row r="116" spans="1:9">
      <c r="A116" s="295">
        <f t="shared" si="26"/>
        <v>99</v>
      </c>
      <c r="B116" s="300">
        <f t="shared" si="29"/>
        <v>2983</v>
      </c>
      <c r="C116" s="296">
        <f t="shared" ca="1" si="28"/>
        <v>7</v>
      </c>
      <c r="D116" s="295"/>
      <c r="E116" s="296">
        <f t="shared" ca="1" si="35"/>
        <v>-0.25</v>
      </c>
      <c r="F116" s="296">
        <f t="shared" ca="1" si="31"/>
        <v>-0.25</v>
      </c>
      <c r="G116" s="296">
        <f t="shared" ca="1" si="32"/>
        <v>0</v>
      </c>
      <c r="H116" s="296">
        <f t="shared" ca="1" si="33"/>
        <v>7.25</v>
      </c>
      <c r="I116" s="297">
        <f t="shared" ca="1" si="27"/>
        <v>-7</v>
      </c>
    </row>
    <row r="117" spans="1:9">
      <c r="A117" s="295">
        <f t="shared" si="26"/>
        <v>100</v>
      </c>
      <c r="B117" s="300">
        <f t="shared" si="29"/>
        <v>3014</v>
      </c>
      <c r="C117" s="296">
        <f t="shared" ca="1" si="28"/>
        <v>7.25</v>
      </c>
      <c r="D117" s="295"/>
      <c r="E117" s="296">
        <f t="shared" si="35"/>
        <v>0</v>
      </c>
      <c r="F117" s="296">
        <f t="shared" ca="1" si="31"/>
        <v>0</v>
      </c>
      <c r="G117" s="296">
        <f t="shared" ca="1" si="32"/>
        <v>0</v>
      </c>
      <c r="H117" s="296">
        <f t="shared" ca="1" si="33"/>
        <v>7.25</v>
      </c>
      <c r="I117" s="297">
        <f t="shared" ca="1" si="27"/>
        <v>-7</v>
      </c>
    </row>
    <row r="118" spans="1:9">
      <c r="A118" s="295">
        <f t="shared" si="26"/>
        <v>101</v>
      </c>
      <c r="B118" s="300">
        <f t="shared" si="29"/>
        <v>3044</v>
      </c>
      <c r="C118" s="296">
        <f t="shared" ca="1" si="28"/>
        <v>7.25</v>
      </c>
      <c r="D118" s="295"/>
      <c r="E118" s="296">
        <f t="shared" si="35"/>
        <v>0</v>
      </c>
      <c r="F118" s="296">
        <f t="shared" ca="1" si="31"/>
        <v>0</v>
      </c>
      <c r="G118" s="296">
        <f t="shared" ca="1" si="32"/>
        <v>0</v>
      </c>
      <c r="H118" s="296">
        <f t="shared" ca="1" si="33"/>
        <v>7.25</v>
      </c>
      <c r="I118" s="297">
        <f t="shared" ca="1" si="27"/>
        <v>-7</v>
      </c>
    </row>
    <row r="119" spans="1:9">
      <c r="A119" s="295">
        <f t="shared" si="26"/>
        <v>102</v>
      </c>
      <c r="B119" s="300">
        <f t="shared" si="29"/>
        <v>3075</v>
      </c>
      <c r="C119" s="296">
        <f t="shared" ca="1" si="28"/>
        <v>7.25</v>
      </c>
      <c r="D119" s="295"/>
      <c r="E119" s="296">
        <f t="shared" ca="1" si="35"/>
        <v>-0.25</v>
      </c>
      <c r="F119" s="296">
        <f t="shared" ca="1" si="31"/>
        <v>-0.25</v>
      </c>
      <c r="G119" s="296">
        <f t="shared" ca="1" si="32"/>
        <v>0</v>
      </c>
      <c r="H119" s="296">
        <f t="shared" ca="1" si="33"/>
        <v>7.5</v>
      </c>
      <c r="I119" s="297">
        <f t="shared" ca="1" si="27"/>
        <v>-8</v>
      </c>
    </row>
    <row r="120" spans="1:9">
      <c r="A120" s="295">
        <f t="shared" si="26"/>
        <v>103</v>
      </c>
      <c r="B120" s="300">
        <f t="shared" si="29"/>
        <v>3105</v>
      </c>
      <c r="C120" s="296">
        <f t="shared" ca="1" si="28"/>
        <v>7.5</v>
      </c>
      <c r="D120" s="295"/>
      <c r="E120" s="296">
        <f t="shared" si="35"/>
        <v>0</v>
      </c>
      <c r="F120" s="296">
        <f t="shared" ca="1" si="31"/>
        <v>0</v>
      </c>
      <c r="G120" s="296">
        <f t="shared" ca="1" si="32"/>
        <v>0</v>
      </c>
      <c r="H120" s="296">
        <f t="shared" ca="1" si="33"/>
        <v>7.5</v>
      </c>
      <c r="I120" s="297">
        <f t="shared" ca="1" si="27"/>
        <v>-8</v>
      </c>
    </row>
    <row r="121" spans="1:9">
      <c r="A121" s="295">
        <f t="shared" si="26"/>
        <v>104</v>
      </c>
      <c r="B121" s="300">
        <f t="shared" si="29"/>
        <v>3136</v>
      </c>
      <c r="C121" s="296">
        <f t="shared" ca="1" si="28"/>
        <v>7.5</v>
      </c>
      <c r="D121" s="295"/>
      <c r="E121" s="296">
        <f t="shared" si="35"/>
        <v>0</v>
      </c>
      <c r="F121" s="296">
        <f t="shared" ca="1" si="31"/>
        <v>0</v>
      </c>
      <c r="G121" s="296">
        <f t="shared" ca="1" si="32"/>
        <v>0</v>
      </c>
      <c r="H121" s="296">
        <f t="shared" ca="1" si="33"/>
        <v>7.5</v>
      </c>
      <c r="I121" s="297">
        <f t="shared" ca="1" si="27"/>
        <v>-8</v>
      </c>
    </row>
    <row r="122" spans="1:9">
      <c r="A122" s="295">
        <f t="shared" si="26"/>
        <v>105</v>
      </c>
      <c r="B122" s="300">
        <f t="shared" si="29"/>
        <v>3167</v>
      </c>
      <c r="C122" s="296">
        <f t="shared" ca="1" si="28"/>
        <v>7.5</v>
      </c>
      <c r="D122" s="295"/>
      <c r="E122" s="296">
        <f t="shared" ca="1" si="35"/>
        <v>-0.25</v>
      </c>
      <c r="F122" s="296">
        <f t="shared" ca="1" si="31"/>
        <v>-0.25</v>
      </c>
      <c r="G122" s="296">
        <f t="shared" ca="1" si="32"/>
        <v>0</v>
      </c>
      <c r="H122" s="296">
        <f t="shared" ca="1" si="33"/>
        <v>7.75</v>
      </c>
      <c r="I122" s="297">
        <f t="shared" ca="1" si="27"/>
        <v>-8</v>
      </c>
    </row>
    <row r="123" spans="1:9">
      <c r="A123" s="295">
        <f t="shared" si="26"/>
        <v>106</v>
      </c>
      <c r="B123" s="300">
        <f t="shared" si="29"/>
        <v>3197</v>
      </c>
      <c r="C123" s="296">
        <f t="shared" ca="1" si="28"/>
        <v>7.75</v>
      </c>
      <c r="D123" s="295"/>
      <c r="E123" s="296">
        <f t="shared" si="35"/>
        <v>0</v>
      </c>
      <c r="F123" s="296">
        <f t="shared" ca="1" si="31"/>
        <v>0</v>
      </c>
      <c r="G123" s="296">
        <f t="shared" ca="1" si="32"/>
        <v>0</v>
      </c>
      <c r="H123" s="296">
        <f t="shared" ca="1" si="33"/>
        <v>7.75</v>
      </c>
      <c r="I123" s="297">
        <f t="shared" ca="1" si="27"/>
        <v>-8</v>
      </c>
    </row>
    <row r="124" spans="1:9">
      <c r="A124" s="295">
        <f t="shared" si="26"/>
        <v>107</v>
      </c>
      <c r="B124" s="300">
        <f t="shared" si="29"/>
        <v>3228</v>
      </c>
      <c r="C124" s="296">
        <f t="shared" ca="1" si="28"/>
        <v>7.75</v>
      </c>
      <c r="D124" s="295"/>
      <c r="E124" s="296">
        <f t="shared" si="35"/>
        <v>0</v>
      </c>
      <c r="F124" s="296">
        <f t="shared" ca="1" si="31"/>
        <v>0</v>
      </c>
      <c r="G124" s="296">
        <f t="shared" ca="1" si="32"/>
        <v>0</v>
      </c>
      <c r="H124" s="296">
        <f t="shared" ca="1" si="33"/>
        <v>7.75</v>
      </c>
      <c r="I124" s="297">
        <f t="shared" ca="1" si="27"/>
        <v>-8</v>
      </c>
    </row>
    <row r="125" spans="1:9">
      <c r="A125" s="295">
        <f t="shared" si="26"/>
        <v>108</v>
      </c>
      <c r="B125" s="300">
        <f t="shared" si="29"/>
        <v>3258</v>
      </c>
      <c r="C125" s="296">
        <f t="shared" ca="1" si="28"/>
        <v>7.75</v>
      </c>
      <c r="D125" s="296">
        <f ca="1">IF(H125&lt;0,0,0.25*(K26-L26))</f>
        <v>-0.25</v>
      </c>
      <c r="E125" s="296">
        <f t="shared" ca="1" si="35"/>
        <v>-0.25</v>
      </c>
      <c r="F125" s="296">
        <f t="shared" ca="1" si="31"/>
        <v>-0.25</v>
      </c>
      <c r="G125" s="296">
        <f t="shared" ca="1" si="32"/>
        <v>0</v>
      </c>
      <c r="H125" s="296">
        <f ca="1">IF(E125="","",ROUND(H124-F125,4))</f>
        <v>8</v>
      </c>
      <c r="I125" s="297">
        <f t="shared" ca="1" si="27"/>
        <v>-8</v>
      </c>
    </row>
    <row r="126" spans="1:9">
      <c r="A126" s="295">
        <f t="shared" si="26"/>
        <v>109</v>
      </c>
      <c r="B126" s="300">
        <f t="shared" si="29"/>
        <v>3289</v>
      </c>
      <c r="C126" s="296">
        <f t="shared" ca="1" si="28"/>
        <v>8</v>
      </c>
      <c r="D126" s="296"/>
      <c r="E126" s="296">
        <f t="shared" ref="E126:E137" si="36">IF($D$10=1,
 IF(OR(MONTH(B126)=MONTH(EDATE($D$7,0)),MONTH(B126)=MONTH(EDATE($D$7,3)),MONTH(B126)=MONTH(EDATE($D$7,6)),MONTH(B126)=MONTH(EDATE($D$7,9))),(MIN($D$125,H125)),0),
IF($D$10=0,
 IF(OR(MONTH(B126)=MONTH(EDATE($D$7,2)),MONTH(B126)=MONTH(EDATE($D$7,5)),MONTH(B126)=MONTH(EDATE($D$7,8)),MONTH(B126)=MONTH(EDATE($D$7,11))),(MIN($D$125,H125)),0)))</f>
        <v>0</v>
      </c>
      <c r="F126" s="296">
        <f t="shared" ca="1" si="31"/>
        <v>0</v>
      </c>
      <c r="G126" s="296">
        <f t="shared" ca="1" si="32"/>
        <v>0</v>
      </c>
      <c r="H126" s="296">
        <f t="shared" ca="1" si="33"/>
        <v>8</v>
      </c>
      <c r="I126" s="297">
        <f t="shared" ca="1" si="27"/>
        <v>-8</v>
      </c>
    </row>
    <row r="127" spans="1:9">
      <c r="A127" s="295">
        <f t="shared" si="26"/>
        <v>110</v>
      </c>
      <c r="B127" s="300">
        <f t="shared" si="29"/>
        <v>3320</v>
      </c>
      <c r="C127" s="296">
        <f t="shared" ca="1" si="28"/>
        <v>8</v>
      </c>
      <c r="D127" s="295"/>
      <c r="E127" s="296">
        <f t="shared" si="36"/>
        <v>0</v>
      </c>
      <c r="F127" s="296">
        <f t="shared" ca="1" si="31"/>
        <v>0</v>
      </c>
      <c r="G127" s="296">
        <f t="shared" ca="1" si="32"/>
        <v>0</v>
      </c>
      <c r="H127" s="296">
        <f t="shared" ca="1" si="33"/>
        <v>8</v>
      </c>
      <c r="I127" s="297">
        <f t="shared" ca="1" si="27"/>
        <v>-8</v>
      </c>
    </row>
    <row r="128" spans="1:9">
      <c r="A128" s="295">
        <f t="shared" si="26"/>
        <v>111</v>
      </c>
      <c r="B128" s="300">
        <f t="shared" si="29"/>
        <v>3348</v>
      </c>
      <c r="C128" s="296">
        <f t="shared" ca="1" si="28"/>
        <v>8</v>
      </c>
      <c r="D128" s="295"/>
      <c r="E128" s="296">
        <f t="shared" ca="1" si="36"/>
        <v>-0.25</v>
      </c>
      <c r="F128" s="296">
        <f t="shared" ca="1" si="31"/>
        <v>-0.25</v>
      </c>
      <c r="G128" s="296">
        <f t="shared" ca="1" si="32"/>
        <v>0</v>
      </c>
      <c r="H128" s="296">
        <f t="shared" ca="1" si="33"/>
        <v>8.25</v>
      </c>
      <c r="I128" s="297">
        <f t="shared" ca="1" si="27"/>
        <v>-8</v>
      </c>
    </row>
    <row r="129" spans="1:9">
      <c r="A129" s="295">
        <f t="shared" si="26"/>
        <v>112</v>
      </c>
      <c r="B129" s="300">
        <f t="shared" si="29"/>
        <v>3379</v>
      </c>
      <c r="C129" s="296">
        <f t="shared" ca="1" si="28"/>
        <v>8.25</v>
      </c>
      <c r="D129" s="295"/>
      <c r="E129" s="296">
        <f t="shared" si="36"/>
        <v>0</v>
      </c>
      <c r="F129" s="296">
        <f t="shared" ca="1" si="31"/>
        <v>0</v>
      </c>
      <c r="G129" s="296">
        <f t="shared" ca="1" si="32"/>
        <v>0</v>
      </c>
      <c r="H129" s="296">
        <f t="shared" ca="1" si="33"/>
        <v>8.25</v>
      </c>
      <c r="I129" s="297">
        <f t="shared" ca="1" si="27"/>
        <v>-8</v>
      </c>
    </row>
    <row r="130" spans="1:9">
      <c r="A130" s="295">
        <f t="shared" si="26"/>
        <v>113</v>
      </c>
      <c r="B130" s="300">
        <f t="shared" si="29"/>
        <v>3409</v>
      </c>
      <c r="C130" s="296">
        <f t="shared" ca="1" si="28"/>
        <v>8.25</v>
      </c>
      <c r="D130" s="295"/>
      <c r="E130" s="296">
        <f t="shared" si="36"/>
        <v>0</v>
      </c>
      <c r="F130" s="296">
        <f t="shared" ca="1" si="31"/>
        <v>0</v>
      </c>
      <c r="G130" s="296">
        <f t="shared" ca="1" si="32"/>
        <v>0</v>
      </c>
      <c r="H130" s="296">
        <f t="shared" ca="1" si="33"/>
        <v>8.25</v>
      </c>
      <c r="I130" s="297">
        <f t="shared" ca="1" si="27"/>
        <v>-8</v>
      </c>
    </row>
    <row r="131" spans="1:9">
      <c r="A131" s="295">
        <f t="shared" si="26"/>
        <v>114</v>
      </c>
      <c r="B131" s="300">
        <f t="shared" si="29"/>
        <v>3440</v>
      </c>
      <c r="C131" s="296">
        <f t="shared" ca="1" si="28"/>
        <v>8.25</v>
      </c>
      <c r="D131" s="295"/>
      <c r="E131" s="296">
        <f t="shared" ca="1" si="36"/>
        <v>-0.25</v>
      </c>
      <c r="F131" s="296">
        <f t="shared" ca="1" si="31"/>
        <v>-0.25</v>
      </c>
      <c r="G131" s="296">
        <f t="shared" ca="1" si="32"/>
        <v>0</v>
      </c>
      <c r="H131" s="296">
        <f t="shared" ca="1" si="33"/>
        <v>8.5</v>
      </c>
      <c r="I131" s="297">
        <f t="shared" ca="1" si="27"/>
        <v>-9</v>
      </c>
    </row>
    <row r="132" spans="1:9">
      <c r="A132" s="295">
        <f t="shared" si="26"/>
        <v>115</v>
      </c>
      <c r="B132" s="300">
        <f t="shared" si="29"/>
        <v>3470</v>
      </c>
      <c r="C132" s="296">
        <f t="shared" ca="1" si="28"/>
        <v>8.5</v>
      </c>
      <c r="D132" s="295"/>
      <c r="E132" s="296">
        <f t="shared" si="36"/>
        <v>0</v>
      </c>
      <c r="F132" s="296">
        <f t="shared" ca="1" si="31"/>
        <v>0</v>
      </c>
      <c r="G132" s="296">
        <f t="shared" ca="1" si="32"/>
        <v>0</v>
      </c>
      <c r="H132" s="296">
        <f t="shared" ca="1" si="33"/>
        <v>8.5</v>
      </c>
      <c r="I132" s="297">
        <f t="shared" ca="1" si="27"/>
        <v>-9</v>
      </c>
    </row>
    <row r="133" spans="1:9">
      <c r="A133" s="295">
        <f t="shared" si="26"/>
        <v>116</v>
      </c>
      <c r="B133" s="300">
        <f t="shared" si="29"/>
        <v>3501</v>
      </c>
      <c r="C133" s="296">
        <f t="shared" ca="1" si="28"/>
        <v>8.5</v>
      </c>
      <c r="D133" s="295"/>
      <c r="E133" s="296">
        <f t="shared" si="36"/>
        <v>0</v>
      </c>
      <c r="F133" s="296">
        <f t="shared" ca="1" si="31"/>
        <v>0</v>
      </c>
      <c r="G133" s="296">
        <f t="shared" ca="1" si="32"/>
        <v>0</v>
      </c>
      <c r="H133" s="296">
        <f t="shared" ca="1" si="33"/>
        <v>8.5</v>
      </c>
      <c r="I133" s="297">
        <f t="shared" ca="1" si="27"/>
        <v>-9</v>
      </c>
    </row>
    <row r="134" spans="1:9">
      <c r="A134" s="295">
        <f t="shared" si="26"/>
        <v>117</v>
      </c>
      <c r="B134" s="300">
        <f t="shared" si="29"/>
        <v>3532</v>
      </c>
      <c r="C134" s="296">
        <f t="shared" ca="1" si="28"/>
        <v>8.5</v>
      </c>
      <c r="D134" s="295"/>
      <c r="E134" s="296">
        <f t="shared" ca="1" si="36"/>
        <v>-0.25</v>
      </c>
      <c r="F134" s="296">
        <f t="shared" ca="1" si="31"/>
        <v>-0.25</v>
      </c>
      <c r="G134" s="296">
        <f t="shared" ca="1" si="32"/>
        <v>0</v>
      </c>
      <c r="H134" s="296">
        <f t="shared" ca="1" si="33"/>
        <v>8.75</v>
      </c>
      <c r="I134" s="297">
        <f t="shared" ca="1" si="27"/>
        <v>-9</v>
      </c>
    </row>
    <row r="135" spans="1:9">
      <c r="A135" s="295">
        <f t="shared" si="26"/>
        <v>118</v>
      </c>
      <c r="B135" s="300">
        <f t="shared" si="29"/>
        <v>3562</v>
      </c>
      <c r="C135" s="296">
        <f t="shared" ca="1" si="28"/>
        <v>8.75</v>
      </c>
      <c r="D135" s="295"/>
      <c r="E135" s="296">
        <f t="shared" si="36"/>
        <v>0</v>
      </c>
      <c r="F135" s="296">
        <f t="shared" ca="1" si="31"/>
        <v>0</v>
      </c>
      <c r="G135" s="296">
        <f t="shared" ca="1" si="32"/>
        <v>0</v>
      </c>
      <c r="H135" s="296">
        <f t="shared" ca="1" si="33"/>
        <v>8.75</v>
      </c>
      <c r="I135" s="297">
        <f t="shared" ca="1" si="27"/>
        <v>-9</v>
      </c>
    </row>
    <row r="136" spans="1:9">
      <c r="A136" s="295">
        <f t="shared" si="26"/>
        <v>119</v>
      </c>
      <c r="B136" s="300">
        <f t="shared" si="29"/>
        <v>3593</v>
      </c>
      <c r="C136" s="296">
        <f t="shared" ca="1" si="28"/>
        <v>8.75</v>
      </c>
      <c r="D136" s="295"/>
      <c r="E136" s="296">
        <f t="shared" si="36"/>
        <v>0</v>
      </c>
      <c r="F136" s="296">
        <f t="shared" ca="1" si="31"/>
        <v>0</v>
      </c>
      <c r="G136" s="296">
        <f t="shared" ca="1" si="32"/>
        <v>0</v>
      </c>
      <c r="H136" s="296">
        <f t="shared" ca="1" si="33"/>
        <v>8.75</v>
      </c>
      <c r="I136" s="297">
        <f t="shared" ca="1" si="27"/>
        <v>-9</v>
      </c>
    </row>
    <row r="137" spans="1:9">
      <c r="A137" s="295">
        <f t="shared" si="26"/>
        <v>120</v>
      </c>
      <c r="B137" s="300">
        <f t="shared" si="29"/>
        <v>3623</v>
      </c>
      <c r="C137" s="296">
        <f t="shared" ca="1" si="28"/>
        <v>8.75</v>
      </c>
      <c r="D137" s="296">
        <f ca="1">IF(H137&lt;0,0,0.25*(K27-L27))</f>
        <v>-0.25</v>
      </c>
      <c r="E137" s="296">
        <f t="shared" ca="1" si="36"/>
        <v>-0.25</v>
      </c>
      <c r="F137" s="296">
        <f t="shared" ca="1" si="31"/>
        <v>-0.25</v>
      </c>
      <c r="G137" s="296">
        <f t="shared" ca="1" si="32"/>
        <v>0</v>
      </c>
      <c r="H137" s="296">
        <f t="shared" ca="1" si="33"/>
        <v>9</v>
      </c>
      <c r="I137" s="297">
        <f t="shared" ca="1" si="27"/>
        <v>-9</v>
      </c>
    </row>
    <row r="138" spans="1:9">
      <c r="A138" s="295">
        <f t="shared" si="26"/>
        <v>121</v>
      </c>
      <c r="B138" s="300">
        <f t="shared" si="29"/>
        <v>3654</v>
      </c>
      <c r="C138" s="296">
        <f t="shared" ca="1" si="28"/>
        <v>9</v>
      </c>
      <c r="D138" s="296"/>
      <c r="E138" s="296">
        <f t="shared" ref="E138:E149" si="37">IF($D$10=1,
 IF(OR(MONTH(B138)=MONTH(EDATE($D$7,0)),MONTH(B138)=MONTH(EDATE($D$7,3)),MONTH(B138)=MONTH(EDATE($D$7,6)),MONTH(B138)=MONTH(EDATE($D$7,9))),(MIN($D$137,H137)),0),
IF($D$10=0,
 IF(OR(MONTH(B138)=MONTH(EDATE($D$7,2)),MONTH(B138)=MONTH(EDATE($D$7,5)),MONTH(B138)=MONTH(EDATE($D$7,8)),MONTH(B138)=MONTH(EDATE($D$7,11))),(MIN($D$137,H137)),0)))</f>
        <v>0</v>
      </c>
      <c r="F138" s="296">
        <f t="shared" ca="1" si="31"/>
        <v>0</v>
      </c>
      <c r="G138" s="296">
        <f t="shared" ca="1" si="32"/>
        <v>0</v>
      </c>
      <c r="H138" s="296">
        <f t="shared" ca="1" si="33"/>
        <v>9</v>
      </c>
      <c r="I138" s="297">
        <f t="shared" ca="1" si="27"/>
        <v>-9</v>
      </c>
    </row>
    <row r="139" spans="1:9">
      <c r="A139" s="295">
        <f t="shared" si="26"/>
        <v>122</v>
      </c>
      <c r="B139" s="300">
        <f t="shared" si="29"/>
        <v>3685</v>
      </c>
      <c r="C139" s="296">
        <f t="shared" ca="1" si="28"/>
        <v>9</v>
      </c>
      <c r="D139" s="295"/>
      <c r="E139" s="296">
        <f t="shared" si="37"/>
        <v>0</v>
      </c>
      <c r="F139" s="296">
        <f t="shared" ca="1" si="31"/>
        <v>0</v>
      </c>
      <c r="G139" s="296">
        <f t="shared" ca="1" si="32"/>
        <v>0</v>
      </c>
      <c r="H139" s="296">
        <f t="shared" ca="1" si="33"/>
        <v>9</v>
      </c>
      <c r="I139" s="297">
        <f t="shared" ca="1" si="27"/>
        <v>-9</v>
      </c>
    </row>
    <row r="140" spans="1:9">
      <c r="A140" s="295">
        <f t="shared" si="26"/>
        <v>123</v>
      </c>
      <c r="B140" s="300">
        <f t="shared" si="29"/>
        <v>3713</v>
      </c>
      <c r="C140" s="296">
        <f t="shared" ca="1" si="28"/>
        <v>9</v>
      </c>
      <c r="D140" s="295"/>
      <c r="E140" s="296">
        <f t="shared" ca="1" si="37"/>
        <v>-0.25</v>
      </c>
      <c r="F140" s="296">
        <f t="shared" ca="1" si="31"/>
        <v>-0.25</v>
      </c>
      <c r="G140" s="296">
        <f t="shared" ca="1" si="32"/>
        <v>0</v>
      </c>
      <c r="H140" s="296">
        <f t="shared" ca="1" si="33"/>
        <v>9.25</v>
      </c>
      <c r="I140" s="297">
        <f t="shared" ca="1" si="27"/>
        <v>-9</v>
      </c>
    </row>
    <row r="141" spans="1:9">
      <c r="A141" s="295">
        <f t="shared" si="26"/>
        <v>124</v>
      </c>
      <c r="B141" s="300">
        <f t="shared" si="29"/>
        <v>3744</v>
      </c>
      <c r="C141" s="296">
        <f t="shared" ca="1" si="28"/>
        <v>9.25</v>
      </c>
      <c r="D141" s="295"/>
      <c r="E141" s="296">
        <f t="shared" si="37"/>
        <v>0</v>
      </c>
      <c r="F141" s="296">
        <f t="shared" ca="1" si="31"/>
        <v>0</v>
      </c>
      <c r="G141" s="296">
        <f t="shared" ca="1" si="32"/>
        <v>0</v>
      </c>
      <c r="H141" s="296">
        <f t="shared" ca="1" si="33"/>
        <v>9.25</v>
      </c>
      <c r="I141" s="297">
        <f t="shared" ca="1" si="27"/>
        <v>-9</v>
      </c>
    </row>
    <row r="142" spans="1:9">
      <c r="A142" s="295">
        <f t="shared" si="26"/>
        <v>125</v>
      </c>
      <c r="B142" s="300">
        <f t="shared" si="29"/>
        <v>3774</v>
      </c>
      <c r="C142" s="296">
        <f t="shared" ca="1" si="28"/>
        <v>9.25</v>
      </c>
      <c r="D142" s="295"/>
      <c r="E142" s="296">
        <f t="shared" si="37"/>
        <v>0</v>
      </c>
      <c r="F142" s="296">
        <f t="shared" ca="1" si="31"/>
        <v>0</v>
      </c>
      <c r="G142" s="296">
        <f t="shared" ca="1" si="32"/>
        <v>0</v>
      </c>
      <c r="H142" s="296">
        <f t="shared" ca="1" si="33"/>
        <v>9.25</v>
      </c>
      <c r="I142" s="297">
        <f t="shared" ca="1" si="27"/>
        <v>-9</v>
      </c>
    </row>
    <row r="143" spans="1:9">
      <c r="A143" s="295">
        <f t="shared" si="26"/>
        <v>126</v>
      </c>
      <c r="B143" s="300">
        <f t="shared" si="29"/>
        <v>3805</v>
      </c>
      <c r="C143" s="296">
        <f t="shared" ca="1" si="28"/>
        <v>9.25</v>
      </c>
      <c r="D143" s="295"/>
      <c r="E143" s="296">
        <f t="shared" ca="1" si="37"/>
        <v>-0.25</v>
      </c>
      <c r="F143" s="296">
        <f t="shared" ca="1" si="31"/>
        <v>-0.25</v>
      </c>
      <c r="G143" s="296">
        <f t="shared" ca="1" si="32"/>
        <v>0</v>
      </c>
      <c r="H143" s="296">
        <f t="shared" ca="1" si="33"/>
        <v>9.5</v>
      </c>
      <c r="I143" s="297">
        <f t="shared" ca="1" si="27"/>
        <v>-10</v>
      </c>
    </row>
    <row r="144" spans="1:9">
      <c r="A144" s="295">
        <f t="shared" si="26"/>
        <v>127</v>
      </c>
      <c r="B144" s="300">
        <f t="shared" si="29"/>
        <v>3835</v>
      </c>
      <c r="C144" s="296">
        <f t="shared" ca="1" si="28"/>
        <v>9.5</v>
      </c>
      <c r="D144" s="295"/>
      <c r="E144" s="296">
        <f t="shared" si="37"/>
        <v>0</v>
      </c>
      <c r="F144" s="296">
        <f t="shared" ca="1" si="31"/>
        <v>0</v>
      </c>
      <c r="G144" s="296">
        <f t="shared" ca="1" si="32"/>
        <v>0</v>
      </c>
      <c r="H144" s="296">
        <f t="shared" ca="1" si="33"/>
        <v>9.5</v>
      </c>
      <c r="I144" s="297">
        <f t="shared" ca="1" si="27"/>
        <v>-10</v>
      </c>
    </row>
    <row r="145" spans="1:9">
      <c r="A145" s="295">
        <f t="shared" si="26"/>
        <v>128</v>
      </c>
      <c r="B145" s="300">
        <f t="shared" si="29"/>
        <v>3866</v>
      </c>
      <c r="C145" s="296">
        <f t="shared" ca="1" si="28"/>
        <v>9.5</v>
      </c>
      <c r="D145" s="295"/>
      <c r="E145" s="296">
        <f t="shared" si="37"/>
        <v>0</v>
      </c>
      <c r="F145" s="296">
        <f t="shared" ca="1" si="31"/>
        <v>0</v>
      </c>
      <c r="G145" s="296">
        <f t="shared" ca="1" si="32"/>
        <v>0</v>
      </c>
      <c r="H145" s="296">
        <f t="shared" ca="1" si="33"/>
        <v>9.5</v>
      </c>
      <c r="I145" s="297">
        <f t="shared" ca="1" si="27"/>
        <v>-10</v>
      </c>
    </row>
    <row r="146" spans="1:9">
      <c r="A146" s="295">
        <f t="shared" ref="A146:A209" si="38">IF(A145="","",IF(A145=$D$6,"",A145+1))</f>
        <v>129</v>
      </c>
      <c r="B146" s="300">
        <f t="shared" si="29"/>
        <v>3897</v>
      </c>
      <c r="C146" s="296">
        <f t="shared" ca="1" si="28"/>
        <v>9.5</v>
      </c>
      <c r="D146" s="295"/>
      <c r="E146" s="296">
        <f t="shared" ca="1" si="37"/>
        <v>-0.25</v>
      </c>
      <c r="F146" s="296">
        <f t="shared" ca="1" si="31"/>
        <v>-0.25</v>
      </c>
      <c r="G146" s="296">
        <f t="shared" ca="1" si="32"/>
        <v>0</v>
      </c>
      <c r="H146" s="296">
        <f t="shared" ca="1" si="33"/>
        <v>9.75</v>
      </c>
      <c r="I146" s="297">
        <f t="shared" ref="I146:I209" ca="1" si="39">ROUND((D146-H146),0)</f>
        <v>-10</v>
      </c>
    </row>
    <row r="147" spans="1:9">
      <c r="A147" s="295">
        <f t="shared" si="38"/>
        <v>130</v>
      </c>
      <c r="B147" s="300">
        <f t="shared" si="29"/>
        <v>3927</v>
      </c>
      <c r="C147" s="296">
        <f t="shared" ref="C147:C210" ca="1" si="40">IF(H146=0,0,H146)</f>
        <v>9.75</v>
      </c>
      <c r="D147" s="295"/>
      <c r="E147" s="296">
        <f t="shared" si="37"/>
        <v>0</v>
      </c>
      <c r="F147" s="296">
        <f t="shared" ca="1" si="31"/>
        <v>0</v>
      </c>
      <c r="G147" s="296">
        <f t="shared" ca="1" si="32"/>
        <v>0</v>
      </c>
      <c r="H147" s="296">
        <f t="shared" ca="1" si="33"/>
        <v>9.75</v>
      </c>
      <c r="I147" s="297">
        <f t="shared" ca="1" si="39"/>
        <v>-10</v>
      </c>
    </row>
    <row r="148" spans="1:9">
      <c r="A148" s="295">
        <f t="shared" si="38"/>
        <v>131</v>
      </c>
      <c r="B148" s="300">
        <f t="shared" ref="B148:B211" si="41">DATE(YEAR(B147),MONTH(B147)+1,1)</f>
        <v>3958</v>
      </c>
      <c r="C148" s="296">
        <f t="shared" ca="1" si="40"/>
        <v>9.75</v>
      </c>
      <c r="D148" s="295"/>
      <c r="E148" s="296">
        <f t="shared" si="37"/>
        <v>0</v>
      </c>
      <c r="F148" s="296">
        <f t="shared" ca="1" si="31"/>
        <v>0</v>
      </c>
      <c r="G148" s="296">
        <f t="shared" ca="1" si="32"/>
        <v>0</v>
      </c>
      <c r="H148" s="296">
        <f t="shared" ca="1" si="33"/>
        <v>9.75</v>
      </c>
      <c r="I148" s="297">
        <f t="shared" ca="1" si="39"/>
        <v>-10</v>
      </c>
    </row>
    <row r="149" spans="1:9">
      <c r="A149" s="295">
        <f t="shared" si="38"/>
        <v>132</v>
      </c>
      <c r="B149" s="300">
        <f t="shared" si="41"/>
        <v>3988</v>
      </c>
      <c r="C149" s="296">
        <f t="shared" ca="1" si="40"/>
        <v>9.75</v>
      </c>
      <c r="D149" s="296">
        <f ca="1">IF(H149&lt;0,0,0.25*(K28-L28))</f>
        <v>-0.25</v>
      </c>
      <c r="E149" s="296">
        <f t="shared" ca="1" si="37"/>
        <v>-0.25</v>
      </c>
      <c r="F149" s="296">
        <f t="shared" ca="1" si="31"/>
        <v>-0.25</v>
      </c>
      <c r="G149" s="296">
        <f t="shared" ca="1" si="32"/>
        <v>0</v>
      </c>
      <c r="H149" s="296">
        <f t="shared" ca="1" si="33"/>
        <v>10</v>
      </c>
      <c r="I149" s="297">
        <f t="shared" ca="1" si="39"/>
        <v>-10</v>
      </c>
    </row>
    <row r="150" spans="1:9">
      <c r="A150" s="295">
        <f t="shared" si="38"/>
        <v>133</v>
      </c>
      <c r="B150" s="300">
        <f t="shared" si="41"/>
        <v>4019</v>
      </c>
      <c r="C150" s="296">
        <f t="shared" ca="1" si="40"/>
        <v>10</v>
      </c>
      <c r="D150" s="296"/>
      <c r="E150" s="296">
        <f t="shared" ref="E150:E161" si="42">IF($D$10=1,
 IF(OR(MONTH(B150)=MONTH(EDATE($D$7,0)),MONTH(B150)=MONTH(EDATE($D$7,3)),MONTH(B150)=MONTH(EDATE($D$7,6)),MONTH(B150)=MONTH(EDATE($D$7,9))),(MIN($D$149,H149)),0),
IF($D$10=0,
 IF(OR(MONTH(B150)=MONTH(EDATE($D$7,2)),MONTH(B150)=MONTH(EDATE($D$7,5)),MONTH(B150)=MONTH(EDATE($D$7,8)),MONTH(B150)=MONTH(EDATE($D$7,11))),(MIN($D$149,H149)),0)))</f>
        <v>0</v>
      </c>
      <c r="F150" s="296">
        <f t="shared" ca="1" si="31"/>
        <v>0</v>
      </c>
      <c r="G150" s="296">
        <f t="shared" ca="1" si="32"/>
        <v>0</v>
      </c>
      <c r="H150" s="296">
        <f t="shared" ca="1" si="33"/>
        <v>10</v>
      </c>
      <c r="I150" s="297">
        <f t="shared" ca="1" si="39"/>
        <v>-10</v>
      </c>
    </row>
    <row r="151" spans="1:9">
      <c r="A151" s="295">
        <f t="shared" si="38"/>
        <v>134</v>
      </c>
      <c r="B151" s="300">
        <f t="shared" si="41"/>
        <v>4050</v>
      </c>
      <c r="C151" s="296">
        <f t="shared" ca="1" si="40"/>
        <v>10</v>
      </c>
      <c r="D151" s="295"/>
      <c r="E151" s="296">
        <f t="shared" si="42"/>
        <v>0</v>
      </c>
      <c r="F151" s="296">
        <f t="shared" ca="1" si="31"/>
        <v>0</v>
      </c>
      <c r="G151" s="296">
        <f t="shared" ca="1" si="32"/>
        <v>0</v>
      </c>
      <c r="H151" s="296">
        <f t="shared" ca="1" si="33"/>
        <v>10</v>
      </c>
      <c r="I151" s="297">
        <f t="shared" ca="1" si="39"/>
        <v>-10</v>
      </c>
    </row>
    <row r="152" spans="1:9">
      <c r="A152" s="295">
        <f t="shared" si="38"/>
        <v>135</v>
      </c>
      <c r="B152" s="300">
        <f t="shared" si="41"/>
        <v>4078</v>
      </c>
      <c r="C152" s="296">
        <f t="shared" ca="1" si="40"/>
        <v>10</v>
      </c>
      <c r="D152" s="295"/>
      <c r="E152" s="296">
        <f t="shared" ca="1" si="42"/>
        <v>-0.25</v>
      </c>
      <c r="F152" s="296">
        <f t="shared" ca="1" si="31"/>
        <v>-0.25</v>
      </c>
      <c r="G152" s="296">
        <f t="shared" ca="1" si="32"/>
        <v>0</v>
      </c>
      <c r="H152" s="296">
        <f t="shared" ca="1" si="33"/>
        <v>10.25</v>
      </c>
      <c r="I152" s="297">
        <f t="shared" ca="1" si="39"/>
        <v>-10</v>
      </c>
    </row>
    <row r="153" spans="1:9">
      <c r="A153" s="295">
        <f t="shared" si="38"/>
        <v>136</v>
      </c>
      <c r="B153" s="300">
        <f t="shared" si="41"/>
        <v>4109</v>
      </c>
      <c r="C153" s="296">
        <f t="shared" ca="1" si="40"/>
        <v>10.25</v>
      </c>
      <c r="D153" s="295"/>
      <c r="E153" s="296">
        <f t="shared" si="42"/>
        <v>0</v>
      </c>
      <c r="F153" s="296">
        <f t="shared" ca="1" si="31"/>
        <v>0</v>
      </c>
      <c r="G153" s="296">
        <f t="shared" ca="1" si="32"/>
        <v>0</v>
      </c>
      <c r="H153" s="296">
        <f t="shared" ca="1" si="33"/>
        <v>10.25</v>
      </c>
      <c r="I153" s="297">
        <f t="shared" ca="1" si="39"/>
        <v>-10</v>
      </c>
    </row>
    <row r="154" spans="1:9">
      <c r="A154" s="295">
        <f t="shared" si="38"/>
        <v>137</v>
      </c>
      <c r="B154" s="300">
        <f t="shared" si="41"/>
        <v>4139</v>
      </c>
      <c r="C154" s="296">
        <f t="shared" ca="1" si="40"/>
        <v>10.25</v>
      </c>
      <c r="D154" s="295"/>
      <c r="E154" s="296">
        <f t="shared" si="42"/>
        <v>0</v>
      </c>
      <c r="F154" s="296">
        <f t="shared" ca="1" si="31"/>
        <v>0</v>
      </c>
      <c r="G154" s="296">
        <f t="shared" ca="1" si="32"/>
        <v>0</v>
      </c>
      <c r="H154" s="296">
        <f t="shared" ca="1" si="33"/>
        <v>10.25</v>
      </c>
      <c r="I154" s="297">
        <f t="shared" ca="1" si="39"/>
        <v>-10</v>
      </c>
    </row>
    <row r="155" spans="1:9">
      <c r="A155" s="295">
        <f t="shared" si="38"/>
        <v>138</v>
      </c>
      <c r="B155" s="300">
        <f t="shared" si="41"/>
        <v>4170</v>
      </c>
      <c r="C155" s="296">
        <f t="shared" ca="1" si="40"/>
        <v>10.25</v>
      </c>
      <c r="D155" s="295"/>
      <c r="E155" s="296">
        <f t="shared" ca="1" si="42"/>
        <v>-0.25</v>
      </c>
      <c r="F155" s="296">
        <f t="shared" ca="1" si="31"/>
        <v>-0.25</v>
      </c>
      <c r="G155" s="296">
        <f t="shared" ca="1" si="32"/>
        <v>0</v>
      </c>
      <c r="H155" s="296">
        <f t="shared" ca="1" si="33"/>
        <v>10.5</v>
      </c>
      <c r="I155" s="297">
        <f t="shared" ca="1" si="39"/>
        <v>-11</v>
      </c>
    </row>
    <row r="156" spans="1:9">
      <c r="A156" s="295">
        <f t="shared" si="38"/>
        <v>139</v>
      </c>
      <c r="B156" s="300">
        <f t="shared" si="41"/>
        <v>4200</v>
      </c>
      <c r="C156" s="296">
        <f t="shared" ca="1" si="40"/>
        <v>10.5</v>
      </c>
      <c r="D156" s="295"/>
      <c r="E156" s="296">
        <f t="shared" si="42"/>
        <v>0</v>
      </c>
      <c r="F156" s="296">
        <f t="shared" ca="1" si="31"/>
        <v>0</v>
      </c>
      <c r="G156" s="296">
        <f t="shared" ca="1" si="32"/>
        <v>0</v>
      </c>
      <c r="H156" s="296">
        <f t="shared" ca="1" si="33"/>
        <v>10.5</v>
      </c>
      <c r="I156" s="297">
        <f t="shared" ca="1" si="39"/>
        <v>-11</v>
      </c>
    </row>
    <row r="157" spans="1:9">
      <c r="A157" s="295">
        <f t="shared" si="38"/>
        <v>140</v>
      </c>
      <c r="B157" s="300">
        <f t="shared" si="41"/>
        <v>4231</v>
      </c>
      <c r="C157" s="296">
        <f t="shared" ca="1" si="40"/>
        <v>10.5</v>
      </c>
      <c r="D157" s="295"/>
      <c r="E157" s="296">
        <f t="shared" si="42"/>
        <v>0</v>
      </c>
      <c r="F157" s="296">
        <f t="shared" ca="1" si="31"/>
        <v>0</v>
      </c>
      <c r="G157" s="296">
        <f t="shared" ca="1" si="32"/>
        <v>0</v>
      </c>
      <c r="H157" s="296">
        <f t="shared" ca="1" si="33"/>
        <v>10.5</v>
      </c>
      <c r="I157" s="297">
        <f t="shared" ca="1" si="39"/>
        <v>-11</v>
      </c>
    </row>
    <row r="158" spans="1:9">
      <c r="A158" s="295">
        <f t="shared" si="38"/>
        <v>141</v>
      </c>
      <c r="B158" s="300">
        <f t="shared" si="41"/>
        <v>4262</v>
      </c>
      <c r="C158" s="296">
        <f t="shared" ca="1" si="40"/>
        <v>10.5</v>
      </c>
      <c r="D158" s="295"/>
      <c r="E158" s="296">
        <f t="shared" ca="1" si="42"/>
        <v>-0.25</v>
      </c>
      <c r="F158" s="296">
        <f t="shared" ref="F158:F221" ca="1" si="43">IF(E158="","",E158-G158)</f>
        <v>-0.25</v>
      </c>
      <c r="G158" s="296">
        <f t="shared" ref="G158:G221" ca="1" si="44">ROUND((C158-E158)*$D$5,3)</f>
        <v>0</v>
      </c>
      <c r="H158" s="296">
        <f t="shared" ref="H158:H221" ca="1" si="45">IF(E158="","",ROUND(H157-F158,4))</f>
        <v>10.75</v>
      </c>
      <c r="I158" s="297">
        <f t="shared" ca="1" si="39"/>
        <v>-11</v>
      </c>
    </row>
    <row r="159" spans="1:9">
      <c r="A159" s="295">
        <f t="shared" si="38"/>
        <v>142</v>
      </c>
      <c r="B159" s="300">
        <f t="shared" si="41"/>
        <v>4292</v>
      </c>
      <c r="C159" s="296">
        <f t="shared" ca="1" si="40"/>
        <v>10.75</v>
      </c>
      <c r="D159" s="295"/>
      <c r="E159" s="296">
        <f t="shared" si="42"/>
        <v>0</v>
      </c>
      <c r="F159" s="296">
        <f t="shared" ca="1" si="43"/>
        <v>0</v>
      </c>
      <c r="G159" s="296">
        <f t="shared" ca="1" si="44"/>
        <v>0</v>
      </c>
      <c r="H159" s="296">
        <f t="shared" ca="1" si="45"/>
        <v>10.75</v>
      </c>
      <c r="I159" s="297">
        <f t="shared" ca="1" si="39"/>
        <v>-11</v>
      </c>
    </row>
    <row r="160" spans="1:9">
      <c r="A160" s="295">
        <f t="shared" si="38"/>
        <v>143</v>
      </c>
      <c r="B160" s="300">
        <f t="shared" si="41"/>
        <v>4323</v>
      </c>
      <c r="C160" s="296">
        <f t="shared" ca="1" si="40"/>
        <v>10.75</v>
      </c>
      <c r="D160" s="295"/>
      <c r="E160" s="296">
        <f t="shared" si="42"/>
        <v>0</v>
      </c>
      <c r="F160" s="296">
        <f t="shared" ca="1" si="43"/>
        <v>0</v>
      </c>
      <c r="G160" s="296">
        <f t="shared" ca="1" si="44"/>
        <v>0</v>
      </c>
      <c r="H160" s="296">
        <f t="shared" ca="1" si="45"/>
        <v>10.75</v>
      </c>
      <c r="I160" s="297">
        <f t="shared" ca="1" si="39"/>
        <v>-11</v>
      </c>
    </row>
    <row r="161" spans="1:9">
      <c r="A161" s="295">
        <f t="shared" si="38"/>
        <v>144</v>
      </c>
      <c r="B161" s="300">
        <f t="shared" si="41"/>
        <v>4353</v>
      </c>
      <c r="C161" s="296">
        <f t="shared" ca="1" si="40"/>
        <v>10.75</v>
      </c>
      <c r="D161" s="296">
        <f ca="1">IF(H161&lt;0,0,0.25*(K29-L29))</f>
        <v>-0.25</v>
      </c>
      <c r="E161" s="296">
        <f t="shared" ca="1" si="42"/>
        <v>-0.25</v>
      </c>
      <c r="F161" s="296">
        <f t="shared" ca="1" si="43"/>
        <v>-0.25</v>
      </c>
      <c r="G161" s="296">
        <f t="shared" ca="1" si="44"/>
        <v>0</v>
      </c>
      <c r="H161" s="296">
        <f t="shared" ca="1" si="45"/>
        <v>11</v>
      </c>
      <c r="I161" s="297">
        <f t="shared" ca="1" si="39"/>
        <v>-11</v>
      </c>
    </row>
    <row r="162" spans="1:9">
      <c r="A162" s="295">
        <f t="shared" si="38"/>
        <v>145</v>
      </c>
      <c r="B162" s="300">
        <f t="shared" si="41"/>
        <v>4384</v>
      </c>
      <c r="C162" s="296">
        <f t="shared" ca="1" si="40"/>
        <v>11</v>
      </c>
      <c r="D162" s="296"/>
      <c r="E162" s="296">
        <f t="shared" ref="E162:E173" si="46">IF($D$10=1,
 IF(OR(MONTH(B162)=MONTH(EDATE($D$7,0)),MONTH(B162)=MONTH(EDATE($D$7,3)),MONTH(B162)=MONTH(EDATE($D$7,6)),MONTH(B162)=MONTH(EDATE($D$7,9))),(MIN($D$161,H161)),0),
IF($D$10=0,
 IF(OR(MONTH(B162)=MONTH(EDATE($D$7,2)),MONTH(B162)=MONTH(EDATE($D$7,5)),MONTH(B162)=MONTH(EDATE($D$7,8)),MONTH(B162)=MONTH(EDATE($D$7,11))),(MIN($D$161,H161)),0)))</f>
        <v>0</v>
      </c>
      <c r="F162" s="296">
        <f t="shared" ca="1" si="43"/>
        <v>0</v>
      </c>
      <c r="G162" s="296">
        <f t="shared" ca="1" si="44"/>
        <v>0</v>
      </c>
      <c r="H162" s="296">
        <f t="shared" ca="1" si="45"/>
        <v>11</v>
      </c>
      <c r="I162" s="297">
        <f t="shared" ca="1" si="39"/>
        <v>-11</v>
      </c>
    </row>
    <row r="163" spans="1:9">
      <c r="A163" s="295">
        <f t="shared" si="38"/>
        <v>146</v>
      </c>
      <c r="B163" s="300">
        <f t="shared" si="41"/>
        <v>4415</v>
      </c>
      <c r="C163" s="296">
        <f t="shared" ca="1" si="40"/>
        <v>11</v>
      </c>
      <c r="D163" s="296"/>
      <c r="E163" s="296">
        <f t="shared" si="46"/>
        <v>0</v>
      </c>
      <c r="F163" s="296">
        <f t="shared" ca="1" si="43"/>
        <v>0</v>
      </c>
      <c r="G163" s="296">
        <f t="shared" ca="1" si="44"/>
        <v>0</v>
      </c>
      <c r="H163" s="296">
        <f t="shared" ca="1" si="45"/>
        <v>11</v>
      </c>
      <c r="I163" s="297">
        <f t="shared" ca="1" si="39"/>
        <v>-11</v>
      </c>
    </row>
    <row r="164" spans="1:9">
      <c r="A164" s="295">
        <f t="shared" si="38"/>
        <v>147</v>
      </c>
      <c r="B164" s="300">
        <f t="shared" si="41"/>
        <v>4444</v>
      </c>
      <c r="C164" s="296">
        <f t="shared" ca="1" si="40"/>
        <v>11</v>
      </c>
      <c r="D164" s="295"/>
      <c r="E164" s="296">
        <f t="shared" ca="1" si="46"/>
        <v>-0.25</v>
      </c>
      <c r="F164" s="296">
        <f t="shared" ca="1" si="43"/>
        <v>-0.25</v>
      </c>
      <c r="G164" s="296">
        <f t="shared" ca="1" si="44"/>
        <v>0</v>
      </c>
      <c r="H164" s="296">
        <f t="shared" ca="1" si="45"/>
        <v>11.25</v>
      </c>
      <c r="I164" s="297">
        <f t="shared" ca="1" si="39"/>
        <v>-11</v>
      </c>
    </row>
    <row r="165" spans="1:9">
      <c r="A165" s="295">
        <f t="shared" si="38"/>
        <v>148</v>
      </c>
      <c r="B165" s="300">
        <f t="shared" si="41"/>
        <v>4475</v>
      </c>
      <c r="C165" s="296">
        <f t="shared" ca="1" si="40"/>
        <v>11.25</v>
      </c>
      <c r="D165" s="295"/>
      <c r="E165" s="296">
        <f t="shared" si="46"/>
        <v>0</v>
      </c>
      <c r="F165" s="296">
        <f t="shared" ca="1" si="43"/>
        <v>0</v>
      </c>
      <c r="G165" s="296">
        <f t="shared" ca="1" si="44"/>
        <v>0</v>
      </c>
      <c r="H165" s="296">
        <f t="shared" ca="1" si="45"/>
        <v>11.25</v>
      </c>
      <c r="I165" s="297">
        <f t="shared" ca="1" si="39"/>
        <v>-11</v>
      </c>
    </row>
    <row r="166" spans="1:9">
      <c r="A166" s="295">
        <f t="shared" si="38"/>
        <v>149</v>
      </c>
      <c r="B166" s="300">
        <f t="shared" si="41"/>
        <v>4505</v>
      </c>
      <c r="C166" s="296">
        <f t="shared" ca="1" si="40"/>
        <v>11.25</v>
      </c>
      <c r="D166" s="295"/>
      <c r="E166" s="296">
        <f t="shared" si="46"/>
        <v>0</v>
      </c>
      <c r="F166" s="296">
        <f t="shared" ca="1" si="43"/>
        <v>0</v>
      </c>
      <c r="G166" s="296">
        <f t="shared" ca="1" si="44"/>
        <v>0</v>
      </c>
      <c r="H166" s="296">
        <f t="shared" ca="1" si="45"/>
        <v>11.25</v>
      </c>
      <c r="I166" s="297">
        <f t="shared" ca="1" si="39"/>
        <v>-11</v>
      </c>
    </row>
    <row r="167" spans="1:9">
      <c r="A167" s="295">
        <f t="shared" si="38"/>
        <v>150</v>
      </c>
      <c r="B167" s="300">
        <f t="shared" si="41"/>
        <v>4536</v>
      </c>
      <c r="C167" s="296">
        <f t="shared" ca="1" si="40"/>
        <v>11.25</v>
      </c>
      <c r="D167" s="295"/>
      <c r="E167" s="296">
        <f t="shared" ca="1" si="46"/>
        <v>-0.25</v>
      </c>
      <c r="F167" s="296">
        <f t="shared" ca="1" si="43"/>
        <v>-0.25</v>
      </c>
      <c r="G167" s="296">
        <f t="shared" ca="1" si="44"/>
        <v>0</v>
      </c>
      <c r="H167" s="296">
        <f t="shared" ca="1" si="45"/>
        <v>11.5</v>
      </c>
      <c r="I167" s="297">
        <f t="shared" ca="1" si="39"/>
        <v>-12</v>
      </c>
    </row>
    <row r="168" spans="1:9">
      <c r="A168" s="295">
        <f t="shared" si="38"/>
        <v>151</v>
      </c>
      <c r="B168" s="300">
        <f t="shared" si="41"/>
        <v>4566</v>
      </c>
      <c r="C168" s="296">
        <f t="shared" ca="1" si="40"/>
        <v>11.5</v>
      </c>
      <c r="D168" s="295"/>
      <c r="E168" s="296">
        <f t="shared" si="46"/>
        <v>0</v>
      </c>
      <c r="F168" s="296">
        <f t="shared" ca="1" si="43"/>
        <v>0</v>
      </c>
      <c r="G168" s="296">
        <f t="shared" ca="1" si="44"/>
        <v>0</v>
      </c>
      <c r="H168" s="296">
        <f t="shared" ca="1" si="45"/>
        <v>11.5</v>
      </c>
      <c r="I168" s="297">
        <f t="shared" ca="1" si="39"/>
        <v>-12</v>
      </c>
    </row>
    <row r="169" spans="1:9">
      <c r="A169" s="295">
        <f t="shared" si="38"/>
        <v>152</v>
      </c>
      <c r="B169" s="300">
        <f t="shared" si="41"/>
        <v>4597</v>
      </c>
      <c r="C169" s="296">
        <f t="shared" ca="1" si="40"/>
        <v>11.5</v>
      </c>
      <c r="D169" s="295"/>
      <c r="E169" s="296">
        <f t="shared" si="46"/>
        <v>0</v>
      </c>
      <c r="F169" s="296">
        <f t="shared" ca="1" si="43"/>
        <v>0</v>
      </c>
      <c r="G169" s="296">
        <f t="shared" ca="1" si="44"/>
        <v>0</v>
      </c>
      <c r="H169" s="296">
        <f t="shared" ca="1" si="45"/>
        <v>11.5</v>
      </c>
      <c r="I169" s="297">
        <f t="shared" ca="1" si="39"/>
        <v>-12</v>
      </c>
    </row>
    <row r="170" spans="1:9">
      <c r="A170" s="295">
        <f t="shared" si="38"/>
        <v>153</v>
      </c>
      <c r="B170" s="300">
        <f t="shared" si="41"/>
        <v>4628</v>
      </c>
      <c r="C170" s="296">
        <f t="shared" ca="1" si="40"/>
        <v>11.5</v>
      </c>
      <c r="D170" s="295"/>
      <c r="E170" s="296">
        <f t="shared" ca="1" si="46"/>
        <v>-0.25</v>
      </c>
      <c r="F170" s="296">
        <f t="shared" ca="1" si="43"/>
        <v>-0.25</v>
      </c>
      <c r="G170" s="296">
        <f t="shared" ca="1" si="44"/>
        <v>0</v>
      </c>
      <c r="H170" s="296">
        <f t="shared" ca="1" si="45"/>
        <v>11.75</v>
      </c>
      <c r="I170" s="297">
        <f t="shared" ca="1" si="39"/>
        <v>-12</v>
      </c>
    </row>
    <row r="171" spans="1:9">
      <c r="A171" s="295">
        <f t="shared" si="38"/>
        <v>154</v>
      </c>
      <c r="B171" s="300">
        <f t="shared" si="41"/>
        <v>4658</v>
      </c>
      <c r="C171" s="296">
        <f t="shared" ca="1" si="40"/>
        <v>11.75</v>
      </c>
      <c r="D171" s="295"/>
      <c r="E171" s="296">
        <f t="shared" si="46"/>
        <v>0</v>
      </c>
      <c r="F171" s="296">
        <f t="shared" ca="1" si="43"/>
        <v>0</v>
      </c>
      <c r="G171" s="296">
        <f t="shared" ca="1" si="44"/>
        <v>0</v>
      </c>
      <c r="H171" s="296">
        <f t="shared" ca="1" si="45"/>
        <v>11.75</v>
      </c>
      <c r="I171" s="297">
        <f t="shared" ca="1" si="39"/>
        <v>-12</v>
      </c>
    </row>
    <row r="172" spans="1:9">
      <c r="A172" s="295">
        <f t="shared" si="38"/>
        <v>155</v>
      </c>
      <c r="B172" s="300">
        <f t="shared" si="41"/>
        <v>4689</v>
      </c>
      <c r="C172" s="296">
        <f t="shared" ca="1" si="40"/>
        <v>11.75</v>
      </c>
      <c r="D172" s="295"/>
      <c r="E172" s="296">
        <f t="shared" si="46"/>
        <v>0</v>
      </c>
      <c r="F172" s="296">
        <f t="shared" ca="1" si="43"/>
        <v>0</v>
      </c>
      <c r="G172" s="296">
        <f t="shared" ca="1" si="44"/>
        <v>0</v>
      </c>
      <c r="H172" s="296">
        <f t="shared" ca="1" si="45"/>
        <v>11.75</v>
      </c>
      <c r="I172" s="297">
        <f t="shared" ca="1" si="39"/>
        <v>-12</v>
      </c>
    </row>
    <row r="173" spans="1:9">
      <c r="A173" s="295">
        <f t="shared" si="38"/>
        <v>156</v>
      </c>
      <c r="B173" s="300">
        <f t="shared" si="41"/>
        <v>4719</v>
      </c>
      <c r="C173" s="296">
        <f t="shared" ca="1" si="40"/>
        <v>11.75</v>
      </c>
      <c r="D173" s="296">
        <f ca="1">IF(H173&lt;0,0,0.25*(K30-L30))</f>
        <v>-0.25</v>
      </c>
      <c r="E173" s="296">
        <f t="shared" ca="1" si="46"/>
        <v>-0.25</v>
      </c>
      <c r="F173" s="296">
        <f t="shared" ca="1" si="43"/>
        <v>-0.25</v>
      </c>
      <c r="G173" s="296">
        <f t="shared" ca="1" si="44"/>
        <v>0</v>
      </c>
      <c r="H173" s="296">
        <f t="shared" ca="1" si="45"/>
        <v>12</v>
      </c>
      <c r="I173" s="297">
        <f t="shared" ca="1" si="39"/>
        <v>-12</v>
      </c>
    </row>
    <row r="174" spans="1:9">
      <c r="A174" s="295">
        <f t="shared" si="38"/>
        <v>157</v>
      </c>
      <c r="B174" s="300">
        <f t="shared" si="41"/>
        <v>4750</v>
      </c>
      <c r="C174" s="296">
        <f t="shared" ca="1" si="40"/>
        <v>12</v>
      </c>
      <c r="D174" s="296"/>
      <c r="E174" s="296">
        <f t="shared" ref="E174:E185" si="47">IF($D$10=1,
 IF(OR(MONTH(B174)=MONTH(EDATE($D$7,0)),MONTH(B174)=MONTH(EDATE($D$7,3)),MONTH(B174)=MONTH(EDATE($D$7,6)),MONTH(B174)=MONTH(EDATE($D$7,9))),(MIN($D$173,H173)),0),
IF($D$10=0,
 IF(OR(MONTH(B174)=MONTH(EDATE($D$7,2)),MONTH(B174)=MONTH(EDATE($D$7,5)),MONTH(B174)=MONTH(EDATE($D$7,8)),MONTH(B174)=MONTH(EDATE($D$7,11))),(MIN($D$173,H173)),0)))</f>
        <v>0</v>
      </c>
      <c r="F174" s="296">
        <f t="shared" ca="1" si="43"/>
        <v>0</v>
      </c>
      <c r="G174" s="296">
        <f t="shared" ca="1" si="44"/>
        <v>0</v>
      </c>
      <c r="H174" s="296">
        <f t="shared" ca="1" si="45"/>
        <v>12</v>
      </c>
      <c r="I174" s="297">
        <f t="shared" ca="1" si="39"/>
        <v>-12</v>
      </c>
    </row>
    <row r="175" spans="1:9">
      <c r="A175" s="295">
        <f t="shared" si="38"/>
        <v>158</v>
      </c>
      <c r="B175" s="300">
        <f t="shared" si="41"/>
        <v>4781</v>
      </c>
      <c r="C175" s="296">
        <f t="shared" ca="1" si="40"/>
        <v>12</v>
      </c>
      <c r="D175" s="295"/>
      <c r="E175" s="296">
        <f t="shared" si="47"/>
        <v>0</v>
      </c>
      <c r="F175" s="296">
        <f t="shared" ca="1" si="43"/>
        <v>0</v>
      </c>
      <c r="G175" s="296">
        <f t="shared" ca="1" si="44"/>
        <v>0</v>
      </c>
      <c r="H175" s="296">
        <f t="shared" ca="1" si="45"/>
        <v>12</v>
      </c>
      <c r="I175" s="297">
        <f t="shared" ca="1" si="39"/>
        <v>-12</v>
      </c>
    </row>
    <row r="176" spans="1:9">
      <c r="A176" s="295">
        <f t="shared" si="38"/>
        <v>159</v>
      </c>
      <c r="B176" s="300">
        <f t="shared" si="41"/>
        <v>4809</v>
      </c>
      <c r="C176" s="296">
        <f t="shared" ca="1" si="40"/>
        <v>12</v>
      </c>
      <c r="D176" s="295"/>
      <c r="E176" s="296">
        <f t="shared" ca="1" si="47"/>
        <v>-0.25</v>
      </c>
      <c r="F176" s="296">
        <f t="shared" ca="1" si="43"/>
        <v>-0.25</v>
      </c>
      <c r="G176" s="296">
        <f t="shared" ca="1" si="44"/>
        <v>0</v>
      </c>
      <c r="H176" s="296">
        <f t="shared" ca="1" si="45"/>
        <v>12.25</v>
      </c>
      <c r="I176" s="297">
        <f t="shared" ca="1" si="39"/>
        <v>-12</v>
      </c>
    </row>
    <row r="177" spans="1:9">
      <c r="A177" s="295">
        <f t="shared" si="38"/>
        <v>160</v>
      </c>
      <c r="B177" s="300">
        <f t="shared" si="41"/>
        <v>4840</v>
      </c>
      <c r="C177" s="296">
        <f t="shared" ca="1" si="40"/>
        <v>12.25</v>
      </c>
      <c r="D177" s="295"/>
      <c r="E177" s="296">
        <f t="shared" si="47"/>
        <v>0</v>
      </c>
      <c r="F177" s="296">
        <f t="shared" ca="1" si="43"/>
        <v>0</v>
      </c>
      <c r="G177" s="296">
        <f t="shared" ca="1" si="44"/>
        <v>0</v>
      </c>
      <c r="H177" s="296">
        <f t="shared" ca="1" si="45"/>
        <v>12.25</v>
      </c>
      <c r="I177" s="297">
        <f t="shared" ca="1" si="39"/>
        <v>-12</v>
      </c>
    </row>
    <row r="178" spans="1:9">
      <c r="A178" s="295">
        <f t="shared" si="38"/>
        <v>161</v>
      </c>
      <c r="B178" s="300">
        <f t="shared" si="41"/>
        <v>4870</v>
      </c>
      <c r="C178" s="296">
        <f t="shared" ca="1" si="40"/>
        <v>12.25</v>
      </c>
      <c r="D178" s="295"/>
      <c r="E178" s="296">
        <f t="shared" si="47"/>
        <v>0</v>
      </c>
      <c r="F178" s="296">
        <f t="shared" ca="1" si="43"/>
        <v>0</v>
      </c>
      <c r="G178" s="296">
        <f t="shared" ca="1" si="44"/>
        <v>0</v>
      </c>
      <c r="H178" s="296">
        <f t="shared" ca="1" si="45"/>
        <v>12.25</v>
      </c>
      <c r="I178" s="297">
        <f t="shared" ca="1" si="39"/>
        <v>-12</v>
      </c>
    </row>
    <row r="179" spans="1:9">
      <c r="A179" s="295">
        <f t="shared" si="38"/>
        <v>162</v>
      </c>
      <c r="B179" s="300">
        <f t="shared" si="41"/>
        <v>4901</v>
      </c>
      <c r="C179" s="296">
        <f t="shared" ca="1" si="40"/>
        <v>12.25</v>
      </c>
      <c r="D179" s="295"/>
      <c r="E179" s="296">
        <f t="shared" ca="1" si="47"/>
        <v>-0.25</v>
      </c>
      <c r="F179" s="296">
        <f t="shared" ca="1" si="43"/>
        <v>-0.25</v>
      </c>
      <c r="G179" s="296">
        <f t="shared" ca="1" si="44"/>
        <v>0</v>
      </c>
      <c r="H179" s="296">
        <f t="shared" ca="1" si="45"/>
        <v>12.5</v>
      </c>
      <c r="I179" s="297">
        <f t="shared" ca="1" si="39"/>
        <v>-13</v>
      </c>
    </row>
    <row r="180" spans="1:9">
      <c r="A180" s="295">
        <f t="shared" si="38"/>
        <v>163</v>
      </c>
      <c r="B180" s="300">
        <f t="shared" si="41"/>
        <v>4931</v>
      </c>
      <c r="C180" s="296">
        <f t="shared" ca="1" si="40"/>
        <v>12.5</v>
      </c>
      <c r="D180" s="295"/>
      <c r="E180" s="296">
        <f t="shared" si="47"/>
        <v>0</v>
      </c>
      <c r="F180" s="296">
        <f t="shared" ca="1" si="43"/>
        <v>0</v>
      </c>
      <c r="G180" s="296">
        <f t="shared" ca="1" si="44"/>
        <v>0</v>
      </c>
      <c r="H180" s="296">
        <f t="shared" ca="1" si="45"/>
        <v>12.5</v>
      </c>
      <c r="I180" s="297">
        <f t="shared" ca="1" si="39"/>
        <v>-13</v>
      </c>
    </row>
    <row r="181" spans="1:9">
      <c r="A181" s="295">
        <f t="shared" si="38"/>
        <v>164</v>
      </c>
      <c r="B181" s="300">
        <f t="shared" si="41"/>
        <v>4962</v>
      </c>
      <c r="C181" s="296">
        <f t="shared" ca="1" si="40"/>
        <v>12.5</v>
      </c>
      <c r="D181" s="295"/>
      <c r="E181" s="296">
        <f t="shared" si="47"/>
        <v>0</v>
      </c>
      <c r="F181" s="296">
        <f t="shared" ca="1" si="43"/>
        <v>0</v>
      </c>
      <c r="G181" s="296">
        <f t="shared" ca="1" si="44"/>
        <v>0</v>
      </c>
      <c r="H181" s="296">
        <f t="shared" ca="1" si="45"/>
        <v>12.5</v>
      </c>
      <c r="I181" s="297">
        <f t="shared" ca="1" si="39"/>
        <v>-13</v>
      </c>
    </row>
    <row r="182" spans="1:9">
      <c r="A182" s="295">
        <f t="shared" si="38"/>
        <v>165</v>
      </c>
      <c r="B182" s="300">
        <f t="shared" si="41"/>
        <v>4993</v>
      </c>
      <c r="C182" s="296">
        <f t="shared" ca="1" si="40"/>
        <v>12.5</v>
      </c>
      <c r="D182" s="295"/>
      <c r="E182" s="296">
        <f t="shared" ca="1" si="47"/>
        <v>-0.25</v>
      </c>
      <c r="F182" s="296">
        <f t="shared" ca="1" si="43"/>
        <v>-0.25</v>
      </c>
      <c r="G182" s="296">
        <f t="shared" ca="1" si="44"/>
        <v>0</v>
      </c>
      <c r="H182" s="296">
        <f t="shared" ca="1" si="45"/>
        <v>12.75</v>
      </c>
      <c r="I182" s="297">
        <f t="shared" ca="1" si="39"/>
        <v>-13</v>
      </c>
    </row>
    <row r="183" spans="1:9">
      <c r="A183" s="295">
        <f t="shared" si="38"/>
        <v>166</v>
      </c>
      <c r="B183" s="300">
        <f t="shared" si="41"/>
        <v>5023</v>
      </c>
      <c r="C183" s="296">
        <f t="shared" ca="1" si="40"/>
        <v>12.75</v>
      </c>
      <c r="D183" s="295"/>
      <c r="E183" s="296">
        <f t="shared" si="47"/>
        <v>0</v>
      </c>
      <c r="F183" s="296">
        <f t="shared" ca="1" si="43"/>
        <v>0</v>
      </c>
      <c r="G183" s="296">
        <f t="shared" ca="1" si="44"/>
        <v>0</v>
      </c>
      <c r="H183" s="296">
        <f t="shared" ca="1" si="45"/>
        <v>12.75</v>
      </c>
      <c r="I183" s="297">
        <f t="shared" ca="1" si="39"/>
        <v>-13</v>
      </c>
    </row>
    <row r="184" spans="1:9">
      <c r="A184" s="295">
        <f t="shared" si="38"/>
        <v>167</v>
      </c>
      <c r="B184" s="300">
        <f t="shared" si="41"/>
        <v>5054</v>
      </c>
      <c r="C184" s="296">
        <f t="shared" ca="1" si="40"/>
        <v>12.75</v>
      </c>
      <c r="D184" s="295"/>
      <c r="E184" s="296">
        <f t="shared" si="47"/>
        <v>0</v>
      </c>
      <c r="F184" s="296">
        <f t="shared" ca="1" si="43"/>
        <v>0</v>
      </c>
      <c r="G184" s="296">
        <f t="shared" ca="1" si="44"/>
        <v>0</v>
      </c>
      <c r="H184" s="296">
        <f t="shared" ca="1" si="45"/>
        <v>12.75</v>
      </c>
      <c r="I184" s="297">
        <f t="shared" ca="1" si="39"/>
        <v>-13</v>
      </c>
    </row>
    <row r="185" spans="1:9">
      <c r="A185" s="295">
        <f t="shared" si="38"/>
        <v>168</v>
      </c>
      <c r="B185" s="300">
        <f t="shared" si="41"/>
        <v>5084</v>
      </c>
      <c r="C185" s="296">
        <f t="shared" ca="1" si="40"/>
        <v>12.75</v>
      </c>
      <c r="D185" s="296">
        <f ca="1">IF(H185&lt;0,0,0.25*(K31-L31))</f>
        <v>-0.25</v>
      </c>
      <c r="E185" s="296">
        <f t="shared" ca="1" si="47"/>
        <v>-0.25</v>
      </c>
      <c r="F185" s="296">
        <f t="shared" ca="1" si="43"/>
        <v>-0.25</v>
      </c>
      <c r="G185" s="296">
        <f t="shared" ca="1" si="44"/>
        <v>0</v>
      </c>
      <c r="H185" s="296">
        <f t="shared" ca="1" si="45"/>
        <v>13</v>
      </c>
      <c r="I185" s="297">
        <f t="shared" ca="1" si="39"/>
        <v>-13</v>
      </c>
    </row>
    <row r="186" spans="1:9">
      <c r="A186" s="295">
        <f t="shared" si="38"/>
        <v>169</v>
      </c>
      <c r="B186" s="300">
        <f t="shared" si="41"/>
        <v>5115</v>
      </c>
      <c r="C186" s="296">
        <f t="shared" ca="1" si="40"/>
        <v>13</v>
      </c>
      <c r="D186" s="296"/>
      <c r="E186" s="296">
        <f t="shared" ref="E186:E197" si="48">IF($D$10=1,
 IF(OR(MONTH(B186)=MONTH(EDATE($D$7,0)),MONTH(B186)=MONTH(EDATE($D$7,3)),MONTH(B186)=MONTH(EDATE($D$7,6)),MONTH(B186)=MONTH(EDATE($D$7,9))),(MIN($D$185,H185)),0),
IF($D$10=0,
 IF(OR(MONTH(B186)=MONTH(EDATE($D$7,2)),MONTH(B186)=MONTH(EDATE($D$7,5)),MONTH(B186)=MONTH(EDATE($D$7,8)),MONTH(B186)=MONTH(EDATE($D$7,11))),(MIN($D$185,H185)),0)))</f>
        <v>0</v>
      </c>
      <c r="F186" s="296">
        <f t="shared" ca="1" si="43"/>
        <v>0</v>
      </c>
      <c r="G186" s="296">
        <f t="shared" ca="1" si="44"/>
        <v>0</v>
      </c>
      <c r="H186" s="296">
        <f t="shared" ca="1" si="45"/>
        <v>13</v>
      </c>
      <c r="I186" s="297">
        <f t="shared" ca="1" si="39"/>
        <v>-13</v>
      </c>
    </row>
    <row r="187" spans="1:9">
      <c r="A187" s="295">
        <f t="shared" si="38"/>
        <v>170</v>
      </c>
      <c r="B187" s="300">
        <f t="shared" si="41"/>
        <v>5146</v>
      </c>
      <c r="C187" s="296">
        <f t="shared" ca="1" si="40"/>
        <v>13</v>
      </c>
      <c r="D187" s="295"/>
      <c r="E187" s="296">
        <f t="shared" si="48"/>
        <v>0</v>
      </c>
      <c r="F187" s="296">
        <f t="shared" ca="1" si="43"/>
        <v>0</v>
      </c>
      <c r="G187" s="296">
        <f t="shared" ca="1" si="44"/>
        <v>0</v>
      </c>
      <c r="H187" s="296">
        <f t="shared" ca="1" si="45"/>
        <v>13</v>
      </c>
      <c r="I187" s="297">
        <f t="shared" ca="1" si="39"/>
        <v>-13</v>
      </c>
    </row>
    <row r="188" spans="1:9">
      <c r="A188" s="295">
        <f t="shared" si="38"/>
        <v>171</v>
      </c>
      <c r="B188" s="300">
        <f t="shared" si="41"/>
        <v>5174</v>
      </c>
      <c r="C188" s="296">
        <f t="shared" ca="1" si="40"/>
        <v>13</v>
      </c>
      <c r="D188" s="295"/>
      <c r="E188" s="296">
        <f t="shared" ca="1" si="48"/>
        <v>-0.25</v>
      </c>
      <c r="F188" s="296">
        <f t="shared" ca="1" si="43"/>
        <v>-0.25</v>
      </c>
      <c r="G188" s="296">
        <f t="shared" ca="1" si="44"/>
        <v>0</v>
      </c>
      <c r="H188" s="296">
        <f t="shared" ca="1" si="45"/>
        <v>13.25</v>
      </c>
      <c r="I188" s="297">
        <f t="shared" ca="1" si="39"/>
        <v>-13</v>
      </c>
    </row>
    <row r="189" spans="1:9">
      <c r="A189" s="295">
        <f t="shared" si="38"/>
        <v>172</v>
      </c>
      <c r="B189" s="300">
        <f t="shared" si="41"/>
        <v>5205</v>
      </c>
      <c r="C189" s="296">
        <f t="shared" ca="1" si="40"/>
        <v>13.25</v>
      </c>
      <c r="D189" s="295"/>
      <c r="E189" s="296">
        <f t="shared" si="48"/>
        <v>0</v>
      </c>
      <c r="F189" s="296">
        <f t="shared" ca="1" si="43"/>
        <v>0</v>
      </c>
      <c r="G189" s="296">
        <f t="shared" ca="1" si="44"/>
        <v>0</v>
      </c>
      <c r="H189" s="296">
        <f t="shared" ca="1" si="45"/>
        <v>13.25</v>
      </c>
      <c r="I189" s="297">
        <f t="shared" ca="1" si="39"/>
        <v>-13</v>
      </c>
    </row>
    <row r="190" spans="1:9">
      <c r="A190" s="295">
        <f t="shared" si="38"/>
        <v>173</v>
      </c>
      <c r="B190" s="300">
        <f t="shared" si="41"/>
        <v>5235</v>
      </c>
      <c r="C190" s="296">
        <f t="shared" ca="1" si="40"/>
        <v>13.25</v>
      </c>
      <c r="D190" s="295"/>
      <c r="E190" s="296">
        <f t="shared" si="48"/>
        <v>0</v>
      </c>
      <c r="F190" s="296">
        <f t="shared" ca="1" si="43"/>
        <v>0</v>
      </c>
      <c r="G190" s="296">
        <f t="shared" ca="1" si="44"/>
        <v>0</v>
      </c>
      <c r="H190" s="296">
        <f t="shared" ca="1" si="45"/>
        <v>13.25</v>
      </c>
      <c r="I190" s="297">
        <f t="shared" ca="1" si="39"/>
        <v>-13</v>
      </c>
    </row>
    <row r="191" spans="1:9">
      <c r="A191" s="295">
        <f t="shared" si="38"/>
        <v>174</v>
      </c>
      <c r="B191" s="300">
        <f t="shared" si="41"/>
        <v>5266</v>
      </c>
      <c r="C191" s="296">
        <f t="shared" ca="1" si="40"/>
        <v>13.25</v>
      </c>
      <c r="D191" s="295"/>
      <c r="E191" s="296">
        <f t="shared" ca="1" si="48"/>
        <v>-0.25</v>
      </c>
      <c r="F191" s="296">
        <f t="shared" ca="1" si="43"/>
        <v>-0.25</v>
      </c>
      <c r="G191" s="296">
        <f t="shared" ca="1" si="44"/>
        <v>0</v>
      </c>
      <c r="H191" s="296">
        <f t="shared" ca="1" si="45"/>
        <v>13.5</v>
      </c>
      <c r="I191" s="297">
        <f t="shared" ca="1" si="39"/>
        <v>-14</v>
      </c>
    </row>
    <row r="192" spans="1:9">
      <c r="A192" s="295">
        <f t="shared" si="38"/>
        <v>175</v>
      </c>
      <c r="B192" s="300">
        <f t="shared" si="41"/>
        <v>5296</v>
      </c>
      <c r="C192" s="296">
        <f t="shared" ca="1" si="40"/>
        <v>13.5</v>
      </c>
      <c r="D192" s="295"/>
      <c r="E192" s="296">
        <f t="shared" si="48"/>
        <v>0</v>
      </c>
      <c r="F192" s="296">
        <f t="shared" ca="1" si="43"/>
        <v>0</v>
      </c>
      <c r="G192" s="296">
        <f t="shared" ca="1" si="44"/>
        <v>0</v>
      </c>
      <c r="H192" s="296">
        <f t="shared" ca="1" si="45"/>
        <v>13.5</v>
      </c>
      <c r="I192" s="297">
        <f t="shared" ca="1" si="39"/>
        <v>-14</v>
      </c>
    </row>
    <row r="193" spans="1:9">
      <c r="A193" s="295">
        <f t="shared" si="38"/>
        <v>176</v>
      </c>
      <c r="B193" s="300">
        <f t="shared" si="41"/>
        <v>5327</v>
      </c>
      <c r="C193" s="296">
        <f t="shared" ca="1" si="40"/>
        <v>13.5</v>
      </c>
      <c r="D193" s="295"/>
      <c r="E193" s="296">
        <f t="shared" si="48"/>
        <v>0</v>
      </c>
      <c r="F193" s="296">
        <f t="shared" ca="1" si="43"/>
        <v>0</v>
      </c>
      <c r="G193" s="296">
        <f t="shared" ca="1" si="44"/>
        <v>0</v>
      </c>
      <c r="H193" s="296">
        <f t="shared" ca="1" si="45"/>
        <v>13.5</v>
      </c>
      <c r="I193" s="297">
        <f t="shared" ca="1" si="39"/>
        <v>-14</v>
      </c>
    </row>
    <row r="194" spans="1:9">
      <c r="A194" s="295">
        <f t="shared" si="38"/>
        <v>177</v>
      </c>
      <c r="B194" s="300">
        <f t="shared" si="41"/>
        <v>5358</v>
      </c>
      <c r="C194" s="296">
        <f t="shared" ca="1" si="40"/>
        <v>13.5</v>
      </c>
      <c r="D194" s="295"/>
      <c r="E194" s="296">
        <f t="shared" ca="1" si="48"/>
        <v>-0.25</v>
      </c>
      <c r="F194" s="296">
        <f t="shared" ca="1" si="43"/>
        <v>-0.25</v>
      </c>
      <c r="G194" s="296">
        <f t="shared" ca="1" si="44"/>
        <v>0</v>
      </c>
      <c r="H194" s="296">
        <f t="shared" ca="1" si="45"/>
        <v>13.75</v>
      </c>
      <c r="I194" s="297">
        <f t="shared" ca="1" si="39"/>
        <v>-14</v>
      </c>
    </row>
    <row r="195" spans="1:9">
      <c r="A195" s="295">
        <f t="shared" si="38"/>
        <v>178</v>
      </c>
      <c r="B195" s="300">
        <f t="shared" si="41"/>
        <v>5388</v>
      </c>
      <c r="C195" s="296">
        <f t="shared" ca="1" si="40"/>
        <v>13.75</v>
      </c>
      <c r="D195" s="295"/>
      <c r="E195" s="296">
        <f t="shared" si="48"/>
        <v>0</v>
      </c>
      <c r="F195" s="296">
        <f t="shared" ca="1" si="43"/>
        <v>0</v>
      </c>
      <c r="G195" s="296">
        <f t="shared" ca="1" si="44"/>
        <v>0</v>
      </c>
      <c r="H195" s="296">
        <f t="shared" ca="1" si="45"/>
        <v>13.75</v>
      </c>
      <c r="I195" s="297">
        <f t="shared" ca="1" si="39"/>
        <v>-14</v>
      </c>
    </row>
    <row r="196" spans="1:9">
      <c r="A196" s="295">
        <f t="shared" si="38"/>
        <v>179</v>
      </c>
      <c r="B196" s="300">
        <f t="shared" si="41"/>
        <v>5419</v>
      </c>
      <c r="C196" s="296">
        <f t="shared" ca="1" si="40"/>
        <v>13.75</v>
      </c>
      <c r="D196" s="295"/>
      <c r="E196" s="296">
        <f t="shared" si="48"/>
        <v>0</v>
      </c>
      <c r="F196" s="296">
        <f t="shared" ca="1" si="43"/>
        <v>0</v>
      </c>
      <c r="G196" s="296">
        <f t="shared" ca="1" si="44"/>
        <v>0</v>
      </c>
      <c r="H196" s="296">
        <f t="shared" ca="1" si="45"/>
        <v>13.75</v>
      </c>
      <c r="I196" s="297">
        <f t="shared" ca="1" si="39"/>
        <v>-14</v>
      </c>
    </row>
    <row r="197" spans="1:9">
      <c r="A197" s="295">
        <f t="shared" si="38"/>
        <v>180</v>
      </c>
      <c r="B197" s="300">
        <f t="shared" si="41"/>
        <v>5449</v>
      </c>
      <c r="C197" s="296">
        <f t="shared" ca="1" si="40"/>
        <v>13.75</v>
      </c>
      <c r="D197" s="296">
        <f ca="1">IF(H197&lt;0,0,0.25*(K32-L32))</f>
        <v>-0.25</v>
      </c>
      <c r="E197" s="296">
        <f t="shared" ca="1" si="48"/>
        <v>-0.25</v>
      </c>
      <c r="F197" s="296">
        <f t="shared" ca="1" si="43"/>
        <v>-0.25</v>
      </c>
      <c r="G197" s="296">
        <f t="shared" ca="1" si="44"/>
        <v>0</v>
      </c>
      <c r="H197" s="296">
        <f t="shared" ca="1" si="45"/>
        <v>14</v>
      </c>
      <c r="I197" s="297">
        <f t="shared" ca="1" si="39"/>
        <v>-14</v>
      </c>
    </row>
    <row r="198" spans="1:9">
      <c r="A198" s="295">
        <f t="shared" si="38"/>
        <v>181</v>
      </c>
      <c r="B198" s="300">
        <f t="shared" si="41"/>
        <v>5480</v>
      </c>
      <c r="C198" s="296">
        <f t="shared" ca="1" si="40"/>
        <v>14</v>
      </c>
      <c r="D198" s="296"/>
      <c r="E198" s="296">
        <f t="shared" ref="E198:E209" si="49">IF($D$10=1,
 IF(OR(MONTH(B198)=MONTH(EDATE($D$7,0)),MONTH(B198)=MONTH(EDATE($D$7,3)),MONTH(B198)=MONTH(EDATE($D$7,6)),MONTH(B198)=MONTH(EDATE($D$7,9))),(MIN($D$197,H197)),0),
IF($D$10=0,
 IF(OR(MONTH(B198)=MONTH(EDATE($D$7,2)),MONTH(B198)=MONTH(EDATE($D$7,5)),MONTH(B198)=MONTH(EDATE($D$7,8)),MONTH(B198)=MONTH(EDATE($D$7,11))),(MIN($D$197,H197)),0)))</f>
        <v>0</v>
      </c>
      <c r="F198" s="296">
        <f t="shared" ca="1" si="43"/>
        <v>0</v>
      </c>
      <c r="G198" s="296">
        <f t="shared" ca="1" si="44"/>
        <v>0</v>
      </c>
      <c r="H198" s="296">
        <f t="shared" ca="1" si="45"/>
        <v>14</v>
      </c>
      <c r="I198" s="297">
        <f t="shared" ca="1" si="39"/>
        <v>-14</v>
      </c>
    </row>
    <row r="199" spans="1:9">
      <c r="A199" s="295">
        <f t="shared" si="38"/>
        <v>182</v>
      </c>
      <c r="B199" s="300">
        <f t="shared" si="41"/>
        <v>5511</v>
      </c>
      <c r="C199" s="296">
        <f t="shared" ca="1" si="40"/>
        <v>14</v>
      </c>
      <c r="D199" s="295"/>
      <c r="E199" s="296">
        <f t="shared" si="49"/>
        <v>0</v>
      </c>
      <c r="F199" s="296">
        <f t="shared" ca="1" si="43"/>
        <v>0</v>
      </c>
      <c r="G199" s="296">
        <f t="shared" ca="1" si="44"/>
        <v>0</v>
      </c>
      <c r="H199" s="296">
        <f t="shared" ca="1" si="45"/>
        <v>14</v>
      </c>
      <c r="I199" s="297">
        <f t="shared" ca="1" si="39"/>
        <v>-14</v>
      </c>
    </row>
    <row r="200" spans="1:9">
      <c r="A200" s="295">
        <f t="shared" si="38"/>
        <v>183</v>
      </c>
      <c r="B200" s="300">
        <f t="shared" si="41"/>
        <v>5539</v>
      </c>
      <c r="C200" s="296">
        <f t="shared" ca="1" si="40"/>
        <v>14</v>
      </c>
      <c r="D200" s="295"/>
      <c r="E200" s="296">
        <f t="shared" ca="1" si="49"/>
        <v>-0.25</v>
      </c>
      <c r="F200" s="296">
        <f t="shared" ca="1" si="43"/>
        <v>-0.25</v>
      </c>
      <c r="G200" s="296">
        <f t="shared" ca="1" si="44"/>
        <v>0</v>
      </c>
      <c r="H200" s="296">
        <f t="shared" ca="1" si="45"/>
        <v>14.25</v>
      </c>
      <c r="I200" s="297">
        <f t="shared" ca="1" si="39"/>
        <v>-14</v>
      </c>
    </row>
    <row r="201" spans="1:9">
      <c r="A201" s="295">
        <f t="shared" si="38"/>
        <v>184</v>
      </c>
      <c r="B201" s="300">
        <f t="shared" si="41"/>
        <v>5570</v>
      </c>
      <c r="C201" s="296">
        <f t="shared" ca="1" si="40"/>
        <v>14.25</v>
      </c>
      <c r="D201" s="295"/>
      <c r="E201" s="296">
        <f t="shared" si="49"/>
        <v>0</v>
      </c>
      <c r="F201" s="296">
        <f t="shared" ca="1" si="43"/>
        <v>0</v>
      </c>
      <c r="G201" s="296">
        <f t="shared" ca="1" si="44"/>
        <v>0</v>
      </c>
      <c r="H201" s="296">
        <f t="shared" ca="1" si="45"/>
        <v>14.25</v>
      </c>
      <c r="I201" s="297">
        <f t="shared" ca="1" si="39"/>
        <v>-14</v>
      </c>
    </row>
    <row r="202" spans="1:9">
      <c r="A202" s="295">
        <f t="shared" si="38"/>
        <v>185</v>
      </c>
      <c r="B202" s="300">
        <f t="shared" si="41"/>
        <v>5600</v>
      </c>
      <c r="C202" s="296">
        <f t="shared" ca="1" si="40"/>
        <v>14.25</v>
      </c>
      <c r="D202" s="295"/>
      <c r="E202" s="296">
        <f t="shared" si="49"/>
        <v>0</v>
      </c>
      <c r="F202" s="296">
        <f t="shared" ca="1" si="43"/>
        <v>0</v>
      </c>
      <c r="G202" s="296">
        <f t="shared" ca="1" si="44"/>
        <v>0</v>
      </c>
      <c r="H202" s="296">
        <f t="shared" ca="1" si="45"/>
        <v>14.25</v>
      </c>
      <c r="I202" s="297">
        <f t="shared" ca="1" si="39"/>
        <v>-14</v>
      </c>
    </row>
    <row r="203" spans="1:9">
      <c r="A203" s="295">
        <f t="shared" si="38"/>
        <v>186</v>
      </c>
      <c r="B203" s="300">
        <f t="shared" si="41"/>
        <v>5631</v>
      </c>
      <c r="C203" s="296">
        <f t="shared" ca="1" si="40"/>
        <v>14.25</v>
      </c>
      <c r="D203" s="295"/>
      <c r="E203" s="296">
        <f t="shared" ca="1" si="49"/>
        <v>-0.25</v>
      </c>
      <c r="F203" s="296">
        <f t="shared" ca="1" si="43"/>
        <v>-0.25</v>
      </c>
      <c r="G203" s="296">
        <f t="shared" ca="1" si="44"/>
        <v>0</v>
      </c>
      <c r="H203" s="296">
        <f t="shared" ca="1" si="45"/>
        <v>14.5</v>
      </c>
      <c r="I203" s="297">
        <f t="shared" ca="1" si="39"/>
        <v>-15</v>
      </c>
    </row>
    <row r="204" spans="1:9">
      <c r="A204" s="295">
        <f t="shared" si="38"/>
        <v>187</v>
      </c>
      <c r="B204" s="300">
        <f t="shared" si="41"/>
        <v>5661</v>
      </c>
      <c r="C204" s="296">
        <f t="shared" ca="1" si="40"/>
        <v>14.5</v>
      </c>
      <c r="D204" s="295"/>
      <c r="E204" s="296">
        <f t="shared" si="49"/>
        <v>0</v>
      </c>
      <c r="F204" s="296">
        <f t="shared" ca="1" si="43"/>
        <v>0</v>
      </c>
      <c r="G204" s="296">
        <f t="shared" ca="1" si="44"/>
        <v>0</v>
      </c>
      <c r="H204" s="296">
        <f t="shared" ca="1" si="45"/>
        <v>14.5</v>
      </c>
      <c r="I204" s="297">
        <f t="shared" ca="1" si="39"/>
        <v>-15</v>
      </c>
    </row>
    <row r="205" spans="1:9">
      <c r="A205" s="295">
        <f t="shared" si="38"/>
        <v>188</v>
      </c>
      <c r="B205" s="300">
        <f t="shared" si="41"/>
        <v>5692</v>
      </c>
      <c r="C205" s="296">
        <f t="shared" ca="1" si="40"/>
        <v>14.5</v>
      </c>
      <c r="D205" s="295"/>
      <c r="E205" s="296">
        <f t="shared" si="49"/>
        <v>0</v>
      </c>
      <c r="F205" s="296">
        <f t="shared" ca="1" si="43"/>
        <v>0</v>
      </c>
      <c r="G205" s="296">
        <f t="shared" ca="1" si="44"/>
        <v>0</v>
      </c>
      <c r="H205" s="296">
        <f t="shared" ca="1" si="45"/>
        <v>14.5</v>
      </c>
      <c r="I205" s="297">
        <f t="shared" ca="1" si="39"/>
        <v>-15</v>
      </c>
    </row>
    <row r="206" spans="1:9">
      <c r="A206" s="295">
        <f t="shared" si="38"/>
        <v>189</v>
      </c>
      <c r="B206" s="300">
        <f t="shared" si="41"/>
        <v>5723</v>
      </c>
      <c r="C206" s="296">
        <f t="shared" ca="1" si="40"/>
        <v>14.5</v>
      </c>
      <c r="D206" s="295"/>
      <c r="E206" s="296">
        <f t="shared" ca="1" si="49"/>
        <v>-0.25</v>
      </c>
      <c r="F206" s="296">
        <f t="shared" ca="1" si="43"/>
        <v>-0.25</v>
      </c>
      <c r="G206" s="296">
        <f t="shared" ca="1" si="44"/>
        <v>0</v>
      </c>
      <c r="H206" s="296">
        <f t="shared" ca="1" si="45"/>
        <v>14.75</v>
      </c>
      <c r="I206" s="297">
        <f t="shared" ca="1" si="39"/>
        <v>-15</v>
      </c>
    </row>
    <row r="207" spans="1:9">
      <c r="A207" s="295">
        <f t="shared" si="38"/>
        <v>190</v>
      </c>
      <c r="B207" s="300">
        <f t="shared" si="41"/>
        <v>5753</v>
      </c>
      <c r="C207" s="296">
        <f t="shared" ca="1" si="40"/>
        <v>14.75</v>
      </c>
      <c r="D207" s="295"/>
      <c r="E207" s="296">
        <f t="shared" si="49"/>
        <v>0</v>
      </c>
      <c r="F207" s="296">
        <f t="shared" ca="1" si="43"/>
        <v>0</v>
      </c>
      <c r="G207" s="296">
        <f t="shared" ca="1" si="44"/>
        <v>0</v>
      </c>
      <c r="H207" s="296">
        <f t="shared" ca="1" si="45"/>
        <v>14.75</v>
      </c>
      <c r="I207" s="297">
        <f t="shared" ca="1" si="39"/>
        <v>-15</v>
      </c>
    </row>
    <row r="208" spans="1:9">
      <c r="A208" s="295">
        <f t="shared" si="38"/>
        <v>191</v>
      </c>
      <c r="B208" s="300">
        <f t="shared" si="41"/>
        <v>5784</v>
      </c>
      <c r="C208" s="296">
        <f t="shared" ca="1" si="40"/>
        <v>14.75</v>
      </c>
      <c r="D208" s="295"/>
      <c r="E208" s="296">
        <f t="shared" si="49"/>
        <v>0</v>
      </c>
      <c r="F208" s="296">
        <f t="shared" ca="1" si="43"/>
        <v>0</v>
      </c>
      <c r="G208" s="296">
        <f t="shared" ca="1" si="44"/>
        <v>0</v>
      </c>
      <c r="H208" s="296">
        <f t="shared" ca="1" si="45"/>
        <v>14.75</v>
      </c>
      <c r="I208" s="297">
        <f t="shared" ca="1" si="39"/>
        <v>-15</v>
      </c>
    </row>
    <row r="209" spans="1:9">
      <c r="A209" s="295">
        <f t="shared" si="38"/>
        <v>192</v>
      </c>
      <c r="B209" s="300">
        <f t="shared" si="41"/>
        <v>5814</v>
      </c>
      <c r="C209" s="296">
        <f t="shared" ca="1" si="40"/>
        <v>14.75</v>
      </c>
      <c r="D209" s="296">
        <f ca="1">IF(H209&lt;0,0,0.25*(K33-L33))</f>
        <v>-0.25</v>
      </c>
      <c r="E209" s="296">
        <f t="shared" ca="1" si="49"/>
        <v>-0.25</v>
      </c>
      <c r="F209" s="296">
        <f t="shared" ca="1" si="43"/>
        <v>-0.25</v>
      </c>
      <c r="G209" s="296">
        <f t="shared" ca="1" si="44"/>
        <v>0</v>
      </c>
      <c r="H209" s="296">
        <f t="shared" ca="1" si="45"/>
        <v>15</v>
      </c>
      <c r="I209" s="297">
        <f t="shared" ca="1" si="39"/>
        <v>-15</v>
      </c>
    </row>
    <row r="210" spans="1:9">
      <c r="A210" s="295">
        <f t="shared" ref="A210:A273" si="50">IF(A209="","",IF(A209=$D$6,"",A209+1))</f>
        <v>193</v>
      </c>
      <c r="B210" s="300">
        <f t="shared" si="41"/>
        <v>5845</v>
      </c>
      <c r="C210" s="296">
        <f t="shared" ca="1" si="40"/>
        <v>15</v>
      </c>
      <c r="D210" s="296"/>
      <c r="E210" s="296">
        <f t="shared" ref="E210:E221" si="51">IF($D$10=1,
 IF(OR(MONTH(B210)=MONTH(EDATE($D$7,0)),MONTH(B210)=MONTH(EDATE($D$7,3)),MONTH(B210)=MONTH(EDATE($D$7,6)),MONTH(B210)=MONTH(EDATE($D$7,9))),(MIN($D$209,H209)),0),
IF($D$10=0,
 IF(OR(MONTH(B210)=MONTH(EDATE($D$7,2)),MONTH(B210)=MONTH(EDATE($D$7,5)),MONTH(B210)=MONTH(EDATE($D$7,8)),MONTH(B210)=MONTH(EDATE($D$7,11))),(MIN($D$209,H209)),0)))</f>
        <v>0</v>
      </c>
      <c r="F210" s="296">
        <f t="shared" ca="1" si="43"/>
        <v>0</v>
      </c>
      <c r="G210" s="296">
        <f t="shared" ca="1" si="44"/>
        <v>0</v>
      </c>
      <c r="H210" s="296">
        <f t="shared" ca="1" si="45"/>
        <v>15</v>
      </c>
      <c r="I210" s="297">
        <f t="shared" ref="I210:I273" ca="1" si="52">ROUND((D210-H210),0)</f>
        <v>-15</v>
      </c>
    </row>
    <row r="211" spans="1:9">
      <c r="A211" s="295">
        <f t="shared" si="50"/>
        <v>194</v>
      </c>
      <c r="B211" s="300">
        <f t="shared" si="41"/>
        <v>5876</v>
      </c>
      <c r="C211" s="296">
        <f t="shared" ref="C211:C274" ca="1" si="53">IF(H210=0,0,H210)</f>
        <v>15</v>
      </c>
      <c r="D211" s="295"/>
      <c r="E211" s="296">
        <f t="shared" si="51"/>
        <v>0</v>
      </c>
      <c r="F211" s="296">
        <f t="shared" ca="1" si="43"/>
        <v>0</v>
      </c>
      <c r="G211" s="296">
        <f t="shared" ca="1" si="44"/>
        <v>0</v>
      </c>
      <c r="H211" s="296">
        <f t="shared" ca="1" si="45"/>
        <v>15</v>
      </c>
      <c r="I211" s="297">
        <f t="shared" ca="1" si="52"/>
        <v>-15</v>
      </c>
    </row>
    <row r="212" spans="1:9">
      <c r="A212" s="295">
        <f t="shared" si="50"/>
        <v>195</v>
      </c>
      <c r="B212" s="300">
        <f t="shared" ref="B212:B275" si="54">DATE(YEAR(B211),MONTH(B211)+1,1)</f>
        <v>5905</v>
      </c>
      <c r="C212" s="296">
        <f t="shared" ca="1" si="53"/>
        <v>15</v>
      </c>
      <c r="D212" s="295"/>
      <c r="E212" s="296">
        <f t="shared" ca="1" si="51"/>
        <v>-0.25</v>
      </c>
      <c r="F212" s="296">
        <f t="shared" ca="1" si="43"/>
        <v>-0.25</v>
      </c>
      <c r="G212" s="296">
        <f t="shared" ca="1" si="44"/>
        <v>0</v>
      </c>
      <c r="H212" s="296">
        <f t="shared" ca="1" si="45"/>
        <v>15.25</v>
      </c>
      <c r="I212" s="297">
        <f t="shared" ca="1" si="52"/>
        <v>-15</v>
      </c>
    </row>
    <row r="213" spans="1:9">
      <c r="A213" s="295">
        <f t="shared" si="50"/>
        <v>196</v>
      </c>
      <c r="B213" s="300">
        <f t="shared" si="54"/>
        <v>5936</v>
      </c>
      <c r="C213" s="296">
        <f t="shared" ca="1" si="53"/>
        <v>15.25</v>
      </c>
      <c r="D213" s="295"/>
      <c r="E213" s="296">
        <f t="shared" si="51"/>
        <v>0</v>
      </c>
      <c r="F213" s="296">
        <f t="shared" ca="1" si="43"/>
        <v>0</v>
      </c>
      <c r="G213" s="296">
        <f t="shared" ca="1" si="44"/>
        <v>0</v>
      </c>
      <c r="H213" s="296">
        <f t="shared" ca="1" si="45"/>
        <v>15.25</v>
      </c>
      <c r="I213" s="297">
        <f t="shared" ca="1" si="52"/>
        <v>-15</v>
      </c>
    </row>
    <row r="214" spans="1:9">
      <c r="A214" s="295">
        <f t="shared" si="50"/>
        <v>197</v>
      </c>
      <c r="B214" s="300">
        <f t="shared" si="54"/>
        <v>5966</v>
      </c>
      <c r="C214" s="296">
        <f t="shared" ca="1" si="53"/>
        <v>15.25</v>
      </c>
      <c r="D214" s="295"/>
      <c r="E214" s="296">
        <f t="shared" si="51"/>
        <v>0</v>
      </c>
      <c r="F214" s="296">
        <f t="shared" ca="1" si="43"/>
        <v>0</v>
      </c>
      <c r="G214" s="296">
        <f t="shared" ca="1" si="44"/>
        <v>0</v>
      </c>
      <c r="H214" s="296">
        <f t="shared" ca="1" si="45"/>
        <v>15.25</v>
      </c>
      <c r="I214" s="297">
        <f t="shared" ca="1" si="52"/>
        <v>-15</v>
      </c>
    </row>
    <row r="215" spans="1:9">
      <c r="A215" s="295">
        <f t="shared" si="50"/>
        <v>198</v>
      </c>
      <c r="B215" s="300">
        <f t="shared" si="54"/>
        <v>5997</v>
      </c>
      <c r="C215" s="296">
        <f t="shared" ca="1" si="53"/>
        <v>15.25</v>
      </c>
      <c r="D215" s="295"/>
      <c r="E215" s="296">
        <f t="shared" ca="1" si="51"/>
        <v>-0.25</v>
      </c>
      <c r="F215" s="296">
        <f t="shared" ca="1" si="43"/>
        <v>-0.25</v>
      </c>
      <c r="G215" s="296">
        <f t="shared" ca="1" si="44"/>
        <v>0</v>
      </c>
      <c r="H215" s="296">
        <f t="shared" ca="1" si="45"/>
        <v>15.5</v>
      </c>
      <c r="I215" s="297">
        <f t="shared" ca="1" si="52"/>
        <v>-16</v>
      </c>
    </row>
    <row r="216" spans="1:9">
      <c r="A216" s="295">
        <f t="shared" si="50"/>
        <v>199</v>
      </c>
      <c r="B216" s="300">
        <f t="shared" si="54"/>
        <v>6027</v>
      </c>
      <c r="C216" s="296">
        <f t="shared" ca="1" si="53"/>
        <v>15.5</v>
      </c>
      <c r="D216" s="295"/>
      <c r="E216" s="296">
        <f t="shared" si="51"/>
        <v>0</v>
      </c>
      <c r="F216" s="296">
        <f t="shared" ca="1" si="43"/>
        <v>0</v>
      </c>
      <c r="G216" s="296">
        <f t="shared" ca="1" si="44"/>
        <v>0</v>
      </c>
      <c r="H216" s="296">
        <f t="shared" ca="1" si="45"/>
        <v>15.5</v>
      </c>
      <c r="I216" s="297">
        <f t="shared" ca="1" si="52"/>
        <v>-16</v>
      </c>
    </row>
    <row r="217" spans="1:9">
      <c r="A217" s="295">
        <f t="shared" si="50"/>
        <v>200</v>
      </c>
      <c r="B217" s="300">
        <f t="shared" si="54"/>
        <v>6058</v>
      </c>
      <c r="C217" s="296">
        <f t="shared" ca="1" si="53"/>
        <v>15.5</v>
      </c>
      <c r="D217" s="295"/>
      <c r="E217" s="296">
        <f t="shared" si="51"/>
        <v>0</v>
      </c>
      <c r="F217" s="296">
        <f t="shared" ca="1" si="43"/>
        <v>0</v>
      </c>
      <c r="G217" s="296">
        <f t="shared" ca="1" si="44"/>
        <v>0</v>
      </c>
      <c r="H217" s="296">
        <f t="shared" ca="1" si="45"/>
        <v>15.5</v>
      </c>
      <c r="I217" s="297">
        <f t="shared" ca="1" si="52"/>
        <v>-16</v>
      </c>
    </row>
    <row r="218" spans="1:9">
      <c r="A218" s="295">
        <f t="shared" si="50"/>
        <v>201</v>
      </c>
      <c r="B218" s="300">
        <f t="shared" si="54"/>
        <v>6089</v>
      </c>
      <c r="C218" s="296">
        <f t="shared" ca="1" si="53"/>
        <v>15.5</v>
      </c>
      <c r="D218" s="295"/>
      <c r="E218" s="296">
        <f t="shared" ca="1" si="51"/>
        <v>-0.25</v>
      </c>
      <c r="F218" s="296">
        <f t="shared" ca="1" si="43"/>
        <v>-0.25</v>
      </c>
      <c r="G218" s="296">
        <f t="shared" ca="1" si="44"/>
        <v>0</v>
      </c>
      <c r="H218" s="296">
        <f t="shared" ca="1" si="45"/>
        <v>15.75</v>
      </c>
      <c r="I218" s="297">
        <f t="shared" ca="1" si="52"/>
        <v>-16</v>
      </c>
    </row>
    <row r="219" spans="1:9">
      <c r="A219" s="295">
        <f t="shared" si="50"/>
        <v>202</v>
      </c>
      <c r="B219" s="300">
        <f t="shared" si="54"/>
        <v>6119</v>
      </c>
      <c r="C219" s="296">
        <f t="shared" ca="1" si="53"/>
        <v>15.75</v>
      </c>
      <c r="D219" s="295"/>
      <c r="E219" s="296">
        <f t="shared" si="51"/>
        <v>0</v>
      </c>
      <c r="F219" s="296">
        <f t="shared" ca="1" si="43"/>
        <v>0</v>
      </c>
      <c r="G219" s="296">
        <f t="shared" ca="1" si="44"/>
        <v>0</v>
      </c>
      <c r="H219" s="296">
        <f t="shared" ca="1" si="45"/>
        <v>15.75</v>
      </c>
      <c r="I219" s="297">
        <f t="shared" ca="1" si="52"/>
        <v>-16</v>
      </c>
    </row>
    <row r="220" spans="1:9">
      <c r="A220" s="295">
        <f t="shared" si="50"/>
        <v>203</v>
      </c>
      <c r="B220" s="300">
        <f t="shared" si="54"/>
        <v>6150</v>
      </c>
      <c r="C220" s="296">
        <f t="shared" ca="1" si="53"/>
        <v>15.75</v>
      </c>
      <c r="D220" s="295"/>
      <c r="E220" s="296">
        <f t="shared" si="51"/>
        <v>0</v>
      </c>
      <c r="F220" s="296">
        <f t="shared" ca="1" si="43"/>
        <v>0</v>
      </c>
      <c r="G220" s="296">
        <f t="shared" ca="1" si="44"/>
        <v>0</v>
      </c>
      <c r="H220" s="296">
        <f t="shared" ca="1" si="45"/>
        <v>15.75</v>
      </c>
      <c r="I220" s="297">
        <f t="shared" ca="1" si="52"/>
        <v>-16</v>
      </c>
    </row>
    <row r="221" spans="1:9">
      <c r="A221" s="295">
        <f t="shared" si="50"/>
        <v>204</v>
      </c>
      <c r="B221" s="300">
        <f t="shared" si="54"/>
        <v>6180</v>
      </c>
      <c r="C221" s="296">
        <f t="shared" ca="1" si="53"/>
        <v>15.75</v>
      </c>
      <c r="D221" s="296">
        <f ca="1">IF(H221&lt;0,0,0.25*(K34-L34))</f>
        <v>-0.25</v>
      </c>
      <c r="E221" s="296">
        <f t="shared" ca="1" si="51"/>
        <v>-0.25</v>
      </c>
      <c r="F221" s="296">
        <f t="shared" ca="1" si="43"/>
        <v>-0.25</v>
      </c>
      <c r="G221" s="296">
        <f t="shared" ca="1" si="44"/>
        <v>0</v>
      </c>
      <c r="H221" s="296">
        <f t="shared" ca="1" si="45"/>
        <v>16</v>
      </c>
      <c r="I221" s="297">
        <f t="shared" ca="1" si="52"/>
        <v>-16</v>
      </c>
    </row>
    <row r="222" spans="1:9">
      <c r="A222" s="295">
        <f t="shared" si="50"/>
        <v>205</v>
      </c>
      <c r="B222" s="300">
        <f t="shared" si="54"/>
        <v>6211</v>
      </c>
      <c r="C222" s="296">
        <f t="shared" ca="1" si="53"/>
        <v>16</v>
      </c>
      <c r="D222" s="296"/>
      <c r="E222" s="296">
        <f t="shared" ref="E222:E233" si="55">IF($D$10=1,
 IF(OR(MONTH(B222)=MONTH(EDATE($D$7,0)),MONTH(B222)=MONTH(EDATE($D$7,3)),MONTH(B222)=MONTH(EDATE($D$7,6)),MONTH(B222)=MONTH(EDATE($D$7,9))),(MIN($D$221,H221)),0),
IF($D$10=0,
 IF(OR(MONTH(B222)=MONTH(EDATE($D$7,2)),MONTH(B222)=MONTH(EDATE($D$7,5)),MONTH(B222)=MONTH(EDATE($D$7,8)),MONTH(B222)=MONTH(EDATE($D$7,11))),(MIN($D$221,H221)),0)))</f>
        <v>0</v>
      </c>
      <c r="F222" s="296">
        <f t="shared" ref="F222:F285" ca="1" si="56">IF(E222="","",E222-G222)</f>
        <v>0</v>
      </c>
      <c r="G222" s="296">
        <f t="shared" ref="G222:G285" ca="1" si="57">ROUND((C222-E222)*$D$5,3)</f>
        <v>0</v>
      </c>
      <c r="H222" s="296">
        <f t="shared" ref="H222:H285" ca="1" si="58">IF(E222="","",ROUND(H221-F222,4))</f>
        <v>16</v>
      </c>
      <c r="I222" s="297">
        <f t="shared" ca="1" si="52"/>
        <v>-16</v>
      </c>
    </row>
    <row r="223" spans="1:9">
      <c r="A223" s="295">
        <f t="shared" si="50"/>
        <v>206</v>
      </c>
      <c r="B223" s="300">
        <f t="shared" si="54"/>
        <v>6242</v>
      </c>
      <c r="C223" s="296">
        <f t="shared" ca="1" si="53"/>
        <v>16</v>
      </c>
      <c r="D223" s="295"/>
      <c r="E223" s="296">
        <f t="shared" si="55"/>
        <v>0</v>
      </c>
      <c r="F223" s="296">
        <f t="shared" ca="1" si="56"/>
        <v>0</v>
      </c>
      <c r="G223" s="296">
        <f t="shared" ca="1" si="57"/>
        <v>0</v>
      </c>
      <c r="H223" s="296">
        <f t="shared" ca="1" si="58"/>
        <v>16</v>
      </c>
      <c r="I223" s="297">
        <f t="shared" ca="1" si="52"/>
        <v>-16</v>
      </c>
    </row>
    <row r="224" spans="1:9">
      <c r="A224" s="295">
        <f t="shared" si="50"/>
        <v>207</v>
      </c>
      <c r="B224" s="300">
        <f t="shared" si="54"/>
        <v>6270</v>
      </c>
      <c r="C224" s="296">
        <f t="shared" ca="1" si="53"/>
        <v>16</v>
      </c>
      <c r="D224" s="295"/>
      <c r="E224" s="296">
        <f t="shared" ca="1" si="55"/>
        <v>-0.25</v>
      </c>
      <c r="F224" s="296">
        <f t="shared" ca="1" si="56"/>
        <v>-0.25</v>
      </c>
      <c r="G224" s="296">
        <f t="shared" ca="1" si="57"/>
        <v>0</v>
      </c>
      <c r="H224" s="296">
        <f t="shared" ca="1" si="58"/>
        <v>16.25</v>
      </c>
      <c r="I224" s="297">
        <f t="shared" ca="1" si="52"/>
        <v>-16</v>
      </c>
    </row>
    <row r="225" spans="1:9">
      <c r="A225" s="295">
        <f t="shared" si="50"/>
        <v>208</v>
      </c>
      <c r="B225" s="300">
        <f t="shared" si="54"/>
        <v>6301</v>
      </c>
      <c r="C225" s="296">
        <f t="shared" ca="1" si="53"/>
        <v>16.25</v>
      </c>
      <c r="D225" s="295"/>
      <c r="E225" s="296">
        <f t="shared" si="55"/>
        <v>0</v>
      </c>
      <c r="F225" s="296">
        <f t="shared" ca="1" si="56"/>
        <v>0</v>
      </c>
      <c r="G225" s="296">
        <f t="shared" ca="1" si="57"/>
        <v>0</v>
      </c>
      <c r="H225" s="296">
        <f t="shared" ca="1" si="58"/>
        <v>16.25</v>
      </c>
      <c r="I225" s="297">
        <f t="shared" ca="1" si="52"/>
        <v>-16</v>
      </c>
    </row>
    <row r="226" spans="1:9">
      <c r="A226" s="295">
        <f t="shared" si="50"/>
        <v>209</v>
      </c>
      <c r="B226" s="300">
        <f t="shared" si="54"/>
        <v>6331</v>
      </c>
      <c r="C226" s="296">
        <f t="shared" ca="1" si="53"/>
        <v>16.25</v>
      </c>
      <c r="D226" s="295"/>
      <c r="E226" s="296">
        <f t="shared" si="55"/>
        <v>0</v>
      </c>
      <c r="F226" s="296">
        <f t="shared" ca="1" si="56"/>
        <v>0</v>
      </c>
      <c r="G226" s="296">
        <f t="shared" ca="1" si="57"/>
        <v>0</v>
      </c>
      <c r="H226" s="296">
        <f t="shared" ca="1" si="58"/>
        <v>16.25</v>
      </c>
      <c r="I226" s="297">
        <f t="shared" ca="1" si="52"/>
        <v>-16</v>
      </c>
    </row>
    <row r="227" spans="1:9">
      <c r="A227" s="295">
        <f t="shared" si="50"/>
        <v>210</v>
      </c>
      <c r="B227" s="300">
        <f t="shared" si="54"/>
        <v>6362</v>
      </c>
      <c r="C227" s="296">
        <f t="shared" ca="1" si="53"/>
        <v>16.25</v>
      </c>
      <c r="D227" s="295"/>
      <c r="E227" s="296">
        <f t="shared" ca="1" si="55"/>
        <v>-0.25</v>
      </c>
      <c r="F227" s="296">
        <f t="shared" ca="1" si="56"/>
        <v>-0.25</v>
      </c>
      <c r="G227" s="296">
        <f t="shared" ca="1" si="57"/>
        <v>0</v>
      </c>
      <c r="H227" s="296">
        <f t="shared" ca="1" si="58"/>
        <v>16.5</v>
      </c>
      <c r="I227" s="297">
        <f t="shared" ca="1" si="52"/>
        <v>-17</v>
      </c>
    </row>
    <row r="228" spans="1:9">
      <c r="A228" s="295">
        <f t="shared" si="50"/>
        <v>211</v>
      </c>
      <c r="B228" s="300">
        <f t="shared" si="54"/>
        <v>6392</v>
      </c>
      <c r="C228" s="296">
        <f t="shared" ca="1" si="53"/>
        <v>16.5</v>
      </c>
      <c r="D228" s="295"/>
      <c r="E228" s="296">
        <f t="shared" si="55"/>
        <v>0</v>
      </c>
      <c r="F228" s="296">
        <f t="shared" ca="1" si="56"/>
        <v>0</v>
      </c>
      <c r="G228" s="296">
        <f t="shared" ca="1" si="57"/>
        <v>0</v>
      </c>
      <c r="H228" s="296">
        <f t="shared" ca="1" si="58"/>
        <v>16.5</v>
      </c>
      <c r="I228" s="297">
        <f t="shared" ca="1" si="52"/>
        <v>-17</v>
      </c>
    </row>
    <row r="229" spans="1:9">
      <c r="A229" s="295">
        <f t="shared" si="50"/>
        <v>212</v>
      </c>
      <c r="B229" s="300">
        <f t="shared" si="54"/>
        <v>6423</v>
      </c>
      <c r="C229" s="296">
        <f t="shared" ca="1" si="53"/>
        <v>16.5</v>
      </c>
      <c r="D229" s="295"/>
      <c r="E229" s="296">
        <f t="shared" si="55"/>
        <v>0</v>
      </c>
      <c r="F229" s="296">
        <f t="shared" ca="1" si="56"/>
        <v>0</v>
      </c>
      <c r="G229" s="296">
        <f t="shared" ca="1" si="57"/>
        <v>0</v>
      </c>
      <c r="H229" s="296">
        <f t="shared" ca="1" si="58"/>
        <v>16.5</v>
      </c>
      <c r="I229" s="297">
        <f t="shared" ca="1" si="52"/>
        <v>-17</v>
      </c>
    </row>
    <row r="230" spans="1:9">
      <c r="A230" s="295">
        <f t="shared" si="50"/>
        <v>213</v>
      </c>
      <c r="B230" s="300">
        <f t="shared" si="54"/>
        <v>6454</v>
      </c>
      <c r="C230" s="296">
        <f t="shared" ca="1" si="53"/>
        <v>16.5</v>
      </c>
      <c r="D230" s="295"/>
      <c r="E230" s="296">
        <f t="shared" ca="1" si="55"/>
        <v>-0.25</v>
      </c>
      <c r="F230" s="296">
        <f t="shared" ca="1" si="56"/>
        <v>-0.25</v>
      </c>
      <c r="G230" s="296">
        <f t="shared" ca="1" si="57"/>
        <v>0</v>
      </c>
      <c r="H230" s="296">
        <f t="shared" ca="1" si="58"/>
        <v>16.75</v>
      </c>
      <c r="I230" s="297">
        <f t="shared" ca="1" si="52"/>
        <v>-17</v>
      </c>
    </row>
    <row r="231" spans="1:9">
      <c r="A231" s="295">
        <f t="shared" si="50"/>
        <v>214</v>
      </c>
      <c r="B231" s="300">
        <f t="shared" si="54"/>
        <v>6484</v>
      </c>
      <c r="C231" s="296">
        <f t="shared" ca="1" si="53"/>
        <v>16.75</v>
      </c>
      <c r="D231" s="295"/>
      <c r="E231" s="296">
        <f t="shared" si="55"/>
        <v>0</v>
      </c>
      <c r="F231" s="296">
        <f t="shared" ca="1" si="56"/>
        <v>0</v>
      </c>
      <c r="G231" s="296">
        <f t="shared" ca="1" si="57"/>
        <v>0</v>
      </c>
      <c r="H231" s="296">
        <f t="shared" ca="1" si="58"/>
        <v>16.75</v>
      </c>
      <c r="I231" s="297">
        <f t="shared" ca="1" si="52"/>
        <v>-17</v>
      </c>
    </row>
    <row r="232" spans="1:9">
      <c r="A232" s="295">
        <f t="shared" si="50"/>
        <v>215</v>
      </c>
      <c r="B232" s="300">
        <f t="shared" si="54"/>
        <v>6515</v>
      </c>
      <c r="C232" s="296">
        <f t="shared" ca="1" si="53"/>
        <v>16.75</v>
      </c>
      <c r="D232" s="295"/>
      <c r="E232" s="296">
        <f t="shared" si="55"/>
        <v>0</v>
      </c>
      <c r="F232" s="296">
        <f t="shared" ca="1" si="56"/>
        <v>0</v>
      </c>
      <c r="G232" s="296">
        <f t="shared" ca="1" si="57"/>
        <v>0</v>
      </c>
      <c r="H232" s="296">
        <f t="shared" ca="1" si="58"/>
        <v>16.75</v>
      </c>
      <c r="I232" s="297">
        <f t="shared" ca="1" si="52"/>
        <v>-17</v>
      </c>
    </row>
    <row r="233" spans="1:9">
      <c r="A233" s="295">
        <f t="shared" si="50"/>
        <v>216</v>
      </c>
      <c r="B233" s="300">
        <f t="shared" si="54"/>
        <v>6545</v>
      </c>
      <c r="C233" s="296">
        <f t="shared" ca="1" si="53"/>
        <v>16.75</v>
      </c>
      <c r="D233" s="296">
        <f ca="1">IF(H233&lt;0,0,0.25*(K35-L35))</f>
        <v>-0.25</v>
      </c>
      <c r="E233" s="296">
        <f t="shared" ca="1" si="55"/>
        <v>-0.25</v>
      </c>
      <c r="F233" s="296">
        <f t="shared" ca="1" si="56"/>
        <v>-0.25</v>
      </c>
      <c r="G233" s="296">
        <f t="shared" ca="1" si="57"/>
        <v>0</v>
      </c>
      <c r="H233" s="296">
        <f t="shared" ca="1" si="58"/>
        <v>17</v>
      </c>
      <c r="I233" s="297">
        <f t="shared" ca="1" si="52"/>
        <v>-17</v>
      </c>
    </row>
    <row r="234" spans="1:9">
      <c r="A234" s="295">
        <f t="shared" si="50"/>
        <v>217</v>
      </c>
      <c r="B234" s="300">
        <f t="shared" si="54"/>
        <v>6576</v>
      </c>
      <c r="C234" s="296">
        <f t="shared" ca="1" si="53"/>
        <v>17</v>
      </c>
      <c r="D234" s="296"/>
      <c r="E234" s="296">
        <f t="shared" ref="E234:E245" si="59">IF($D$10=1,
 IF(OR(MONTH(B234)=MONTH(EDATE($D$7,0)),MONTH(B234)=MONTH(EDATE($D$7,3)),MONTH(B234)=MONTH(EDATE($D$7,6)),MONTH(B234)=MONTH(EDATE($D$7,9))),(MIN($D$233,H233)),0),
IF($D$10=0,
 IF(OR(MONTH(B234)=MONTH(EDATE($D$7,2)),MONTH(B234)=MONTH(EDATE($D$7,5)),MONTH(B234)=MONTH(EDATE($D$7,8)),MONTH(B234)=MONTH(EDATE($D$7,11))),(MIN($D$233,H233)),0)))</f>
        <v>0</v>
      </c>
      <c r="F234" s="296">
        <f t="shared" ca="1" si="56"/>
        <v>0</v>
      </c>
      <c r="G234" s="296">
        <f t="shared" ca="1" si="57"/>
        <v>0</v>
      </c>
      <c r="H234" s="296">
        <f t="shared" ca="1" si="58"/>
        <v>17</v>
      </c>
      <c r="I234" s="297">
        <f t="shared" ca="1" si="52"/>
        <v>-17</v>
      </c>
    </row>
    <row r="235" spans="1:9">
      <c r="A235" s="295">
        <f t="shared" si="50"/>
        <v>218</v>
      </c>
      <c r="B235" s="300">
        <f t="shared" si="54"/>
        <v>6607</v>
      </c>
      <c r="C235" s="296">
        <f t="shared" ca="1" si="53"/>
        <v>17</v>
      </c>
      <c r="D235" s="295"/>
      <c r="E235" s="296">
        <f t="shared" si="59"/>
        <v>0</v>
      </c>
      <c r="F235" s="296">
        <f t="shared" ca="1" si="56"/>
        <v>0</v>
      </c>
      <c r="G235" s="296">
        <f t="shared" ca="1" si="57"/>
        <v>0</v>
      </c>
      <c r="H235" s="296">
        <f t="shared" ca="1" si="58"/>
        <v>17</v>
      </c>
      <c r="I235" s="297">
        <f t="shared" ca="1" si="52"/>
        <v>-17</v>
      </c>
    </row>
    <row r="236" spans="1:9">
      <c r="A236" s="295">
        <f t="shared" si="50"/>
        <v>219</v>
      </c>
      <c r="B236" s="300">
        <f t="shared" si="54"/>
        <v>6635</v>
      </c>
      <c r="C236" s="296">
        <f t="shared" ca="1" si="53"/>
        <v>17</v>
      </c>
      <c r="D236" s="295"/>
      <c r="E236" s="296">
        <f t="shared" ca="1" si="59"/>
        <v>-0.25</v>
      </c>
      <c r="F236" s="296">
        <f t="shared" ca="1" si="56"/>
        <v>-0.25</v>
      </c>
      <c r="G236" s="296">
        <f t="shared" ca="1" si="57"/>
        <v>0</v>
      </c>
      <c r="H236" s="296">
        <f t="shared" ca="1" si="58"/>
        <v>17.25</v>
      </c>
      <c r="I236" s="297">
        <f t="shared" ca="1" si="52"/>
        <v>-17</v>
      </c>
    </row>
    <row r="237" spans="1:9">
      <c r="A237" s="295">
        <f t="shared" si="50"/>
        <v>220</v>
      </c>
      <c r="B237" s="300">
        <f t="shared" si="54"/>
        <v>6666</v>
      </c>
      <c r="C237" s="296">
        <f t="shared" ca="1" si="53"/>
        <v>17.25</v>
      </c>
      <c r="D237" s="295"/>
      <c r="E237" s="296">
        <f t="shared" si="59"/>
        <v>0</v>
      </c>
      <c r="F237" s="296">
        <f t="shared" ca="1" si="56"/>
        <v>0</v>
      </c>
      <c r="G237" s="296">
        <f t="shared" ca="1" si="57"/>
        <v>0</v>
      </c>
      <c r="H237" s="296">
        <f t="shared" ca="1" si="58"/>
        <v>17.25</v>
      </c>
      <c r="I237" s="297">
        <f t="shared" ca="1" si="52"/>
        <v>-17</v>
      </c>
    </row>
    <row r="238" spans="1:9">
      <c r="A238" s="295">
        <f t="shared" si="50"/>
        <v>221</v>
      </c>
      <c r="B238" s="300">
        <f t="shared" si="54"/>
        <v>6696</v>
      </c>
      <c r="C238" s="296">
        <f t="shared" ca="1" si="53"/>
        <v>17.25</v>
      </c>
      <c r="D238" s="295"/>
      <c r="E238" s="296">
        <f t="shared" si="59"/>
        <v>0</v>
      </c>
      <c r="F238" s="296">
        <f t="shared" ca="1" si="56"/>
        <v>0</v>
      </c>
      <c r="G238" s="296">
        <f t="shared" ca="1" si="57"/>
        <v>0</v>
      </c>
      <c r="H238" s="296">
        <f t="shared" ca="1" si="58"/>
        <v>17.25</v>
      </c>
      <c r="I238" s="297">
        <f t="shared" ca="1" si="52"/>
        <v>-17</v>
      </c>
    </row>
    <row r="239" spans="1:9">
      <c r="A239" s="295">
        <f t="shared" si="50"/>
        <v>222</v>
      </c>
      <c r="B239" s="300">
        <f t="shared" si="54"/>
        <v>6727</v>
      </c>
      <c r="C239" s="296">
        <f t="shared" ca="1" si="53"/>
        <v>17.25</v>
      </c>
      <c r="D239" s="295"/>
      <c r="E239" s="296">
        <f t="shared" ca="1" si="59"/>
        <v>-0.25</v>
      </c>
      <c r="F239" s="296">
        <f t="shared" ca="1" si="56"/>
        <v>-0.25</v>
      </c>
      <c r="G239" s="296">
        <f t="shared" ca="1" si="57"/>
        <v>0</v>
      </c>
      <c r="H239" s="296">
        <f t="shared" ca="1" si="58"/>
        <v>17.5</v>
      </c>
      <c r="I239" s="297">
        <f t="shared" ca="1" si="52"/>
        <v>-18</v>
      </c>
    </row>
    <row r="240" spans="1:9">
      <c r="A240" s="295">
        <f t="shared" si="50"/>
        <v>223</v>
      </c>
      <c r="B240" s="300">
        <f t="shared" si="54"/>
        <v>6757</v>
      </c>
      <c r="C240" s="296">
        <f t="shared" ca="1" si="53"/>
        <v>17.5</v>
      </c>
      <c r="D240" s="295"/>
      <c r="E240" s="296">
        <f t="shared" si="59"/>
        <v>0</v>
      </c>
      <c r="F240" s="296">
        <f t="shared" ca="1" si="56"/>
        <v>0</v>
      </c>
      <c r="G240" s="296">
        <f t="shared" ca="1" si="57"/>
        <v>0</v>
      </c>
      <c r="H240" s="296">
        <f t="shared" ca="1" si="58"/>
        <v>17.5</v>
      </c>
      <c r="I240" s="297">
        <f t="shared" ca="1" si="52"/>
        <v>-18</v>
      </c>
    </row>
    <row r="241" spans="1:9">
      <c r="A241" s="295">
        <f t="shared" si="50"/>
        <v>224</v>
      </c>
      <c r="B241" s="300">
        <f t="shared" si="54"/>
        <v>6788</v>
      </c>
      <c r="C241" s="296">
        <f t="shared" ca="1" si="53"/>
        <v>17.5</v>
      </c>
      <c r="D241" s="295"/>
      <c r="E241" s="296">
        <f t="shared" si="59"/>
        <v>0</v>
      </c>
      <c r="F241" s="296">
        <f t="shared" ca="1" si="56"/>
        <v>0</v>
      </c>
      <c r="G241" s="296">
        <f t="shared" ca="1" si="57"/>
        <v>0</v>
      </c>
      <c r="H241" s="296">
        <f t="shared" ca="1" si="58"/>
        <v>17.5</v>
      </c>
      <c r="I241" s="297">
        <f t="shared" ca="1" si="52"/>
        <v>-18</v>
      </c>
    </row>
    <row r="242" spans="1:9">
      <c r="A242" s="295">
        <f t="shared" si="50"/>
        <v>225</v>
      </c>
      <c r="B242" s="300">
        <f t="shared" si="54"/>
        <v>6819</v>
      </c>
      <c r="C242" s="296">
        <f t="shared" ca="1" si="53"/>
        <v>17.5</v>
      </c>
      <c r="D242" s="295"/>
      <c r="E242" s="296">
        <f t="shared" ca="1" si="59"/>
        <v>-0.25</v>
      </c>
      <c r="F242" s="296">
        <f t="shared" ca="1" si="56"/>
        <v>-0.25</v>
      </c>
      <c r="G242" s="296">
        <f t="shared" ca="1" si="57"/>
        <v>0</v>
      </c>
      <c r="H242" s="296">
        <f t="shared" ca="1" si="58"/>
        <v>17.75</v>
      </c>
      <c r="I242" s="297">
        <f t="shared" ca="1" si="52"/>
        <v>-18</v>
      </c>
    </row>
    <row r="243" spans="1:9">
      <c r="A243" s="295">
        <f t="shared" si="50"/>
        <v>226</v>
      </c>
      <c r="B243" s="300">
        <f t="shared" si="54"/>
        <v>6849</v>
      </c>
      <c r="C243" s="296">
        <f t="shared" ca="1" si="53"/>
        <v>17.75</v>
      </c>
      <c r="D243" s="295"/>
      <c r="E243" s="296">
        <f t="shared" si="59"/>
        <v>0</v>
      </c>
      <c r="F243" s="296">
        <f t="shared" ca="1" si="56"/>
        <v>0</v>
      </c>
      <c r="G243" s="296">
        <f t="shared" ca="1" si="57"/>
        <v>0</v>
      </c>
      <c r="H243" s="296">
        <f t="shared" ca="1" si="58"/>
        <v>17.75</v>
      </c>
      <c r="I243" s="297">
        <f t="shared" ca="1" si="52"/>
        <v>-18</v>
      </c>
    </row>
    <row r="244" spans="1:9">
      <c r="A244" s="295">
        <f t="shared" si="50"/>
        <v>227</v>
      </c>
      <c r="B244" s="300">
        <f t="shared" si="54"/>
        <v>6880</v>
      </c>
      <c r="C244" s="296">
        <f t="shared" ca="1" si="53"/>
        <v>17.75</v>
      </c>
      <c r="D244" s="295"/>
      <c r="E244" s="296">
        <f t="shared" si="59"/>
        <v>0</v>
      </c>
      <c r="F244" s="296">
        <f t="shared" ca="1" si="56"/>
        <v>0</v>
      </c>
      <c r="G244" s="296">
        <f t="shared" ca="1" si="57"/>
        <v>0</v>
      </c>
      <c r="H244" s="296">
        <f t="shared" ca="1" si="58"/>
        <v>17.75</v>
      </c>
      <c r="I244" s="297">
        <f t="shared" ca="1" si="52"/>
        <v>-18</v>
      </c>
    </row>
    <row r="245" spans="1:9">
      <c r="A245" s="295">
        <f t="shared" si="50"/>
        <v>228</v>
      </c>
      <c r="B245" s="300">
        <f t="shared" si="54"/>
        <v>6910</v>
      </c>
      <c r="C245" s="296">
        <f t="shared" ca="1" si="53"/>
        <v>17.75</v>
      </c>
      <c r="D245" s="296">
        <f ca="1">IF(H245&lt;0,0,0.25*(K36-L36))</f>
        <v>-0.25</v>
      </c>
      <c r="E245" s="296">
        <f t="shared" ca="1" si="59"/>
        <v>-0.25</v>
      </c>
      <c r="F245" s="296">
        <f t="shared" ca="1" si="56"/>
        <v>-0.25</v>
      </c>
      <c r="G245" s="296">
        <f t="shared" ca="1" si="57"/>
        <v>0</v>
      </c>
      <c r="H245" s="296">
        <f t="shared" ca="1" si="58"/>
        <v>18</v>
      </c>
      <c r="I245" s="297">
        <f t="shared" ca="1" si="52"/>
        <v>-18</v>
      </c>
    </row>
    <row r="246" spans="1:9">
      <c r="A246" s="295">
        <f t="shared" si="50"/>
        <v>229</v>
      </c>
      <c r="B246" s="300">
        <f t="shared" si="54"/>
        <v>6941</v>
      </c>
      <c r="C246" s="296">
        <f t="shared" ca="1" si="53"/>
        <v>18</v>
      </c>
      <c r="D246" s="296"/>
      <c r="E246" s="296">
        <f t="shared" ref="E246:E257" si="60">IF($D$10=1,
 IF(OR(MONTH(B246)=MONTH(EDATE($D$7,0)),MONTH(B246)=MONTH(EDATE($D$7,3)),MONTH(B246)=MONTH(EDATE($D$7,6)),MONTH(B246)=MONTH(EDATE($D$7,9))),(MIN($D$245,H245)),0),
IF($D$10=0,
 IF(OR(MONTH(B246)=MONTH(EDATE($D$7,2)),MONTH(B246)=MONTH(EDATE($D$7,5)),MONTH(B246)=MONTH(EDATE($D$7,8)),MONTH(B246)=MONTH(EDATE($D$7,11))),(MIN($D$245,H245)),0)))</f>
        <v>0</v>
      </c>
      <c r="F246" s="296">
        <f t="shared" ca="1" si="56"/>
        <v>0</v>
      </c>
      <c r="G246" s="296">
        <f t="shared" ca="1" si="57"/>
        <v>0</v>
      </c>
      <c r="H246" s="296">
        <f t="shared" ca="1" si="58"/>
        <v>18</v>
      </c>
      <c r="I246" s="297">
        <f t="shared" ca="1" si="52"/>
        <v>-18</v>
      </c>
    </row>
    <row r="247" spans="1:9">
      <c r="A247" s="295">
        <f t="shared" si="50"/>
        <v>230</v>
      </c>
      <c r="B247" s="300">
        <f t="shared" si="54"/>
        <v>6972</v>
      </c>
      <c r="C247" s="296">
        <f t="shared" ca="1" si="53"/>
        <v>18</v>
      </c>
      <c r="D247" s="295"/>
      <c r="E247" s="296">
        <f t="shared" si="60"/>
        <v>0</v>
      </c>
      <c r="F247" s="296">
        <f t="shared" ca="1" si="56"/>
        <v>0</v>
      </c>
      <c r="G247" s="296">
        <f t="shared" ca="1" si="57"/>
        <v>0</v>
      </c>
      <c r="H247" s="296">
        <f t="shared" ca="1" si="58"/>
        <v>18</v>
      </c>
      <c r="I247" s="297">
        <f t="shared" ca="1" si="52"/>
        <v>-18</v>
      </c>
    </row>
    <row r="248" spans="1:9">
      <c r="A248" s="295">
        <f t="shared" si="50"/>
        <v>231</v>
      </c>
      <c r="B248" s="300">
        <f t="shared" si="54"/>
        <v>7000</v>
      </c>
      <c r="C248" s="296">
        <f t="shared" ca="1" si="53"/>
        <v>18</v>
      </c>
      <c r="D248" s="295"/>
      <c r="E248" s="296">
        <f t="shared" ca="1" si="60"/>
        <v>-0.25</v>
      </c>
      <c r="F248" s="296">
        <f t="shared" ca="1" si="56"/>
        <v>-0.25</v>
      </c>
      <c r="G248" s="296">
        <f t="shared" ca="1" si="57"/>
        <v>0</v>
      </c>
      <c r="H248" s="296">
        <f t="shared" ca="1" si="58"/>
        <v>18.25</v>
      </c>
      <c r="I248" s="297">
        <f t="shared" ca="1" si="52"/>
        <v>-18</v>
      </c>
    </row>
    <row r="249" spans="1:9">
      <c r="A249" s="295">
        <f t="shared" si="50"/>
        <v>232</v>
      </c>
      <c r="B249" s="300">
        <f t="shared" si="54"/>
        <v>7031</v>
      </c>
      <c r="C249" s="296">
        <f t="shared" ca="1" si="53"/>
        <v>18.25</v>
      </c>
      <c r="D249" s="295"/>
      <c r="E249" s="296">
        <f t="shared" si="60"/>
        <v>0</v>
      </c>
      <c r="F249" s="296">
        <f t="shared" ca="1" si="56"/>
        <v>0</v>
      </c>
      <c r="G249" s="296">
        <f t="shared" ca="1" si="57"/>
        <v>0</v>
      </c>
      <c r="H249" s="296">
        <f t="shared" ca="1" si="58"/>
        <v>18.25</v>
      </c>
      <c r="I249" s="297">
        <f t="shared" ca="1" si="52"/>
        <v>-18</v>
      </c>
    </row>
    <row r="250" spans="1:9">
      <c r="A250" s="295">
        <f t="shared" si="50"/>
        <v>233</v>
      </c>
      <c r="B250" s="300">
        <f t="shared" si="54"/>
        <v>7061</v>
      </c>
      <c r="C250" s="296">
        <f t="shared" ca="1" si="53"/>
        <v>18.25</v>
      </c>
      <c r="D250" s="295"/>
      <c r="E250" s="296">
        <f t="shared" si="60"/>
        <v>0</v>
      </c>
      <c r="F250" s="296">
        <f t="shared" ca="1" si="56"/>
        <v>0</v>
      </c>
      <c r="G250" s="296">
        <f t="shared" ca="1" si="57"/>
        <v>0</v>
      </c>
      <c r="H250" s="296">
        <f t="shared" ca="1" si="58"/>
        <v>18.25</v>
      </c>
      <c r="I250" s="297">
        <f t="shared" ca="1" si="52"/>
        <v>-18</v>
      </c>
    </row>
    <row r="251" spans="1:9">
      <c r="A251" s="295">
        <f t="shared" si="50"/>
        <v>234</v>
      </c>
      <c r="B251" s="300">
        <f t="shared" si="54"/>
        <v>7092</v>
      </c>
      <c r="C251" s="296">
        <f t="shared" ca="1" si="53"/>
        <v>18.25</v>
      </c>
      <c r="D251" s="295"/>
      <c r="E251" s="296">
        <f t="shared" ca="1" si="60"/>
        <v>-0.25</v>
      </c>
      <c r="F251" s="296">
        <f t="shared" ca="1" si="56"/>
        <v>-0.25</v>
      </c>
      <c r="G251" s="296">
        <f t="shared" ca="1" si="57"/>
        <v>0</v>
      </c>
      <c r="H251" s="296">
        <f t="shared" ca="1" si="58"/>
        <v>18.5</v>
      </c>
      <c r="I251" s="297">
        <f t="shared" ca="1" si="52"/>
        <v>-19</v>
      </c>
    </row>
    <row r="252" spans="1:9">
      <c r="A252" s="295">
        <f t="shared" si="50"/>
        <v>235</v>
      </c>
      <c r="B252" s="300">
        <f t="shared" si="54"/>
        <v>7122</v>
      </c>
      <c r="C252" s="296">
        <f t="shared" ca="1" si="53"/>
        <v>18.5</v>
      </c>
      <c r="D252" s="295"/>
      <c r="E252" s="296">
        <f t="shared" si="60"/>
        <v>0</v>
      </c>
      <c r="F252" s="296">
        <f t="shared" ca="1" si="56"/>
        <v>0</v>
      </c>
      <c r="G252" s="296">
        <f t="shared" ca="1" si="57"/>
        <v>0</v>
      </c>
      <c r="H252" s="296">
        <f t="shared" ca="1" si="58"/>
        <v>18.5</v>
      </c>
      <c r="I252" s="297">
        <f t="shared" ca="1" si="52"/>
        <v>-19</v>
      </c>
    </row>
    <row r="253" spans="1:9">
      <c r="A253" s="295">
        <f t="shared" si="50"/>
        <v>236</v>
      </c>
      <c r="B253" s="300">
        <f t="shared" si="54"/>
        <v>7153</v>
      </c>
      <c r="C253" s="296">
        <f t="shared" ca="1" si="53"/>
        <v>18.5</v>
      </c>
      <c r="D253" s="295"/>
      <c r="E253" s="296">
        <f t="shared" si="60"/>
        <v>0</v>
      </c>
      <c r="F253" s="296">
        <f t="shared" ca="1" si="56"/>
        <v>0</v>
      </c>
      <c r="G253" s="296">
        <f t="shared" ca="1" si="57"/>
        <v>0</v>
      </c>
      <c r="H253" s="296">
        <f t="shared" ca="1" si="58"/>
        <v>18.5</v>
      </c>
      <c r="I253" s="297">
        <f t="shared" ca="1" si="52"/>
        <v>-19</v>
      </c>
    </row>
    <row r="254" spans="1:9">
      <c r="A254" s="295">
        <f t="shared" si="50"/>
        <v>237</v>
      </c>
      <c r="B254" s="300">
        <f t="shared" si="54"/>
        <v>7184</v>
      </c>
      <c r="C254" s="296">
        <f t="shared" ca="1" si="53"/>
        <v>18.5</v>
      </c>
      <c r="D254" s="295"/>
      <c r="E254" s="296">
        <f t="shared" ca="1" si="60"/>
        <v>-0.25</v>
      </c>
      <c r="F254" s="296">
        <f t="shared" ca="1" si="56"/>
        <v>-0.25</v>
      </c>
      <c r="G254" s="296">
        <f t="shared" ca="1" si="57"/>
        <v>0</v>
      </c>
      <c r="H254" s="296">
        <f t="shared" ca="1" si="58"/>
        <v>18.75</v>
      </c>
      <c r="I254" s="297">
        <f t="shared" ca="1" si="52"/>
        <v>-19</v>
      </c>
    </row>
    <row r="255" spans="1:9">
      <c r="A255" s="295">
        <f t="shared" si="50"/>
        <v>238</v>
      </c>
      <c r="B255" s="300">
        <f t="shared" si="54"/>
        <v>7214</v>
      </c>
      <c r="C255" s="296">
        <f t="shared" ca="1" si="53"/>
        <v>18.75</v>
      </c>
      <c r="D255" s="295"/>
      <c r="E255" s="296">
        <f t="shared" si="60"/>
        <v>0</v>
      </c>
      <c r="F255" s="296">
        <f t="shared" ca="1" si="56"/>
        <v>0</v>
      </c>
      <c r="G255" s="296">
        <f t="shared" ca="1" si="57"/>
        <v>0</v>
      </c>
      <c r="H255" s="296">
        <f t="shared" ca="1" si="58"/>
        <v>18.75</v>
      </c>
      <c r="I255" s="297">
        <f t="shared" ca="1" si="52"/>
        <v>-19</v>
      </c>
    </row>
    <row r="256" spans="1:9">
      <c r="A256" s="295">
        <f t="shared" si="50"/>
        <v>239</v>
      </c>
      <c r="B256" s="300">
        <f t="shared" si="54"/>
        <v>7245</v>
      </c>
      <c r="C256" s="296">
        <f t="shared" ca="1" si="53"/>
        <v>18.75</v>
      </c>
      <c r="D256" s="295"/>
      <c r="E256" s="296">
        <f t="shared" si="60"/>
        <v>0</v>
      </c>
      <c r="F256" s="296">
        <f t="shared" ca="1" si="56"/>
        <v>0</v>
      </c>
      <c r="G256" s="296">
        <f t="shared" ca="1" si="57"/>
        <v>0</v>
      </c>
      <c r="H256" s="296">
        <f t="shared" ca="1" si="58"/>
        <v>18.75</v>
      </c>
      <c r="I256" s="297">
        <f t="shared" ca="1" si="52"/>
        <v>-19</v>
      </c>
    </row>
    <row r="257" spans="1:9">
      <c r="A257" s="295">
        <f t="shared" si="50"/>
        <v>240</v>
      </c>
      <c r="B257" s="300">
        <f t="shared" si="54"/>
        <v>7275</v>
      </c>
      <c r="C257" s="296">
        <f t="shared" ca="1" si="53"/>
        <v>18.75</v>
      </c>
      <c r="D257" s="296">
        <f ca="1">IF(H257&lt;0,0,0.25*(K37-L37))</f>
        <v>-0.25</v>
      </c>
      <c r="E257" s="296">
        <f t="shared" ca="1" si="60"/>
        <v>-0.25</v>
      </c>
      <c r="F257" s="296">
        <f t="shared" ca="1" si="56"/>
        <v>-0.25</v>
      </c>
      <c r="G257" s="296">
        <f t="shared" ca="1" si="57"/>
        <v>0</v>
      </c>
      <c r="H257" s="296">
        <f t="shared" ca="1" si="58"/>
        <v>19</v>
      </c>
      <c r="I257" s="297">
        <f t="shared" ca="1" si="52"/>
        <v>-19</v>
      </c>
    </row>
    <row r="258" spans="1:9">
      <c r="A258" s="295">
        <f t="shared" si="50"/>
        <v>241</v>
      </c>
      <c r="B258" s="300">
        <f t="shared" si="54"/>
        <v>7306</v>
      </c>
      <c r="C258" s="296">
        <f t="shared" ca="1" si="53"/>
        <v>19</v>
      </c>
      <c r="D258" s="296"/>
      <c r="E258" s="296">
        <f t="shared" ref="E258:E269" si="61">IF($D$10=1,
 IF(OR(MONTH(B258)=MONTH(EDATE($D$7,0)),MONTH(B258)=MONTH(EDATE($D$7,3)),MONTH(B258)=MONTH(EDATE($D$7,6)),MONTH(B258)=MONTH(EDATE($D$7,9))),(MIN($D$257,H257)),0),
IF($D$10=0,
 IF(OR(MONTH(B258)=MONTH(EDATE($D$7,2)),MONTH(B258)=MONTH(EDATE($D$7,5)),MONTH(B258)=MONTH(EDATE($D$7,8)),MONTH(B258)=MONTH(EDATE($D$7,11))),(MIN($D$257,H257)),0)))</f>
        <v>0</v>
      </c>
      <c r="F258" s="296">
        <f t="shared" ca="1" si="56"/>
        <v>0</v>
      </c>
      <c r="G258" s="296">
        <f t="shared" ca="1" si="57"/>
        <v>0</v>
      </c>
      <c r="H258" s="296">
        <f t="shared" ca="1" si="58"/>
        <v>19</v>
      </c>
      <c r="I258" s="297">
        <f t="shared" ca="1" si="52"/>
        <v>-19</v>
      </c>
    </row>
    <row r="259" spans="1:9">
      <c r="A259" s="295">
        <f t="shared" si="50"/>
        <v>242</v>
      </c>
      <c r="B259" s="300">
        <f t="shared" si="54"/>
        <v>7337</v>
      </c>
      <c r="C259" s="296">
        <f t="shared" ca="1" si="53"/>
        <v>19</v>
      </c>
      <c r="D259" s="295"/>
      <c r="E259" s="296">
        <f t="shared" si="61"/>
        <v>0</v>
      </c>
      <c r="F259" s="296">
        <f t="shared" ca="1" si="56"/>
        <v>0</v>
      </c>
      <c r="G259" s="296">
        <f t="shared" ca="1" si="57"/>
        <v>0</v>
      </c>
      <c r="H259" s="296">
        <f t="shared" ca="1" si="58"/>
        <v>19</v>
      </c>
      <c r="I259" s="297">
        <f t="shared" ca="1" si="52"/>
        <v>-19</v>
      </c>
    </row>
    <row r="260" spans="1:9">
      <c r="A260" s="295">
        <f t="shared" si="50"/>
        <v>243</v>
      </c>
      <c r="B260" s="300">
        <f t="shared" si="54"/>
        <v>7366</v>
      </c>
      <c r="C260" s="296">
        <f t="shared" ca="1" si="53"/>
        <v>19</v>
      </c>
      <c r="D260" s="295"/>
      <c r="E260" s="296">
        <f t="shared" ca="1" si="61"/>
        <v>-0.25</v>
      </c>
      <c r="F260" s="296">
        <f t="shared" ca="1" si="56"/>
        <v>-0.25</v>
      </c>
      <c r="G260" s="296">
        <f t="shared" ca="1" si="57"/>
        <v>0</v>
      </c>
      <c r="H260" s="296">
        <f t="shared" ca="1" si="58"/>
        <v>19.25</v>
      </c>
      <c r="I260" s="297">
        <f t="shared" ca="1" si="52"/>
        <v>-19</v>
      </c>
    </row>
    <row r="261" spans="1:9">
      <c r="A261" s="295">
        <f t="shared" si="50"/>
        <v>244</v>
      </c>
      <c r="B261" s="300">
        <f t="shared" si="54"/>
        <v>7397</v>
      </c>
      <c r="C261" s="296">
        <f t="shared" ca="1" si="53"/>
        <v>19.25</v>
      </c>
      <c r="D261" s="295"/>
      <c r="E261" s="296">
        <f t="shared" si="61"/>
        <v>0</v>
      </c>
      <c r="F261" s="296">
        <f t="shared" ca="1" si="56"/>
        <v>0</v>
      </c>
      <c r="G261" s="296">
        <f t="shared" ca="1" si="57"/>
        <v>0</v>
      </c>
      <c r="H261" s="296">
        <f t="shared" ca="1" si="58"/>
        <v>19.25</v>
      </c>
      <c r="I261" s="297">
        <f t="shared" ca="1" si="52"/>
        <v>-19</v>
      </c>
    </row>
    <row r="262" spans="1:9">
      <c r="A262" s="295">
        <f t="shared" si="50"/>
        <v>245</v>
      </c>
      <c r="B262" s="300">
        <f t="shared" si="54"/>
        <v>7427</v>
      </c>
      <c r="C262" s="296">
        <f t="shared" ca="1" si="53"/>
        <v>19.25</v>
      </c>
      <c r="D262" s="295"/>
      <c r="E262" s="296">
        <f t="shared" si="61"/>
        <v>0</v>
      </c>
      <c r="F262" s="296">
        <f t="shared" ca="1" si="56"/>
        <v>0</v>
      </c>
      <c r="G262" s="296">
        <f t="shared" ca="1" si="57"/>
        <v>0</v>
      </c>
      <c r="H262" s="296">
        <f t="shared" ca="1" si="58"/>
        <v>19.25</v>
      </c>
      <c r="I262" s="297">
        <f t="shared" ca="1" si="52"/>
        <v>-19</v>
      </c>
    </row>
    <row r="263" spans="1:9">
      <c r="A263" s="295">
        <f t="shared" si="50"/>
        <v>246</v>
      </c>
      <c r="B263" s="300">
        <f t="shared" si="54"/>
        <v>7458</v>
      </c>
      <c r="C263" s="296">
        <f t="shared" ca="1" si="53"/>
        <v>19.25</v>
      </c>
      <c r="D263" s="295"/>
      <c r="E263" s="296">
        <f t="shared" ca="1" si="61"/>
        <v>-0.25</v>
      </c>
      <c r="F263" s="296">
        <f t="shared" ca="1" si="56"/>
        <v>-0.25</v>
      </c>
      <c r="G263" s="296">
        <f t="shared" ca="1" si="57"/>
        <v>0</v>
      </c>
      <c r="H263" s="296">
        <f t="shared" ca="1" si="58"/>
        <v>19.5</v>
      </c>
      <c r="I263" s="297">
        <f t="shared" ca="1" si="52"/>
        <v>-20</v>
      </c>
    </row>
    <row r="264" spans="1:9">
      <c r="A264" s="295">
        <f t="shared" si="50"/>
        <v>247</v>
      </c>
      <c r="B264" s="300">
        <f t="shared" si="54"/>
        <v>7488</v>
      </c>
      <c r="C264" s="296">
        <f t="shared" ca="1" si="53"/>
        <v>19.5</v>
      </c>
      <c r="D264" s="295"/>
      <c r="E264" s="296">
        <f t="shared" si="61"/>
        <v>0</v>
      </c>
      <c r="F264" s="296">
        <f t="shared" ca="1" si="56"/>
        <v>0</v>
      </c>
      <c r="G264" s="296">
        <f t="shared" ca="1" si="57"/>
        <v>0</v>
      </c>
      <c r="H264" s="296">
        <f t="shared" ca="1" si="58"/>
        <v>19.5</v>
      </c>
      <c r="I264" s="297">
        <f t="shared" ca="1" si="52"/>
        <v>-20</v>
      </c>
    </row>
    <row r="265" spans="1:9">
      <c r="A265" s="295">
        <f t="shared" si="50"/>
        <v>248</v>
      </c>
      <c r="B265" s="300">
        <f t="shared" si="54"/>
        <v>7519</v>
      </c>
      <c r="C265" s="296">
        <f t="shared" ca="1" si="53"/>
        <v>19.5</v>
      </c>
      <c r="D265" s="295"/>
      <c r="E265" s="296">
        <f t="shared" si="61"/>
        <v>0</v>
      </c>
      <c r="F265" s="296">
        <f t="shared" ca="1" si="56"/>
        <v>0</v>
      </c>
      <c r="G265" s="296">
        <f t="shared" ca="1" si="57"/>
        <v>0</v>
      </c>
      <c r="H265" s="296">
        <f t="shared" ca="1" si="58"/>
        <v>19.5</v>
      </c>
      <c r="I265" s="297">
        <f t="shared" ca="1" si="52"/>
        <v>-20</v>
      </c>
    </row>
    <row r="266" spans="1:9">
      <c r="A266" s="295">
        <f t="shared" si="50"/>
        <v>249</v>
      </c>
      <c r="B266" s="300">
        <f t="shared" si="54"/>
        <v>7550</v>
      </c>
      <c r="C266" s="296">
        <f t="shared" ca="1" si="53"/>
        <v>19.5</v>
      </c>
      <c r="D266" s="295"/>
      <c r="E266" s="296">
        <f t="shared" ca="1" si="61"/>
        <v>-0.25</v>
      </c>
      <c r="F266" s="296">
        <f t="shared" ca="1" si="56"/>
        <v>-0.25</v>
      </c>
      <c r="G266" s="296">
        <f t="shared" ca="1" si="57"/>
        <v>0</v>
      </c>
      <c r="H266" s="296">
        <f t="shared" ca="1" si="58"/>
        <v>19.75</v>
      </c>
      <c r="I266" s="297">
        <f t="shared" ca="1" si="52"/>
        <v>-20</v>
      </c>
    </row>
    <row r="267" spans="1:9">
      <c r="A267" s="295">
        <f t="shared" si="50"/>
        <v>250</v>
      </c>
      <c r="B267" s="300">
        <f t="shared" si="54"/>
        <v>7580</v>
      </c>
      <c r="C267" s="296">
        <f t="shared" ca="1" si="53"/>
        <v>19.75</v>
      </c>
      <c r="D267" s="295"/>
      <c r="E267" s="296">
        <f t="shared" si="61"/>
        <v>0</v>
      </c>
      <c r="F267" s="296">
        <f t="shared" ca="1" si="56"/>
        <v>0</v>
      </c>
      <c r="G267" s="296">
        <f t="shared" ca="1" si="57"/>
        <v>0</v>
      </c>
      <c r="H267" s="296">
        <f t="shared" ca="1" si="58"/>
        <v>19.75</v>
      </c>
      <c r="I267" s="297">
        <f t="shared" ca="1" si="52"/>
        <v>-20</v>
      </c>
    </row>
    <row r="268" spans="1:9">
      <c r="A268" s="295">
        <f t="shared" si="50"/>
        <v>251</v>
      </c>
      <c r="B268" s="300">
        <f t="shared" si="54"/>
        <v>7611</v>
      </c>
      <c r="C268" s="296">
        <f t="shared" ca="1" si="53"/>
        <v>19.75</v>
      </c>
      <c r="D268" s="295"/>
      <c r="E268" s="296">
        <f t="shared" si="61"/>
        <v>0</v>
      </c>
      <c r="F268" s="296">
        <f t="shared" ca="1" si="56"/>
        <v>0</v>
      </c>
      <c r="G268" s="296">
        <f t="shared" ca="1" si="57"/>
        <v>0</v>
      </c>
      <c r="H268" s="296">
        <f t="shared" ca="1" si="58"/>
        <v>19.75</v>
      </c>
      <c r="I268" s="297">
        <f t="shared" ca="1" si="52"/>
        <v>-20</v>
      </c>
    </row>
    <row r="269" spans="1:9">
      <c r="A269" s="295">
        <f t="shared" si="50"/>
        <v>252</v>
      </c>
      <c r="B269" s="300">
        <f t="shared" si="54"/>
        <v>7641</v>
      </c>
      <c r="C269" s="296">
        <f t="shared" ca="1" si="53"/>
        <v>19.75</v>
      </c>
      <c r="D269" s="296">
        <f ca="1">IF(H269&lt;0,0,0.25*(K38-L38))</f>
        <v>-0.25</v>
      </c>
      <c r="E269" s="296">
        <f t="shared" ca="1" si="61"/>
        <v>-0.25</v>
      </c>
      <c r="F269" s="296">
        <f t="shared" ca="1" si="56"/>
        <v>-0.25</v>
      </c>
      <c r="G269" s="296">
        <f t="shared" ca="1" si="57"/>
        <v>0</v>
      </c>
      <c r="H269" s="296">
        <f t="shared" ca="1" si="58"/>
        <v>20</v>
      </c>
      <c r="I269" s="297">
        <f t="shared" ca="1" si="52"/>
        <v>-20</v>
      </c>
    </row>
    <row r="270" spans="1:9">
      <c r="A270" s="295">
        <f t="shared" si="50"/>
        <v>253</v>
      </c>
      <c r="B270" s="300">
        <f t="shared" si="54"/>
        <v>7672</v>
      </c>
      <c r="C270" s="296">
        <f t="shared" ca="1" si="53"/>
        <v>20</v>
      </c>
      <c r="D270" s="296"/>
      <c r="E270" s="296">
        <f t="shared" ref="E270:E281" si="62">IF($D$10=1,
 IF(OR(MONTH(B270)=MONTH(EDATE($D$7,0)),MONTH(B270)=MONTH(EDATE($D$7,3)),MONTH(B270)=MONTH(EDATE($D$7,6)),MONTH(B270)=MONTH(EDATE($D$7,9))),(MIN($D$269,H269)),0),
IF($D$10=0,
 IF(OR(MONTH(B270)=MONTH(EDATE($D$7,2)),MONTH(B270)=MONTH(EDATE($D$7,5)),MONTH(B270)=MONTH(EDATE($D$7,8)),MONTH(B270)=MONTH(EDATE($D$7,11))),(MIN($D$269,H269)),0)))</f>
        <v>0</v>
      </c>
      <c r="F270" s="296">
        <f t="shared" ca="1" si="56"/>
        <v>0</v>
      </c>
      <c r="G270" s="296">
        <f t="shared" ca="1" si="57"/>
        <v>0</v>
      </c>
      <c r="H270" s="296">
        <f t="shared" ca="1" si="58"/>
        <v>20</v>
      </c>
      <c r="I270" s="297">
        <f t="shared" ca="1" si="52"/>
        <v>-20</v>
      </c>
    </row>
    <row r="271" spans="1:9">
      <c r="A271" s="295">
        <f t="shared" si="50"/>
        <v>254</v>
      </c>
      <c r="B271" s="300">
        <f t="shared" si="54"/>
        <v>7703</v>
      </c>
      <c r="C271" s="296">
        <f t="shared" ca="1" si="53"/>
        <v>20</v>
      </c>
      <c r="D271" s="295"/>
      <c r="E271" s="296">
        <f t="shared" si="62"/>
        <v>0</v>
      </c>
      <c r="F271" s="296">
        <f t="shared" ca="1" si="56"/>
        <v>0</v>
      </c>
      <c r="G271" s="296">
        <f t="shared" ca="1" si="57"/>
        <v>0</v>
      </c>
      <c r="H271" s="296">
        <f t="shared" ca="1" si="58"/>
        <v>20</v>
      </c>
      <c r="I271" s="297">
        <f t="shared" ca="1" si="52"/>
        <v>-20</v>
      </c>
    </row>
    <row r="272" spans="1:9">
      <c r="A272" s="295">
        <f t="shared" si="50"/>
        <v>255</v>
      </c>
      <c r="B272" s="300">
        <f t="shared" si="54"/>
        <v>7731</v>
      </c>
      <c r="C272" s="296">
        <f t="shared" ca="1" si="53"/>
        <v>20</v>
      </c>
      <c r="D272" s="295"/>
      <c r="E272" s="296">
        <f t="shared" ca="1" si="62"/>
        <v>-0.25</v>
      </c>
      <c r="F272" s="296">
        <f t="shared" ca="1" si="56"/>
        <v>-0.25</v>
      </c>
      <c r="G272" s="296">
        <f t="shared" ca="1" si="57"/>
        <v>0</v>
      </c>
      <c r="H272" s="296">
        <f t="shared" ca="1" si="58"/>
        <v>20.25</v>
      </c>
      <c r="I272" s="297">
        <f t="shared" ca="1" si="52"/>
        <v>-20</v>
      </c>
    </row>
    <row r="273" spans="1:9">
      <c r="A273" s="295">
        <f t="shared" si="50"/>
        <v>256</v>
      </c>
      <c r="B273" s="300">
        <f t="shared" si="54"/>
        <v>7762</v>
      </c>
      <c r="C273" s="296">
        <f t="shared" ca="1" si="53"/>
        <v>20.25</v>
      </c>
      <c r="D273" s="295"/>
      <c r="E273" s="296">
        <f t="shared" si="62"/>
        <v>0</v>
      </c>
      <c r="F273" s="296">
        <f t="shared" ca="1" si="56"/>
        <v>0</v>
      </c>
      <c r="G273" s="296">
        <f t="shared" ca="1" si="57"/>
        <v>0</v>
      </c>
      <c r="H273" s="296">
        <f t="shared" ca="1" si="58"/>
        <v>20.25</v>
      </c>
      <c r="I273" s="297">
        <f t="shared" ca="1" si="52"/>
        <v>-20</v>
      </c>
    </row>
    <row r="274" spans="1:9">
      <c r="A274" s="295">
        <f t="shared" ref="A274:A337" si="63">IF(A273="","",IF(A273=$D$6,"",A273+1))</f>
        <v>257</v>
      </c>
      <c r="B274" s="300">
        <f t="shared" si="54"/>
        <v>7792</v>
      </c>
      <c r="C274" s="296">
        <f t="shared" ca="1" si="53"/>
        <v>20.25</v>
      </c>
      <c r="D274" s="295"/>
      <c r="E274" s="296">
        <f t="shared" si="62"/>
        <v>0</v>
      </c>
      <c r="F274" s="296">
        <f t="shared" ca="1" si="56"/>
        <v>0</v>
      </c>
      <c r="G274" s="296">
        <f t="shared" ca="1" si="57"/>
        <v>0</v>
      </c>
      <c r="H274" s="296">
        <f t="shared" ca="1" si="58"/>
        <v>20.25</v>
      </c>
      <c r="I274" s="297">
        <f t="shared" ref="I274:I337" ca="1" si="64">ROUND((D274-H274),0)</f>
        <v>-20</v>
      </c>
    </row>
    <row r="275" spans="1:9">
      <c r="A275" s="295">
        <f t="shared" si="63"/>
        <v>258</v>
      </c>
      <c r="B275" s="300">
        <f t="shared" si="54"/>
        <v>7823</v>
      </c>
      <c r="C275" s="296">
        <f t="shared" ref="C275:C338" ca="1" si="65">IF(H274=0,0,H274)</f>
        <v>20.25</v>
      </c>
      <c r="D275" s="295"/>
      <c r="E275" s="296">
        <f t="shared" ca="1" si="62"/>
        <v>-0.25</v>
      </c>
      <c r="F275" s="296">
        <f t="shared" ca="1" si="56"/>
        <v>-0.25</v>
      </c>
      <c r="G275" s="296">
        <f t="shared" ca="1" si="57"/>
        <v>0</v>
      </c>
      <c r="H275" s="296">
        <f t="shared" ca="1" si="58"/>
        <v>20.5</v>
      </c>
      <c r="I275" s="297">
        <f t="shared" ca="1" si="64"/>
        <v>-21</v>
      </c>
    </row>
    <row r="276" spans="1:9">
      <c r="A276" s="295">
        <f t="shared" si="63"/>
        <v>259</v>
      </c>
      <c r="B276" s="300">
        <f t="shared" ref="B276:B339" si="66">DATE(YEAR(B275),MONTH(B275)+1,1)</f>
        <v>7853</v>
      </c>
      <c r="C276" s="296">
        <f t="shared" ca="1" si="65"/>
        <v>20.5</v>
      </c>
      <c r="D276" s="295"/>
      <c r="E276" s="296">
        <f t="shared" si="62"/>
        <v>0</v>
      </c>
      <c r="F276" s="296">
        <f t="shared" ca="1" si="56"/>
        <v>0</v>
      </c>
      <c r="G276" s="296">
        <f t="shared" ca="1" si="57"/>
        <v>0</v>
      </c>
      <c r="H276" s="296">
        <f t="shared" ca="1" si="58"/>
        <v>20.5</v>
      </c>
      <c r="I276" s="297">
        <f t="shared" ca="1" si="64"/>
        <v>-21</v>
      </c>
    </row>
    <row r="277" spans="1:9">
      <c r="A277" s="295">
        <f t="shared" si="63"/>
        <v>260</v>
      </c>
      <c r="B277" s="300">
        <f t="shared" si="66"/>
        <v>7884</v>
      </c>
      <c r="C277" s="296">
        <f t="shared" ca="1" si="65"/>
        <v>20.5</v>
      </c>
      <c r="D277" s="295"/>
      <c r="E277" s="296">
        <f t="shared" si="62"/>
        <v>0</v>
      </c>
      <c r="F277" s="296">
        <f t="shared" ca="1" si="56"/>
        <v>0</v>
      </c>
      <c r="G277" s="296">
        <f t="shared" ca="1" si="57"/>
        <v>0</v>
      </c>
      <c r="H277" s="296">
        <f t="shared" ca="1" si="58"/>
        <v>20.5</v>
      </c>
      <c r="I277" s="297">
        <f t="shared" ca="1" si="64"/>
        <v>-21</v>
      </c>
    </row>
    <row r="278" spans="1:9">
      <c r="A278" s="295">
        <f t="shared" si="63"/>
        <v>261</v>
      </c>
      <c r="B278" s="300">
        <f t="shared" si="66"/>
        <v>7915</v>
      </c>
      <c r="C278" s="296">
        <f t="shared" ca="1" si="65"/>
        <v>20.5</v>
      </c>
      <c r="D278" s="295"/>
      <c r="E278" s="296">
        <f t="shared" ca="1" si="62"/>
        <v>-0.25</v>
      </c>
      <c r="F278" s="296">
        <f t="shared" ca="1" si="56"/>
        <v>-0.25</v>
      </c>
      <c r="G278" s="296">
        <f t="shared" ca="1" si="57"/>
        <v>0</v>
      </c>
      <c r="H278" s="296">
        <f t="shared" ca="1" si="58"/>
        <v>20.75</v>
      </c>
      <c r="I278" s="297">
        <f t="shared" ca="1" si="64"/>
        <v>-21</v>
      </c>
    </row>
    <row r="279" spans="1:9">
      <c r="A279" s="295">
        <f t="shared" si="63"/>
        <v>262</v>
      </c>
      <c r="B279" s="300">
        <f t="shared" si="66"/>
        <v>7945</v>
      </c>
      <c r="C279" s="296">
        <f t="shared" ca="1" si="65"/>
        <v>20.75</v>
      </c>
      <c r="D279" s="295"/>
      <c r="E279" s="296">
        <f t="shared" si="62"/>
        <v>0</v>
      </c>
      <c r="F279" s="296">
        <f t="shared" ca="1" si="56"/>
        <v>0</v>
      </c>
      <c r="G279" s="296">
        <f t="shared" ca="1" si="57"/>
        <v>0</v>
      </c>
      <c r="H279" s="296">
        <f t="shared" ca="1" si="58"/>
        <v>20.75</v>
      </c>
      <c r="I279" s="297">
        <f t="shared" ca="1" si="64"/>
        <v>-21</v>
      </c>
    </row>
    <row r="280" spans="1:9">
      <c r="A280" s="295">
        <f t="shared" si="63"/>
        <v>263</v>
      </c>
      <c r="B280" s="300">
        <f t="shared" si="66"/>
        <v>7976</v>
      </c>
      <c r="C280" s="296">
        <f t="shared" ca="1" si="65"/>
        <v>20.75</v>
      </c>
      <c r="D280" s="295"/>
      <c r="E280" s="296">
        <f t="shared" si="62"/>
        <v>0</v>
      </c>
      <c r="F280" s="296">
        <f t="shared" ca="1" si="56"/>
        <v>0</v>
      </c>
      <c r="G280" s="296">
        <f t="shared" ca="1" si="57"/>
        <v>0</v>
      </c>
      <c r="H280" s="296">
        <f t="shared" ca="1" si="58"/>
        <v>20.75</v>
      </c>
      <c r="I280" s="297">
        <f t="shared" ca="1" si="64"/>
        <v>-21</v>
      </c>
    </row>
    <row r="281" spans="1:9">
      <c r="A281" s="295">
        <f t="shared" si="63"/>
        <v>264</v>
      </c>
      <c r="B281" s="300">
        <f t="shared" si="66"/>
        <v>8006</v>
      </c>
      <c r="C281" s="296">
        <f t="shared" ca="1" si="65"/>
        <v>20.75</v>
      </c>
      <c r="D281" s="296">
        <f ca="1">IF(H281&lt;0,0,0.25*(K39-L39))</f>
        <v>-0.25</v>
      </c>
      <c r="E281" s="296">
        <f t="shared" ca="1" si="62"/>
        <v>-0.25</v>
      </c>
      <c r="F281" s="296">
        <f t="shared" ca="1" si="56"/>
        <v>-0.25</v>
      </c>
      <c r="G281" s="296">
        <f t="shared" ca="1" si="57"/>
        <v>0</v>
      </c>
      <c r="H281" s="296">
        <f t="shared" ca="1" si="58"/>
        <v>21</v>
      </c>
      <c r="I281" s="297">
        <f t="shared" ca="1" si="64"/>
        <v>-21</v>
      </c>
    </row>
    <row r="282" spans="1:9">
      <c r="A282" s="295">
        <f t="shared" si="63"/>
        <v>265</v>
      </c>
      <c r="B282" s="300">
        <f t="shared" si="66"/>
        <v>8037</v>
      </c>
      <c r="C282" s="296">
        <f t="shared" ca="1" si="65"/>
        <v>21</v>
      </c>
      <c r="D282" s="296"/>
      <c r="E282" s="296">
        <f t="shared" ref="E282:E293" si="67">IF($D$10=1,
 IF(OR(MONTH(B282)=MONTH(EDATE($D$7,0)),MONTH(B282)=MONTH(EDATE($D$7,3)),MONTH(B282)=MONTH(EDATE($D$7,6)),MONTH(B282)=MONTH(EDATE($D$7,9))),(MIN($D$281,H281)),0),
IF($D$10=0,
 IF(OR(MONTH(B282)=MONTH(EDATE($D$7,2)),MONTH(B282)=MONTH(EDATE($D$7,5)),MONTH(B282)=MONTH(EDATE($D$7,8)),MONTH(B282)=MONTH(EDATE($D$7,11))),(MIN($D$281,H281)),0)))</f>
        <v>0</v>
      </c>
      <c r="F282" s="296">
        <f t="shared" ca="1" si="56"/>
        <v>0</v>
      </c>
      <c r="G282" s="296">
        <f t="shared" ca="1" si="57"/>
        <v>0</v>
      </c>
      <c r="H282" s="296">
        <f t="shared" ca="1" si="58"/>
        <v>21</v>
      </c>
      <c r="I282" s="297">
        <f t="shared" ca="1" si="64"/>
        <v>-21</v>
      </c>
    </row>
    <row r="283" spans="1:9">
      <c r="A283" s="295">
        <f t="shared" si="63"/>
        <v>266</v>
      </c>
      <c r="B283" s="300">
        <f t="shared" si="66"/>
        <v>8068</v>
      </c>
      <c r="C283" s="296">
        <f t="shared" ca="1" si="65"/>
        <v>21</v>
      </c>
      <c r="D283" s="295"/>
      <c r="E283" s="296">
        <f t="shared" si="67"/>
        <v>0</v>
      </c>
      <c r="F283" s="296">
        <f t="shared" ca="1" si="56"/>
        <v>0</v>
      </c>
      <c r="G283" s="296">
        <f t="shared" ca="1" si="57"/>
        <v>0</v>
      </c>
      <c r="H283" s="296">
        <f t="shared" ca="1" si="58"/>
        <v>21</v>
      </c>
      <c r="I283" s="297">
        <f t="shared" ca="1" si="64"/>
        <v>-21</v>
      </c>
    </row>
    <row r="284" spans="1:9">
      <c r="A284" s="295">
        <f t="shared" si="63"/>
        <v>267</v>
      </c>
      <c r="B284" s="300">
        <f t="shared" si="66"/>
        <v>8096</v>
      </c>
      <c r="C284" s="296">
        <f t="shared" ca="1" si="65"/>
        <v>21</v>
      </c>
      <c r="D284" s="295"/>
      <c r="E284" s="296">
        <f t="shared" ca="1" si="67"/>
        <v>-0.25</v>
      </c>
      <c r="F284" s="296">
        <f t="shared" ca="1" si="56"/>
        <v>-0.25</v>
      </c>
      <c r="G284" s="296">
        <f t="shared" ca="1" si="57"/>
        <v>0</v>
      </c>
      <c r="H284" s="296">
        <f t="shared" ca="1" si="58"/>
        <v>21.25</v>
      </c>
      <c r="I284" s="297">
        <f t="shared" ca="1" si="64"/>
        <v>-21</v>
      </c>
    </row>
    <row r="285" spans="1:9">
      <c r="A285" s="295">
        <f t="shared" si="63"/>
        <v>268</v>
      </c>
      <c r="B285" s="300">
        <f t="shared" si="66"/>
        <v>8127</v>
      </c>
      <c r="C285" s="296">
        <f t="shared" ca="1" si="65"/>
        <v>21.25</v>
      </c>
      <c r="D285" s="295"/>
      <c r="E285" s="296">
        <f t="shared" si="67"/>
        <v>0</v>
      </c>
      <c r="F285" s="296">
        <f t="shared" ca="1" si="56"/>
        <v>0</v>
      </c>
      <c r="G285" s="296">
        <f t="shared" ca="1" si="57"/>
        <v>0</v>
      </c>
      <c r="H285" s="296">
        <f t="shared" ca="1" si="58"/>
        <v>21.25</v>
      </c>
      <c r="I285" s="297">
        <f t="shared" ca="1" si="64"/>
        <v>-21</v>
      </c>
    </row>
    <row r="286" spans="1:9">
      <c r="A286" s="295">
        <f t="shared" si="63"/>
        <v>269</v>
      </c>
      <c r="B286" s="300">
        <f t="shared" si="66"/>
        <v>8157</v>
      </c>
      <c r="C286" s="296">
        <f t="shared" ca="1" si="65"/>
        <v>21.25</v>
      </c>
      <c r="D286" s="295"/>
      <c r="E286" s="296">
        <f t="shared" si="67"/>
        <v>0</v>
      </c>
      <c r="F286" s="296">
        <f t="shared" ref="F286:F349" ca="1" si="68">IF(E286="","",E286-G286)</f>
        <v>0</v>
      </c>
      <c r="G286" s="296">
        <f t="shared" ref="G286:G349" ca="1" si="69">ROUND((C286-E286)*$D$5,3)</f>
        <v>0</v>
      </c>
      <c r="H286" s="296">
        <f t="shared" ref="H286:H349" ca="1" si="70">IF(E286="","",ROUND(H285-F286,4))</f>
        <v>21.25</v>
      </c>
      <c r="I286" s="297">
        <f t="shared" ca="1" si="64"/>
        <v>-21</v>
      </c>
    </row>
    <row r="287" spans="1:9">
      <c r="A287" s="295">
        <f t="shared" si="63"/>
        <v>270</v>
      </c>
      <c r="B287" s="300">
        <f t="shared" si="66"/>
        <v>8188</v>
      </c>
      <c r="C287" s="296">
        <f t="shared" ca="1" si="65"/>
        <v>21.25</v>
      </c>
      <c r="D287" s="295"/>
      <c r="E287" s="296">
        <f t="shared" ca="1" si="67"/>
        <v>-0.25</v>
      </c>
      <c r="F287" s="296">
        <f t="shared" ca="1" si="68"/>
        <v>-0.25</v>
      </c>
      <c r="G287" s="296">
        <f t="shared" ca="1" si="69"/>
        <v>0</v>
      </c>
      <c r="H287" s="296">
        <f t="shared" ca="1" si="70"/>
        <v>21.5</v>
      </c>
      <c r="I287" s="297">
        <f t="shared" ca="1" si="64"/>
        <v>-22</v>
      </c>
    </row>
    <row r="288" spans="1:9">
      <c r="A288" s="295">
        <f t="shared" si="63"/>
        <v>271</v>
      </c>
      <c r="B288" s="300">
        <f t="shared" si="66"/>
        <v>8218</v>
      </c>
      <c r="C288" s="296">
        <f t="shared" ca="1" si="65"/>
        <v>21.5</v>
      </c>
      <c r="D288" s="295"/>
      <c r="E288" s="296">
        <f t="shared" si="67"/>
        <v>0</v>
      </c>
      <c r="F288" s="296">
        <f t="shared" ca="1" si="68"/>
        <v>0</v>
      </c>
      <c r="G288" s="296">
        <f t="shared" ca="1" si="69"/>
        <v>0</v>
      </c>
      <c r="H288" s="296">
        <f t="shared" ca="1" si="70"/>
        <v>21.5</v>
      </c>
      <c r="I288" s="297">
        <f t="shared" ca="1" si="64"/>
        <v>-22</v>
      </c>
    </row>
    <row r="289" spans="1:9">
      <c r="A289" s="295">
        <f t="shared" si="63"/>
        <v>272</v>
      </c>
      <c r="B289" s="300">
        <f t="shared" si="66"/>
        <v>8249</v>
      </c>
      <c r="C289" s="296">
        <f t="shared" ca="1" si="65"/>
        <v>21.5</v>
      </c>
      <c r="D289" s="295"/>
      <c r="E289" s="296">
        <f t="shared" si="67"/>
        <v>0</v>
      </c>
      <c r="F289" s="296">
        <f t="shared" ca="1" si="68"/>
        <v>0</v>
      </c>
      <c r="G289" s="296">
        <f t="shared" ca="1" si="69"/>
        <v>0</v>
      </c>
      <c r="H289" s="296">
        <f t="shared" ca="1" si="70"/>
        <v>21.5</v>
      </c>
      <c r="I289" s="297">
        <f t="shared" ca="1" si="64"/>
        <v>-22</v>
      </c>
    </row>
    <row r="290" spans="1:9">
      <c r="A290" s="295">
        <f t="shared" si="63"/>
        <v>273</v>
      </c>
      <c r="B290" s="300">
        <f t="shared" si="66"/>
        <v>8280</v>
      </c>
      <c r="C290" s="296">
        <f t="shared" ca="1" si="65"/>
        <v>21.5</v>
      </c>
      <c r="D290" s="295"/>
      <c r="E290" s="296">
        <f t="shared" ca="1" si="67"/>
        <v>-0.25</v>
      </c>
      <c r="F290" s="296">
        <f t="shared" ca="1" si="68"/>
        <v>-0.25</v>
      </c>
      <c r="G290" s="296">
        <f t="shared" ca="1" si="69"/>
        <v>0</v>
      </c>
      <c r="H290" s="296">
        <f t="shared" ca="1" si="70"/>
        <v>21.75</v>
      </c>
      <c r="I290" s="297">
        <f t="shared" ca="1" si="64"/>
        <v>-22</v>
      </c>
    </row>
    <row r="291" spans="1:9">
      <c r="A291" s="295">
        <f t="shared" si="63"/>
        <v>274</v>
      </c>
      <c r="B291" s="300">
        <f t="shared" si="66"/>
        <v>8310</v>
      </c>
      <c r="C291" s="296">
        <f t="shared" ca="1" si="65"/>
        <v>21.75</v>
      </c>
      <c r="D291" s="295"/>
      <c r="E291" s="296">
        <f t="shared" si="67"/>
        <v>0</v>
      </c>
      <c r="F291" s="296">
        <f t="shared" ca="1" si="68"/>
        <v>0</v>
      </c>
      <c r="G291" s="296">
        <f t="shared" ca="1" si="69"/>
        <v>0</v>
      </c>
      <c r="H291" s="296">
        <f t="shared" ca="1" si="70"/>
        <v>21.75</v>
      </c>
      <c r="I291" s="297">
        <f t="shared" ca="1" si="64"/>
        <v>-22</v>
      </c>
    </row>
    <row r="292" spans="1:9">
      <c r="A292" s="295">
        <f t="shared" si="63"/>
        <v>275</v>
      </c>
      <c r="B292" s="300">
        <f t="shared" si="66"/>
        <v>8341</v>
      </c>
      <c r="C292" s="296">
        <f t="shared" ca="1" si="65"/>
        <v>21.75</v>
      </c>
      <c r="D292" s="295"/>
      <c r="E292" s="296">
        <f t="shared" si="67"/>
        <v>0</v>
      </c>
      <c r="F292" s="296">
        <f t="shared" ca="1" si="68"/>
        <v>0</v>
      </c>
      <c r="G292" s="296">
        <f t="shared" ca="1" si="69"/>
        <v>0</v>
      </c>
      <c r="H292" s="296">
        <f t="shared" ca="1" si="70"/>
        <v>21.75</v>
      </c>
      <c r="I292" s="297">
        <f t="shared" ca="1" si="64"/>
        <v>-22</v>
      </c>
    </row>
    <row r="293" spans="1:9">
      <c r="A293" s="295">
        <f t="shared" si="63"/>
        <v>276</v>
      </c>
      <c r="B293" s="300">
        <f t="shared" si="66"/>
        <v>8371</v>
      </c>
      <c r="C293" s="296">
        <f t="shared" ca="1" si="65"/>
        <v>21.75</v>
      </c>
      <c r="D293" s="296">
        <f ca="1">IF(H293&lt;0,0,0.25*(K40-L40))</f>
        <v>-0.25</v>
      </c>
      <c r="E293" s="296">
        <f t="shared" ca="1" si="67"/>
        <v>-0.25</v>
      </c>
      <c r="F293" s="296">
        <f t="shared" ca="1" si="68"/>
        <v>-0.25</v>
      </c>
      <c r="G293" s="296">
        <f t="shared" ca="1" si="69"/>
        <v>0</v>
      </c>
      <c r="H293" s="296">
        <f t="shared" ca="1" si="70"/>
        <v>22</v>
      </c>
      <c r="I293" s="297">
        <f t="shared" ca="1" si="64"/>
        <v>-22</v>
      </c>
    </row>
    <row r="294" spans="1:9">
      <c r="A294" s="295">
        <f t="shared" si="63"/>
        <v>277</v>
      </c>
      <c r="B294" s="300">
        <f t="shared" si="66"/>
        <v>8402</v>
      </c>
      <c r="C294" s="296">
        <f t="shared" ca="1" si="65"/>
        <v>22</v>
      </c>
      <c r="D294" s="295"/>
      <c r="E294" s="296">
        <f t="shared" ref="E294:E305" si="71">IF($D$10=1,
 IF(OR(MONTH(B294)=MONTH(EDATE($D$7,0)),MONTH(B294)=MONTH(EDATE($D$7,3)),MONTH(B294)=MONTH(EDATE($D$7,6)),MONTH(B294)=MONTH(EDATE($D$7,9))),(MIN($D$293,H293)),0),
IF($D$10=0,
 IF(OR(MONTH(B294)=MONTH(EDATE($D$7,2)),MONTH(B294)=MONTH(EDATE($D$7,5)),MONTH(B294)=MONTH(EDATE($D$7,8)),MONTH(B294)=MONTH(EDATE($D$7,11))),(MIN($D$293,H293)),0)))</f>
        <v>0</v>
      </c>
      <c r="F294" s="296">
        <f t="shared" ca="1" si="68"/>
        <v>0</v>
      </c>
      <c r="G294" s="296">
        <f t="shared" ca="1" si="69"/>
        <v>0</v>
      </c>
      <c r="H294" s="296">
        <f t="shared" ca="1" si="70"/>
        <v>22</v>
      </c>
      <c r="I294" s="297">
        <f t="shared" ca="1" si="64"/>
        <v>-22</v>
      </c>
    </row>
    <row r="295" spans="1:9">
      <c r="A295" s="295">
        <f t="shared" si="63"/>
        <v>278</v>
      </c>
      <c r="B295" s="300">
        <f t="shared" si="66"/>
        <v>8433</v>
      </c>
      <c r="C295" s="296">
        <f t="shared" ca="1" si="65"/>
        <v>22</v>
      </c>
      <c r="D295" s="295"/>
      <c r="E295" s="296">
        <f t="shared" si="71"/>
        <v>0</v>
      </c>
      <c r="F295" s="296">
        <f t="shared" ca="1" si="68"/>
        <v>0</v>
      </c>
      <c r="G295" s="296">
        <f t="shared" ca="1" si="69"/>
        <v>0</v>
      </c>
      <c r="H295" s="296">
        <f t="shared" ca="1" si="70"/>
        <v>22</v>
      </c>
      <c r="I295" s="297">
        <f t="shared" ca="1" si="64"/>
        <v>-22</v>
      </c>
    </row>
    <row r="296" spans="1:9">
      <c r="A296" s="295">
        <f t="shared" si="63"/>
        <v>279</v>
      </c>
      <c r="B296" s="300">
        <f t="shared" si="66"/>
        <v>8461</v>
      </c>
      <c r="C296" s="296">
        <f t="shared" ca="1" si="65"/>
        <v>22</v>
      </c>
      <c r="D296" s="295"/>
      <c r="E296" s="296">
        <f t="shared" ca="1" si="71"/>
        <v>-0.25</v>
      </c>
      <c r="F296" s="296">
        <f t="shared" ca="1" si="68"/>
        <v>-0.25</v>
      </c>
      <c r="G296" s="296">
        <f t="shared" ca="1" si="69"/>
        <v>0</v>
      </c>
      <c r="H296" s="296">
        <f t="shared" ca="1" si="70"/>
        <v>22.25</v>
      </c>
      <c r="I296" s="297">
        <f t="shared" ca="1" si="64"/>
        <v>-22</v>
      </c>
    </row>
    <row r="297" spans="1:9">
      <c r="A297" s="295">
        <f t="shared" si="63"/>
        <v>280</v>
      </c>
      <c r="B297" s="300">
        <f t="shared" si="66"/>
        <v>8492</v>
      </c>
      <c r="C297" s="296">
        <f t="shared" ca="1" si="65"/>
        <v>22.25</v>
      </c>
      <c r="D297" s="295"/>
      <c r="E297" s="296">
        <f t="shared" si="71"/>
        <v>0</v>
      </c>
      <c r="F297" s="296">
        <f t="shared" ca="1" si="68"/>
        <v>0</v>
      </c>
      <c r="G297" s="296">
        <f t="shared" ca="1" si="69"/>
        <v>0</v>
      </c>
      <c r="H297" s="296">
        <f t="shared" ca="1" si="70"/>
        <v>22.25</v>
      </c>
      <c r="I297" s="297">
        <f t="shared" ca="1" si="64"/>
        <v>-22</v>
      </c>
    </row>
    <row r="298" spans="1:9">
      <c r="A298" s="295">
        <f t="shared" si="63"/>
        <v>281</v>
      </c>
      <c r="B298" s="300">
        <f t="shared" si="66"/>
        <v>8522</v>
      </c>
      <c r="C298" s="296">
        <f t="shared" ca="1" si="65"/>
        <v>22.25</v>
      </c>
      <c r="D298" s="295"/>
      <c r="E298" s="296">
        <f t="shared" si="71"/>
        <v>0</v>
      </c>
      <c r="F298" s="296">
        <f t="shared" ca="1" si="68"/>
        <v>0</v>
      </c>
      <c r="G298" s="296">
        <f t="shared" ca="1" si="69"/>
        <v>0</v>
      </c>
      <c r="H298" s="296">
        <f t="shared" ca="1" si="70"/>
        <v>22.25</v>
      </c>
      <c r="I298" s="297">
        <f t="shared" ca="1" si="64"/>
        <v>-22</v>
      </c>
    </row>
    <row r="299" spans="1:9">
      <c r="A299" s="295">
        <f t="shared" si="63"/>
        <v>282</v>
      </c>
      <c r="B299" s="300">
        <f t="shared" si="66"/>
        <v>8553</v>
      </c>
      <c r="C299" s="296">
        <f t="shared" ca="1" si="65"/>
        <v>22.25</v>
      </c>
      <c r="D299" s="295"/>
      <c r="E299" s="296">
        <f t="shared" ca="1" si="71"/>
        <v>-0.25</v>
      </c>
      <c r="F299" s="296">
        <f t="shared" ca="1" si="68"/>
        <v>-0.25</v>
      </c>
      <c r="G299" s="296">
        <f t="shared" ca="1" si="69"/>
        <v>0</v>
      </c>
      <c r="H299" s="296">
        <f t="shared" ca="1" si="70"/>
        <v>22.5</v>
      </c>
      <c r="I299" s="297">
        <f t="shared" ca="1" si="64"/>
        <v>-23</v>
      </c>
    </row>
    <row r="300" spans="1:9">
      <c r="A300" s="295">
        <f t="shared" si="63"/>
        <v>283</v>
      </c>
      <c r="B300" s="300">
        <f t="shared" si="66"/>
        <v>8583</v>
      </c>
      <c r="C300" s="296">
        <f t="shared" ca="1" si="65"/>
        <v>22.5</v>
      </c>
      <c r="D300" s="295"/>
      <c r="E300" s="296">
        <f t="shared" si="71"/>
        <v>0</v>
      </c>
      <c r="F300" s="296">
        <f t="shared" ca="1" si="68"/>
        <v>0</v>
      </c>
      <c r="G300" s="296">
        <f t="shared" ca="1" si="69"/>
        <v>0</v>
      </c>
      <c r="H300" s="296">
        <f t="shared" ca="1" si="70"/>
        <v>22.5</v>
      </c>
      <c r="I300" s="297">
        <f t="shared" ca="1" si="64"/>
        <v>-23</v>
      </c>
    </row>
    <row r="301" spans="1:9">
      <c r="A301" s="295">
        <f t="shared" si="63"/>
        <v>284</v>
      </c>
      <c r="B301" s="300">
        <f t="shared" si="66"/>
        <v>8614</v>
      </c>
      <c r="C301" s="296">
        <f t="shared" ca="1" si="65"/>
        <v>22.5</v>
      </c>
      <c r="D301" s="295"/>
      <c r="E301" s="296">
        <f t="shared" si="71"/>
        <v>0</v>
      </c>
      <c r="F301" s="296">
        <f t="shared" ca="1" si="68"/>
        <v>0</v>
      </c>
      <c r="G301" s="296">
        <f t="shared" ca="1" si="69"/>
        <v>0</v>
      </c>
      <c r="H301" s="296">
        <f t="shared" ca="1" si="70"/>
        <v>22.5</v>
      </c>
      <c r="I301" s="297">
        <f t="shared" ca="1" si="64"/>
        <v>-23</v>
      </c>
    </row>
    <row r="302" spans="1:9">
      <c r="A302" s="295">
        <f t="shared" si="63"/>
        <v>285</v>
      </c>
      <c r="B302" s="300">
        <f t="shared" si="66"/>
        <v>8645</v>
      </c>
      <c r="C302" s="296">
        <f t="shared" ca="1" si="65"/>
        <v>22.5</v>
      </c>
      <c r="D302" s="295"/>
      <c r="E302" s="296">
        <f t="shared" ca="1" si="71"/>
        <v>-0.25</v>
      </c>
      <c r="F302" s="296">
        <f ca="1">IF(E302="","",E302-G302)</f>
        <v>-0.25</v>
      </c>
      <c r="G302" s="296">
        <f t="shared" ca="1" si="69"/>
        <v>0</v>
      </c>
      <c r="H302" s="296">
        <f t="shared" ca="1" si="70"/>
        <v>22.75</v>
      </c>
      <c r="I302" s="297">
        <f t="shared" ca="1" si="64"/>
        <v>-23</v>
      </c>
    </row>
    <row r="303" spans="1:9">
      <c r="A303" s="295">
        <f t="shared" si="63"/>
        <v>286</v>
      </c>
      <c r="B303" s="300">
        <f t="shared" si="66"/>
        <v>8675</v>
      </c>
      <c r="C303" s="296">
        <f t="shared" ca="1" si="65"/>
        <v>22.75</v>
      </c>
      <c r="D303" s="295"/>
      <c r="E303" s="296">
        <f t="shared" si="71"/>
        <v>0</v>
      </c>
      <c r="F303" s="296">
        <f t="shared" ca="1" si="68"/>
        <v>0</v>
      </c>
      <c r="G303" s="296">
        <f t="shared" ca="1" si="69"/>
        <v>0</v>
      </c>
      <c r="H303" s="296">
        <f t="shared" ca="1" si="70"/>
        <v>22.75</v>
      </c>
      <c r="I303" s="297">
        <f t="shared" ca="1" si="64"/>
        <v>-23</v>
      </c>
    </row>
    <row r="304" spans="1:9">
      <c r="A304" s="295">
        <f t="shared" si="63"/>
        <v>287</v>
      </c>
      <c r="B304" s="300">
        <f t="shared" si="66"/>
        <v>8706</v>
      </c>
      <c r="C304" s="296">
        <f t="shared" ca="1" si="65"/>
        <v>22.75</v>
      </c>
      <c r="D304" s="295"/>
      <c r="E304" s="296">
        <f t="shared" si="71"/>
        <v>0</v>
      </c>
      <c r="F304" s="296">
        <f t="shared" ca="1" si="68"/>
        <v>0</v>
      </c>
      <c r="G304" s="296">
        <f t="shared" ca="1" si="69"/>
        <v>0</v>
      </c>
      <c r="H304" s="296">
        <f t="shared" ca="1" si="70"/>
        <v>22.75</v>
      </c>
      <c r="I304" s="297">
        <f t="shared" ca="1" si="64"/>
        <v>-23</v>
      </c>
    </row>
    <row r="305" spans="1:9">
      <c r="A305" s="295">
        <f t="shared" si="63"/>
        <v>288</v>
      </c>
      <c r="B305" s="300">
        <f t="shared" si="66"/>
        <v>8736</v>
      </c>
      <c r="C305" s="296">
        <f t="shared" ca="1" si="65"/>
        <v>22.75</v>
      </c>
      <c r="D305" s="296">
        <f ca="1">IF(H305&lt;0,0,0.25*(K41-L41))</f>
        <v>-0.25</v>
      </c>
      <c r="E305" s="296">
        <f t="shared" ca="1" si="71"/>
        <v>-0.25</v>
      </c>
      <c r="F305" s="296">
        <f t="shared" ca="1" si="68"/>
        <v>-0.25</v>
      </c>
      <c r="G305" s="296">
        <f t="shared" ca="1" si="69"/>
        <v>0</v>
      </c>
      <c r="H305" s="296">
        <f t="shared" ca="1" si="70"/>
        <v>23</v>
      </c>
      <c r="I305" s="297">
        <f t="shared" ca="1" si="64"/>
        <v>-23</v>
      </c>
    </row>
    <row r="306" spans="1:9">
      <c r="A306" s="295">
        <f t="shared" si="63"/>
        <v>289</v>
      </c>
      <c r="B306" s="300">
        <f t="shared" si="66"/>
        <v>8767</v>
      </c>
      <c r="C306" s="296">
        <f t="shared" ca="1" si="65"/>
        <v>23</v>
      </c>
      <c r="D306" s="295"/>
      <c r="E306" s="296">
        <f t="shared" ref="E306:E317" si="72">IF($D$10=1,
 IF(OR(MONTH(B306)=MONTH(EDATE($D$7,0)),MONTH(B306)=MONTH(EDATE($D$7,3)),MONTH(B306)=MONTH(EDATE($D$7,6)),MONTH(B306)=MONTH(EDATE($D$7,9))),(MIN($D$305,H305)),0),
IF($D$10=0,
 IF(OR(MONTH(B306)=MONTH(EDATE($D$7,2)),MONTH(B306)=MONTH(EDATE($D$7,5)),MONTH(B306)=MONTH(EDATE($D$7,8)),MONTH(B306)=MONTH(EDATE($D$7,11))),(MIN($D$305,H305)),0)))</f>
        <v>0</v>
      </c>
      <c r="F306" s="296">
        <f ca="1">IF(E306="","",E306-G306)</f>
        <v>0</v>
      </c>
      <c r="G306" s="296">
        <f t="shared" ca="1" si="69"/>
        <v>0</v>
      </c>
      <c r="H306" s="296">
        <f t="shared" ca="1" si="70"/>
        <v>23</v>
      </c>
      <c r="I306" s="297">
        <f t="shared" ca="1" si="64"/>
        <v>-23</v>
      </c>
    </row>
    <row r="307" spans="1:9">
      <c r="A307" s="295">
        <f t="shared" si="63"/>
        <v>290</v>
      </c>
      <c r="B307" s="300">
        <f t="shared" si="66"/>
        <v>8798</v>
      </c>
      <c r="C307" s="296">
        <f t="shared" ca="1" si="65"/>
        <v>23</v>
      </c>
      <c r="D307" s="295"/>
      <c r="E307" s="296">
        <f t="shared" si="72"/>
        <v>0</v>
      </c>
      <c r="F307" s="296">
        <f t="shared" ca="1" si="68"/>
        <v>0</v>
      </c>
      <c r="G307" s="296">
        <f t="shared" ca="1" si="69"/>
        <v>0</v>
      </c>
      <c r="H307" s="296">
        <f t="shared" ca="1" si="70"/>
        <v>23</v>
      </c>
      <c r="I307" s="297">
        <f t="shared" ca="1" si="64"/>
        <v>-23</v>
      </c>
    </row>
    <row r="308" spans="1:9">
      <c r="A308" s="295">
        <f t="shared" si="63"/>
        <v>291</v>
      </c>
      <c r="B308" s="300">
        <f t="shared" si="66"/>
        <v>8827</v>
      </c>
      <c r="C308" s="296">
        <f t="shared" ca="1" si="65"/>
        <v>23</v>
      </c>
      <c r="D308" s="295"/>
      <c r="E308" s="296">
        <f t="shared" ca="1" si="72"/>
        <v>-0.25</v>
      </c>
      <c r="F308" s="296">
        <f t="shared" ca="1" si="68"/>
        <v>-0.25</v>
      </c>
      <c r="G308" s="296">
        <f t="shared" ca="1" si="69"/>
        <v>0</v>
      </c>
      <c r="H308" s="296">
        <f t="shared" ca="1" si="70"/>
        <v>23.25</v>
      </c>
      <c r="I308" s="297">
        <f t="shared" ca="1" si="64"/>
        <v>-23</v>
      </c>
    </row>
    <row r="309" spans="1:9">
      <c r="A309" s="295">
        <f t="shared" si="63"/>
        <v>292</v>
      </c>
      <c r="B309" s="300">
        <f t="shared" si="66"/>
        <v>8858</v>
      </c>
      <c r="C309" s="296">
        <f t="shared" ca="1" si="65"/>
        <v>23.25</v>
      </c>
      <c r="D309" s="295"/>
      <c r="E309" s="296">
        <f t="shared" si="72"/>
        <v>0</v>
      </c>
      <c r="F309" s="296">
        <f t="shared" ca="1" si="68"/>
        <v>0</v>
      </c>
      <c r="G309" s="296">
        <f t="shared" ca="1" si="69"/>
        <v>0</v>
      </c>
      <c r="H309" s="296">
        <f t="shared" ca="1" si="70"/>
        <v>23.25</v>
      </c>
      <c r="I309" s="297">
        <f t="shared" ca="1" si="64"/>
        <v>-23</v>
      </c>
    </row>
    <row r="310" spans="1:9">
      <c r="A310" s="295">
        <f t="shared" si="63"/>
        <v>293</v>
      </c>
      <c r="B310" s="300">
        <f t="shared" si="66"/>
        <v>8888</v>
      </c>
      <c r="C310" s="296">
        <f t="shared" ca="1" si="65"/>
        <v>23.25</v>
      </c>
      <c r="D310" s="295"/>
      <c r="E310" s="296">
        <f t="shared" si="72"/>
        <v>0</v>
      </c>
      <c r="F310" s="296">
        <f t="shared" ca="1" si="68"/>
        <v>0</v>
      </c>
      <c r="G310" s="296">
        <f t="shared" ca="1" si="69"/>
        <v>0</v>
      </c>
      <c r="H310" s="296">
        <f t="shared" ca="1" si="70"/>
        <v>23.25</v>
      </c>
      <c r="I310" s="297">
        <f t="shared" ca="1" si="64"/>
        <v>-23</v>
      </c>
    </row>
    <row r="311" spans="1:9">
      <c r="A311" s="295">
        <f t="shared" si="63"/>
        <v>294</v>
      </c>
      <c r="B311" s="300">
        <f t="shared" si="66"/>
        <v>8919</v>
      </c>
      <c r="C311" s="296">
        <f t="shared" ca="1" si="65"/>
        <v>23.25</v>
      </c>
      <c r="D311" s="295"/>
      <c r="E311" s="296">
        <f t="shared" ca="1" si="72"/>
        <v>-0.25</v>
      </c>
      <c r="F311" s="296">
        <f t="shared" ca="1" si="68"/>
        <v>-0.25</v>
      </c>
      <c r="G311" s="296">
        <f t="shared" ca="1" si="69"/>
        <v>0</v>
      </c>
      <c r="H311" s="296">
        <f t="shared" ca="1" si="70"/>
        <v>23.5</v>
      </c>
      <c r="I311" s="297">
        <f t="shared" ca="1" si="64"/>
        <v>-24</v>
      </c>
    </row>
    <row r="312" spans="1:9">
      <c r="A312" s="295">
        <f t="shared" si="63"/>
        <v>295</v>
      </c>
      <c r="B312" s="300">
        <f t="shared" si="66"/>
        <v>8949</v>
      </c>
      <c r="C312" s="296">
        <f t="shared" ca="1" si="65"/>
        <v>23.5</v>
      </c>
      <c r="D312" s="295"/>
      <c r="E312" s="296">
        <f t="shared" si="72"/>
        <v>0</v>
      </c>
      <c r="F312" s="296">
        <f t="shared" ca="1" si="68"/>
        <v>0</v>
      </c>
      <c r="G312" s="296">
        <f t="shared" ca="1" si="69"/>
        <v>0</v>
      </c>
      <c r="H312" s="296">
        <f t="shared" ca="1" si="70"/>
        <v>23.5</v>
      </c>
      <c r="I312" s="297">
        <f t="shared" ca="1" si="64"/>
        <v>-24</v>
      </c>
    </row>
    <row r="313" spans="1:9">
      <c r="A313" s="295">
        <f t="shared" si="63"/>
        <v>296</v>
      </c>
      <c r="B313" s="300">
        <f t="shared" si="66"/>
        <v>8980</v>
      </c>
      <c r="C313" s="296">
        <f t="shared" ca="1" si="65"/>
        <v>23.5</v>
      </c>
      <c r="D313" s="295"/>
      <c r="E313" s="296">
        <f t="shared" si="72"/>
        <v>0</v>
      </c>
      <c r="F313" s="296">
        <f t="shared" ca="1" si="68"/>
        <v>0</v>
      </c>
      <c r="G313" s="296">
        <f t="shared" ca="1" si="69"/>
        <v>0</v>
      </c>
      <c r="H313" s="296">
        <f t="shared" ca="1" si="70"/>
        <v>23.5</v>
      </c>
      <c r="I313" s="297">
        <f t="shared" ca="1" si="64"/>
        <v>-24</v>
      </c>
    </row>
    <row r="314" spans="1:9">
      <c r="A314" s="295">
        <f t="shared" si="63"/>
        <v>297</v>
      </c>
      <c r="B314" s="300">
        <f t="shared" si="66"/>
        <v>9011</v>
      </c>
      <c r="C314" s="296">
        <f t="shared" ca="1" si="65"/>
        <v>23.5</v>
      </c>
      <c r="D314" s="295"/>
      <c r="E314" s="296">
        <f t="shared" ca="1" si="72"/>
        <v>-0.25</v>
      </c>
      <c r="F314" s="296">
        <f t="shared" ca="1" si="68"/>
        <v>-0.25</v>
      </c>
      <c r="G314" s="296">
        <f t="shared" ca="1" si="69"/>
        <v>0</v>
      </c>
      <c r="H314" s="296">
        <f t="shared" ca="1" si="70"/>
        <v>23.75</v>
      </c>
      <c r="I314" s="297">
        <f t="shared" ca="1" si="64"/>
        <v>-24</v>
      </c>
    </row>
    <row r="315" spans="1:9">
      <c r="A315" s="295">
        <f t="shared" si="63"/>
        <v>298</v>
      </c>
      <c r="B315" s="300">
        <f t="shared" si="66"/>
        <v>9041</v>
      </c>
      <c r="C315" s="296">
        <f t="shared" ca="1" si="65"/>
        <v>23.75</v>
      </c>
      <c r="D315" s="295"/>
      <c r="E315" s="296">
        <f t="shared" si="72"/>
        <v>0</v>
      </c>
      <c r="F315" s="296">
        <f t="shared" ca="1" si="68"/>
        <v>0</v>
      </c>
      <c r="G315" s="296">
        <f t="shared" ca="1" si="69"/>
        <v>0</v>
      </c>
      <c r="H315" s="296">
        <f t="shared" ca="1" si="70"/>
        <v>23.75</v>
      </c>
      <c r="I315" s="297">
        <f t="shared" ca="1" si="64"/>
        <v>-24</v>
      </c>
    </row>
    <row r="316" spans="1:9">
      <c r="A316" s="295">
        <f t="shared" si="63"/>
        <v>299</v>
      </c>
      <c r="B316" s="300">
        <f t="shared" si="66"/>
        <v>9072</v>
      </c>
      <c r="C316" s="296">
        <f t="shared" ca="1" si="65"/>
        <v>23.75</v>
      </c>
      <c r="D316" s="295"/>
      <c r="E316" s="296">
        <f t="shared" si="72"/>
        <v>0</v>
      </c>
      <c r="F316" s="296">
        <f t="shared" ca="1" si="68"/>
        <v>0</v>
      </c>
      <c r="G316" s="296">
        <f t="shared" ca="1" si="69"/>
        <v>0</v>
      </c>
      <c r="H316" s="296">
        <f t="shared" ca="1" si="70"/>
        <v>23.75</v>
      </c>
      <c r="I316" s="297">
        <f t="shared" ca="1" si="64"/>
        <v>-24</v>
      </c>
    </row>
    <row r="317" spans="1:9">
      <c r="A317" s="295">
        <f t="shared" si="63"/>
        <v>300</v>
      </c>
      <c r="B317" s="300">
        <f t="shared" si="66"/>
        <v>9102</v>
      </c>
      <c r="C317" s="296">
        <f t="shared" ca="1" si="65"/>
        <v>23.75</v>
      </c>
      <c r="D317" s="296">
        <f ca="1">IF(H317&lt;0,0,0.25*(K42-L42))</f>
        <v>-0.25</v>
      </c>
      <c r="E317" s="296">
        <f t="shared" ca="1" si="72"/>
        <v>-0.25</v>
      </c>
      <c r="F317" s="296">
        <f t="shared" ca="1" si="68"/>
        <v>-0.25</v>
      </c>
      <c r="G317" s="296">
        <f t="shared" ca="1" si="69"/>
        <v>0</v>
      </c>
      <c r="H317" s="296">
        <f t="shared" ca="1" si="70"/>
        <v>24</v>
      </c>
      <c r="I317" s="297">
        <f t="shared" ca="1" si="64"/>
        <v>-24</v>
      </c>
    </row>
    <row r="318" spans="1:9">
      <c r="A318" s="295">
        <f t="shared" si="63"/>
        <v>301</v>
      </c>
      <c r="B318" s="300">
        <f t="shared" si="66"/>
        <v>9133</v>
      </c>
      <c r="C318" s="296">
        <f t="shared" ca="1" si="65"/>
        <v>24</v>
      </c>
      <c r="D318" s="295"/>
      <c r="E318" s="296">
        <f>IF($D$10=1,
 IF(OR(MONTH(B318)=MONTH(EDATE($D$7,0)),MONTH(B318)=MONTH(EDATE($D$7,3)),MONTH(B318)=MONTH(EDATE($D$7,6)),MONTH(B318)=MONTH(EDATE($D$7,9))),(MIN($D$317,H317)),0),
IF($D$10=0,
 IF(OR(MONTH(B318)=MONTH(EDATE($D$7,2)),MONTH(B318)=MONTH(EDATE($D$7,5)),MONTH(B318)=MONTH(EDATE($D$7,8)),MONTH(B318)=MONTH(EDATE($D$7,11))),(MIN($D$317,H317)),0)))</f>
        <v>0</v>
      </c>
      <c r="F318" s="296">
        <f t="shared" ca="1" si="68"/>
        <v>0</v>
      </c>
      <c r="G318" s="296">
        <f t="shared" ca="1" si="69"/>
        <v>0</v>
      </c>
      <c r="H318" s="296">
        <f t="shared" ca="1" si="70"/>
        <v>24</v>
      </c>
      <c r="I318" s="297">
        <f t="shared" ca="1" si="64"/>
        <v>-24</v>
      </c>
    </row>
    <row r="319" spans="1:9">
      <c r="A319" s="295">
        <f t="shared" si="63"/>
        <v>302</v>
      </c>
      <c r="B319" s="300">
        <f t="shared" si="66"/>
        <v>9164</v>
      </c>
      <c r="C319" s="296">
        <f t="shared" ca="1" si="65"/>
        <v>24</v>
      </c>
      <c r="D319" s="295"/>
      <c r="E319" s="296">
        <f t="shared" ref="E319:E329" si="73">IF($D$10=1,
 IF(OR(MONTH(B319)=MONTH(EDATE($D$7,0)),MONTH(B319)=MONTH(EDATE($D$7,3)),MONTH(B319)=MONTH(EDATE($D$7,6)),MONTH(B319)=MONTH(EDATE($D$7,9))),(MIN($D$317,H318)),0),
IF($D$10=0,
 IF(OR(MONTH(B319)=MONTH(EDATE($D$7,2)),MONTH(B319)=MONTH(EDATE($D$7,5)),MONTH(B319)=MONTH(EDATE($D$7,8)),MONTH(B319)=MONTH(EDATE($D$7,11))),(MIN($D$317,H318)),0)))</f>
        <v>0</v>
      </c>
      <c r="F319" s="296">
        <f t="shared" ca="1" si="68"/>
        <v>0</v>
      </c>
      <c r="G319" s="296">
        <f t="shared" ca="1" si="69"/>
        <v>0</v>
      </c>
      <c r="H319" s="296">
        <f t="shared" ca="1" si="70"/>
        <v>24</v>
      </c>
      <c r="I319" s="297">
        <f t="shared" ca="1" si="64"/>
        <v>-24</v>
      </c>
    </row>
    <row r="320" spans="1:9">
      <c r="A320" s="295">
        <f t="shared" si="63"/>
        <v>303</v>
      </c>
      <c r="B320" s="300">
        <f t="shared" si="66"/>
        <v>9192</v>
      </c>
      <c r="C320" s="296">
        <f t="shared" ca="1" si="65"/>
        <v>24</v>
      </c>
      <c r="D320" s="295"/>
      <c r="E320" s="296">
        <f t="shared" ca="1" si="73"/>
        <v>-0.25</v>
      </c>
      <c r="F320" s="296">
        <f t="shared" ca="1" si="68"/>
        <v>-0.25</v>
      </c>
      <c r="G320" s="296">
        <f t="shared" ca="1" si="69"/>
        <v>0</v>
      </c>
      <c r="H320" s="296">
        <f t="shared" ca="1" si="70"/>
        <v>24.25</v>
      </c>
      <c r="I320" s="297">
        <f t="shared" ca="1" si="64"/>
        <v>-24</v>
      </c>
    </row>
    <row r="321" spans="1:9">
      <c r="A321" s="295">
        <f t="shared" si="63"/>
        <v>304</v>
      </c>
      <c r="B321" s="300">
        <f t="shared" si="66"/>
        <v>9223</v>
      </c>
      <c r="C321" s="296">
        <f t="shared" ca="1" si="65"/>
        <v>24.25</v>
      </c>
      <c r="D321" s="295"/>
      <c r="E321" s="296">
        <f t="shared" si="73"/>
        <v>0</v>
      </c>
      <c r="F321" s="296">
        <f t="shared" ca="1" si="68"/>
        <v>0</v>
      </c>
      <c r="G321" s="296">
        <f t="shared" ca="1" si="69"/>
        <v>0</v>
      </c>
      <c r="H321" s="296">
        <f t="shared" ca="1" si="70"/>
        <v>24.25</v>
      </c>
      <c r="I321" s="297">
        <f t="shared" ca="1" si="64"/>
        <v>-24</v>
      </c>
    </row>
    <row r="322" spans="1:9">
      <c r="A322" s="295">
        <f t="shared" si="63"/>
        <v>305</v>
      </c>
      <c r="B322" s="300">
        <f t="shared" si="66"/>
        <v>9253</v>
      </c>
      <c r="C322" s="296">
        <f t="shared" ca="1" si="65"/>
        <v>24.25</v>
      </c>
      <c r="D322" s="295"/>
      <c r="E322" s="296">
        <f t="shared" si="73"/>
        <v>0</v>
      </c>
      <c r="F322" s="296">
        <f t="shared" ca="1" si="68"/>
        <v>0</v>
      </c>
      <c r="G322" s="296">
        <f t="shared" ca="1" si="69"/>
        <v>0</v>
      </c>
      <c r="H322" s="296">
        <f t="shared" ca="1" si="70"/>
        <v>24.25</v>
      </c>
      <c r="I322" s="297">
        <f t="shared" ca="1" si="64"/>
        <v>-24</v>
      </c>
    </row>
    <row r="323" spans="1:9">
      <c r="A323" s="295">
        <f t="shared" si="63"/>
        <v>306</v>
      </c>
      <c r="B323" s="300">
        <f t="shared" si="66"/>
        <v>9284</v>
      </c>
      <c r="C323" s="296">
        <f t="shared" ca="1" si="65"/>
        <v>24.25</v>
      </c>
      <c r="D323" s="295"/>
      <c r="E323" s="296">
        <f t="shared" ca="1" si="73"/>
        <v>-0.25</v>
      </c>
      <c r="F323" s="296">
        <f t="shared" ca="1" si="68"/>
        <v>-0.25</v>
      </c>
      <c r="G323" s="296">
        <f t="shared" ca="1" si="69"/>
        <v>0</v>
      </c>
      <c r="H323" s="296">
        <f t="shared" ca="1" si="70"/>
        <v>24.5</v>
      </c>
      <c r="I323" s="297">
        <f t="shared" ca="1" si="64"/>
        <v>-25</v>
      </c>
    </row>
    <row r="324" spans="1:9">
      <c r="A324" s="295">
        <f t="shared" si="63"/>
        <v>307</v>
      </c>
      <c r="B324" s="300">
        <f t="shared" si="66"/>
        <v>9314</v>
      </c>
      <c r="C324" s="296">
        <f t="shared" ca="1" si="65"/>
        <v>24.5</v>
      </c>
      <c r="D324" s="295"/>
      <c r="E324" s="296">
        <f t="shared" si="73"/>
        <v>0</v>
      </c>
      <c r="F324" s="296">
        <f t="shared" ca="1" si="68"/>
        <v>0</v>
      </c>
      <c r="G324" s="296">
        <f t="shared" ca="1" si="69"/>
        <v>0</v>
      </c>
      <c r="H324" s="296">
        <f t="shared" ca="1" si="70"/>
        <v>24.5</v>
      </c>
      <c r="I324" s="297">
        <f t="shared" ca="1" si="64"/>
        <v>-25</v>
      </c>
    </row>
    <row r="325" spans="1:9">
      <c r="A325" s="295">
        <f t="shared" si="63"/>
        <v>308</v>
      </c>
      <c r="B325" s="300">
        <f t="shared" si="66"/>
        <v>9345</v>
      </c>
      <c r="C325" s="296">
        <f t="shared" ca="1" si="65"/>
        <v>24.5</v>
      </c>
      <c r="D325" s="295"/>
      <c r="E325" s="296">
        <f t="shared" si="73"/>
        <v>0</v>
      </c>
      <c r="F325" s="296">
        <f t="shared" ca="1" si="68"/>
        <v>0</v>
      </c>
      <c r="G325" s="296">
        <f t="shared" ca="1" si="69"/>
        <v>0</v>
      </c>
      <c r="H325" s="296">
        <f t="shared" ca="1" si="70"/>
        <v>24.5</v>
      </c>
      <c r="I325" s="297">
        <f t="shared" ca="1" si="64"/>
        <v>-25</v>
      </c>
    </row>
    <row r="326" spans="1:9">
      <c r="A326" s="295">
        <f t="shared" si="63"/>
        <v>309</v>
      </c>
      <c r="B326" s="300">
        <f t="shared" si="66"/>
        <v>9376</v>
      </c>
      <c r="C326" s="296">
        <f t="shared" ca="1" si="65"/>
        <v>24.5</v>
      </c>
      <c r="D326" s="295"/>
      <c r="E326" s="296">
        <f t="shared" ca="1" si="73"/>
        <v>-0.25</v>
      </c>
      <c r="F326" s="296">
        <f t="shared" ca="1" si="68"/>
        <v>-0.25</v>
      </c>
      <c r="G326" s="296">
        <f t="shared" ca="1" si="69"/>
        <v>0</v>
      </c>
      <c r="H326" s="296">
        <f t="shared" ca="1" si="70"/>
        <v>24.75</v>
      </c>
      <c r="I326" s="297">
        <f t="shared" ca="1" si="64"/>
        <v>-25</v>
      </c>
    </row>
    <row r="327" spans="1:9">
      <c r="A327" s="295">
        <f t="shared" si="63"/>
        <v>310</v>
      </c>
      <c r="B327" s="300">
        <f t="shared" si="66"/>
        <v>9406</v>
      </c>
      <c r="C327" s="296">
        <f t="shared" ca="1" si="65"/>
        <v>24.75</v>
      </c>
      <c r="D327" s="295"/>
      <c r="E327" s="296">
        <f t="shared" si="73"/>
        <v>0</v>
      </c>
      <c r="F327" s="296">
        <f t="shared" ca="1" si="68"/>
        <v>0</v>
      </c>
      <c r="G327" s="296">
        <f t="shared" ca="1" si="69"/>
        <v>0</v>
      </c>
      <c r="H327" s="296">
        <f t="shared" ca="1" si="70"/>
        <v>24.75</v>
      </c>
      <c r="I327" s="297">
        <f t="shared" ca="1" si="64"/>
        <v>-25</v>
      </c>
    </row>
    <row r="328" spans="1:9">
      <c r="A328" s="295">
        <f t="shared" si="63"/>
        <v>311</v>
      </c>
      <c r="B328" s="300">
        <f t="shared" si="66"/>
        <v>9437</v>
      </c>
      <c r="C328" s="296">
        <f t="shared" ca="1" si="65"/>
        <v>24.75</v>
      </c>
      <c r="D328" s="295"/>
      <c r="E328" s="296">
        <f t="shared" si="73"/>
        <v>0</v>
      </c>
      <c r="F328" s="296">
        <f t="shared" ca="1" si="68"/>
        <v>0</v>
      </c>
      <c r="G328" s="296">
        <f t="shared" ca="1" si="69"/>
        <v>0</v>
      </c>
      <c r="H328" s="296">
        <f t="shared" ca="1" si="70"/>
        <v>24.75</v>
      </c>
      <c r="I328" s="297">
        <f t="shared" ca="1" si="64"/>
        <v>-25</v>
      </c>
    </row>
    <row r="329" spans="1:9">
      <c r="A329" s="295">
        <f t="shared" si="63"/>
        <v>312</v>
      </c>
      <c r="B329" s="300">
        <f t="shared" si="66"/>
        <v>9467</v>
      </c>
      <c r="C329" s="296">
        <f t="shared" ca="1" si="65"/>
        <v>24.75</v>
      </c>
      <c r="D329" s="296">
        <f ca="1">IF(H329&lt;0,0,0.25*(K43-L43))</f>
        <v>-0.25</v>
      </c>
      <c r="E329" s="296">
        <f t="shared" ca="1" si="73"/>
        <v>-0.25</v>
      </c>
      <c r="F329" s="296">
        <f t="shared" ca="1" si="68"/>
        <v>-0.25</v>
      </c>
      <c r="G329" s="296">
        <f t="shared" ca="1" si="69"/>
        <v>0</v>
      </c>
      <c r="H329" s="296">
        <f t="shared" ca="1" si="70"/>
        <v>25</v>
      </c>
      <c r="I329" s="297">
        <f t="shared" ca="1" si="64"/>
        <v>-25</v>
      </c>
    </row>
    <row r="330" spans="1:9">
      <c r="A330" s="295">
        <f t="shared" si="63"/>
        <v>313</v>
      </c>
      <c r="B330" s="300">
        <f t="shared" si="66"/>
        <v>9498</v>
      </c>
      <c r="C330" s="296">
        <f t="shared" ca="1" si="65"/>
        <v>25</v>
      </c>
      <c r="D330" s="295"/>
      <c r="E330" s="296">
        <f>IF($D$10=1,
 IF(OR(MONTH(B330)=MONTH(EDATE($D$7,0)),MONTH(B330)=MONTH(EDATE($D$7,3)),MONTH(B330)=MONTH(EDATE($D$7,6)),MONTH(B330)=MONTH(EDATE($D$7,9))),(MIN($D$329,H329)),0),
IF($D$10=0,
 IF(OR(MONTH(B330)=MONTH(EDATE($D$7,2)),MONTH(B330)=MONTH(EDATE($D$7,5)),MONTH(B330)=MONTH(EDATE($D$7,8)),MONTH(B330)=MONTH(EDATE($D$7,11))),(MIN($D$329,H329)),0)))</f>
        <v>0</v>
      </c>
      <c r="F330" s="296">
        <f t="shared" ca="1" si="68"/>
        <v>0</v>
      </c>
      <c r="G330" s="296">
        <f t="shared" ca="1" si="69"/>
        <v>0</v>
      </c>
      <c r="H330" s="296">
        <f t="shared" ca="1" si="70"/>
        <v>25</v>
      </c>
      <c r="I330" s="297">
        <f t="shared" ca="1" si="64"/>
        <v>-25</v>
      </c>
    </row>
    <row r="331" spans="1:9">
      <c r="A331" s="295">
        <f t="shared" si="63"/>
        <v>314</v>
      </c>
      <c r="B331" s="300">
        <f t="shared" si="66"/>
        <v>9529</v>
      </c>
      <c r="C331" s="296">
        <f t="shared" ca="1" si="65"/>
        <v>25</v>
      </c>
      <c r="D331" s="295"/>
      <c r="E331" s="296">
        <f t="shared" ref="E331:E341" si="74">IF($D$10=1,
 IF(OR(MONTH(B331)=MONTH(EDATE($D$7,0)),MONTH(B331)=MONTH(EDATE($D$7,3)),MONTH(B331)=MONTH(EDATE($D$7,6)),MONTH(B331)=MONTH(EDATE($D$7,9))),(MIN($D$329,H330)),0),
IF($D$10=0,
 IF(OR(MONTH(B331)=MONTH(EDATE($D$7,2)),MONTH(B331)=MONTH(EDATE($D$7,5)),MONTH(B331)=MONTH(EDATE($D$7,8)),MONTH(B331)=MONTH(EDATE($D$7,11))),(MIN($D$329,H330)),0)))</f>
        <v>0</v>
      </c>
      <c r="F331" s="296">
        <f t="shared" ca="1" si="68"/>
        <v>0</v>
      </c>
      <c r="G331" s="296">
        <f t="shared" ca="1" si="69"/>
        <v>0</v>
      </c>
      <c r="H331" s="296">
        <f t="shared" ca="1" si="70"/>
        <v>25</v>
      </c>
      <c r="I331" s="297">
        <f t="shared" ca="1" si="64"/>
        <v>-25</v>
      </c>
    </row>
    <row r="332" spans="1:9">
      <c r="A332" s="295">
        <f t="shared" si="63"/>
        <v>315</v>
      </c>
      <c r="B332" s="300">
        <f t="shared" si="66"/>
        <v>9557</v>
      </c>
      <c r="C332" s="296">
        <f t="shared" ca="1" si="65"/>
        <v>25</v>
      </c>
      <c r="D332" s="295"/>
      <c r="E332" s="296">
        <f t="shared" ca="1" si="74"/>
        <v>-0.25</v>
      </c>
      <c r="F332" s="296">
        <f t="shared" ca="1" si="68"/>
        <v>-0.25</v>
      </c>
      <c r="G332" s="296">
        <f t="shared" ca="1" si="69"/>
        <v>0</v>
      </c>
      <c r="H332" s="296">
        <f t="shared" ca="1" si="70"/>
        <v>25.25</v>
      </c>
      <c r="I332" s="297">
        <f t="shared" ca="1" si="64"/>
        <v>-25</v>
      </c>
    </row>
    <row r="333" spans="1:9">
      <c r="A333" s="295">
        <f t="shared" si="63"/>
        <v>316</v>
      </c>
      <c r="B333" s="300">
        <f t="shared" si="66"/>
        <v>9588</v>
      </c>
      <c r="C333" s="296">
        <f t="shared" ca="1" si="65"/>
        <v>25.25</v>
      </c>
      <c r="D333" s="295"/>
      <c r="E333" s="296">
        <f t="shared" si="74"/>
        <v>0</v>
      </c>
      <c r="F333" s="296">
        <f t="shared" ca="1" si="68"/>
        <v>0</v>
      </c>
      <c r="G333" s="296">
        <f t="shared" ca="1" si="69"/>
        <v>0</v>
      </c>
      <c r="H333" s="296">
        <f t="shared" ca="1" si="70"/>
        <v>25.25</v>
      </c>
      <c r="I333" s="297">
        <f t="shared" ca="1" si="64"/>
        <v>-25</v>
      </c>
    </row>
    <row r="334" spans="1:9">
      <c r="A334" s="295">
        <f t="shared" si="63"/>
        <v>317</v>
      </c>
      <c r="B334" s="300">
        <f t="shared" si="66"/>
        <v>9618</v>
      </c>
      <c r="C334" s="296">
        <f t="shared" ca="1" si="65"/>
        <v>25.25</v>
      </c>
      <c r="D334" s="295"/>
      <c r="E334" s="296">
        <f t="shared" si="74"/>
        <v>0</v>
      </c>
      <c r="F334" s="296">
        <f t="shared" ca="1" si="68"/>
        <v>0</v>
      </c>
      <c r="G334" s="296">
        <f t="shared" ca="1" si="69"/>
        <v>0</v>
      </c>
      <c r="H334" s="296">
        <f t="shared" ca="1" si="70"/>
        <v>25.25</v>
      </c>
      <c r="I334" s="297">
        <f t="shared" ca="1" si="64"/>
        <v>-25</v>
      </c>
    </row>
    <row r="335" spans="1:9">
      <c r="A335" s="295">
        <f t="shared" si="63"/>
        <v>318</v>
      </c>
      <c r="B335" s="300">
        <f t="shared" si="66"/>
        <v>9649</v>
      </c>
      <c r="C335" s="296">
        <f t="shared" ca="1" si="65"/>
        <v>25.25</v>
      </c>
      <c r="D335" s="295"/>
      <c r="E335" s="296">
        <f t="shared" ca="1" si="74"/>
        <v>-0.25</v>
      </c>
      <c r="F335" s="296">
        <f t="shared" ca="1" si="68"/>
        <v>-0.25</v>
      </c>
      <c r="G335" s="296">
        <f t="shared" ca="1" si="69"/>
        <v>0</v>
      </c>
      <c r="H335" s="296">
        <f t="shared" ca="1" si="70"/>
        <v>25.5</v>
      </c>
      <c r="I335" s="297">
        <f t="shared" ca="1" si="64"/>
        <v>-26</v>
      </c>
    </row>
    <row r="336" spans="1:9">
      <c r="A336" s="295">
        <f t="shared" si="63"/>
        <v>319</v>
      </c>
      <c r="B336" s="300">
        <f t="shared" si="66"/>
        <v>9679</v>
      </c>
      <c r="C336" s="296">
        <f t="shared" ca="1" si="65"/>
        <v>25.5</v>
      </c>
      <c r="D336" s="295"/>
      <c r="E336" s="296">
        <f t="shared" si="74"/>
        <v>0</v>
      </c>
      <c r="F336" s="296">
        <f t="shared" ca="1" si="68"/>
        <v>0</v>
      </c>
      <c r="G336" s="296">
        <f t="shared" ca="1" si="69"/>
        <v>0</v>
      </c>
      <c r="H336" s="296">
        <f t="shared" ca="1" si="70"/>
        <v>25.5</v>
      </c>
      <c r="I336" s="297">
        <f t="shared" ca="1" si="64"/>
        <v>-26</v>
      </c>
    </row>
    <row r="337" spans="1:9">
      <c r="A337" s="295">
        <f t="shared" si="63"/>
        <v>320</v>
      </c>
      <c r="B337" s="300">
        <f t="shared" si="66"/>
        <v>9710</v>
      </c>
      <c r="C337" s="296">
        <f t="shared" ca="1" si="65"/>
        <v>25.5</v>
      </c>
      <c r="D337" s="295"/>
      <c r="E337" s="296">
        <f t="shared" si="74"/>
        <v>0</v>
      </c>
      <c r="F337" s="296">
        <f t="shared" ca="1" si="68"/>
        <v>0</v>
      </c>
      <c r="G337" s="296">
        <f t="shared" ca="1" si="69"/>
        <v>0</v>
      </c>
      <c r="H337" s="296">
        <f t="shared" ca="1" si="70"/>
        <v>25.5</v>
      </c>
      <c r="I337" s="297">
        <f t="shared" ca="1" si="64"/>
        <v>-26</v>
      </c>
    </row>
    <row r="338" spans="1:9">
      <c r="A338" s="295">
        <f t="shared" ref="A338:A401" si="75">IF(A337="","",IF(A337=$D$6,"",A337+1))</f>
        <v>321</v>
      </c>
      <c r="B338" s="300">
        <f t="shared" si="66"/>
        <v>9741</v>
      </c>
      <c r="C338" s="296">
        <f t="shared" ca="1" si="65"/>
        <v>25.5</v>
      </c>
      <c r="D338" s="295"/>
      <c r="E338" s="296">
        <f t="shared" ca="1" si="74"/>
        <v>-0.25</v>
      </c>
      <c r="F338" s="296">
        <f t="shared" ca="1" si="68"/>
        <v>-0.25</v>
      </c>
      <c r="G338" s="296">
        <f t="shared" ca="1" si="69"/>
        <v>0</v>
      </c>
      <c r="H338" s="296">
        <f t="shared" ca="1" si="70"/>
        <v>25.75</v>
      </c>
      <c r="I338" s="297">
        <f t="shared" ref="I338:I401" ca="1" si="76">ROUND((D338-H338),0)</f>
        <v>-26</v>
      </c>
    </row>
    <row r="339" spans="1:9">
      <c r="A339" s="295">
        <f t="shared" si="75"/>
        <v>322</v>
      </c>
      <c r="B339" s="300">
        <f t="shared" si="66"/>
        <v>9771</v>
      </c>
      <c r="C339" s="296">
        <f t="shared" ref="C339:C402" ca="1" si="77">IF(H338=0,0,H338)</f>
        <v>25.75</v>
      </c>
      <c r="D339" s="295"/>
      <c r="E339" s="296">
        <f t="shared" si="74"/>
        <v>0</v>
      </c>
      <c r="F339" s="296">
        <f t="shared" ca="1" si="68"/>
        <v>0</v>
      </c>
      <c r="G339" s="296">
        <f t="shared" ca="1" si="69"/>
        <v>0</v>
      </c>
      <c r="H339" s="296">
        <f t="shared" ca="1" si="70"/>
        <v>25.75</v>
      </c>
      <c r="I339" s="297">
        <f t="shared" ca="1" si="76"/>
        <v>-26</v>
      </c>
    </row>
    <row r="340" spans="1:9">
      <c r="A340" s="295">
        <f t="shared" si="75"/>
        <v>323</v>
      </c>
      <c r="B340" s="300">
        <f t="shared" ref="B340:B403" si="78">DATE(YEAR(B339),MONTH(B339)+1,1)</f>
        <v>9802</v>
      </c>
      <c r="C340" s="296">
        <f t="shared" ca="1" si="77"/>
        <v>25.75</v>
      </c>
      <c r="D340" s="295"/>
      <c r="E340" s="296">
        <f t="shared" si="74"/>
        <v>0</v>
      </c>
      <c r="F340" s="296">
        <f t="shared" ca="1" si="68"/>
        <v>0</v>
      </c>
      <c r="G340" s="296">
        <f t="shared" ca="1" si="69"/>
        <v>0</v>
      </c>
      <c r="H340" s="296">
        <f t="shared" ca="1" si="70"/>
        <v>25.75</v>
      </c>
      <c r="I340" s="297">
        <f t="shared" ca="1" si="76"/>
        <v>-26</v>
      </c>
    </row>
    <row r="341" spans="1:9">
      <c r="A341" s="295">
        <f t="shared" si="75"/>
        <v>324</v>
      </c>
      <c r="B341" s="300">
        <f t="shared" si="78"/>
        <v>9832</v>
      </c>
      <c r="C341" s="296">
        <f t="shared" ca="1" si="77"/>
        <v>25.75</v>
      </c>
      <c r="D341" s="296">
        <f ca="1">IF(H341&lt;0,0,0.25*(K44-L44))</f>
        <v>-0.25</v>
      </c>
      <c r="E341" s="296">
        <f t="shared" ca="1" si="74"/>
        <v>-0.25</v>
      </c>
      <c r="F341" s="296">
        <f t="shared" ca="1" si="68"/>
        <v>-0.25</v>
      </c>
      <c r="G341" s="296">
        <f t="shared" ca="1" si="69"/>
        <v>0</v>
      </c>
      <c r="H341" s="296">
        <f t="shared" ca="1" si="70"/>
        <v>26</v>
      </c>
      <c r="I341" s="297">
        <f t="shared" ca="1" si="76"/>
        <v>-26</v>
      </c>
    </row>
    <row r="342" spans="1:9">
      <c r="A342" s="295">
        <f t="shared" si="75"/>
        <v>325</v>
      </c>
      <c r="B342" s="300">
        <f t="shared" si="78"/>
        <v>9863</v>
      </c>
      <c r="C342" s="296">
        <f t="shared" ca="1" si="77"/>
        <v>26</v>
      </c>
      <c r="D342" s="295"/>
      <c r="E342" s="296">
        <f>IF($D$10=1,
 IF(OR(MONTH(B342)=MONTH(EDATE($D$7,0)),MONTH(B342)=MONTH(EDATE($D$7,3)),MONTH(B342)=MONTH(EDATE($D$7,6)),MONTH(B342)=MONTH(EDATE($D$7,9))),(MIN($D$341,H341)),0),
IF($D$10=0,
 IF(OR(MONTH(B342)=MONTH(EDATE($D$7,2)),MONTH(B342)=MONTH(EDATE($D$7,5)),MONTH(B342)=MONTH(EDATE($D$7,8)),MONTH(B342)=MONTH(EDATE($D$7,11))),(MIN($D$341,H341)),0)))</f>
        <v>0</v>
      </c>
      <c r="F342" s="296">
        <f t="shared" ca="1" si="68"/>
        <v>0</v>
      </c>
      <c r="G342" s="296">
        <f t="shared" ca="1" si="69"/>
        <v>0</v>
      </c>
      <c r="H342" s="296">
        <f t="shared" ca="1" si="70"/>
        <v>26</v>
      </c>
      <c r="I342" s="297">
        <f t="shared" ca="1" si="76"/>
        <v>-26</v>
      </c>
    </row>
    <row r="343" spans="1:9">
      <c r="A343" s="295">
        <f t="shared" si="75"/>
        <v>326</v>
      </c>
      <c r="B343" s="300">
        <f t="shared" si="78"/>
        <v>9894</v>
      </c>
      <c r="C343" s="296">
        <f t="shared" ca="1" si="77"/>
        <v>26</v>
      </c>
      <c r="D343" s="295"/>
      <c r="E343" s="296">
        <f t="shared" ref="E343:E353" si="79">IF($D$10=1,
 IF(OR(MONTH(B343)=MONTH(EDATE($D$7,0)),MONTH(B343)=MONTH(EDATE($D$7,3)),MONTH(B343)=MONTH(EDATE($D$7,6)),MONTH(B343)=MONTH(EDATE($D$7,9))),(MIN($D$341,H342)),0),
IF($D$10=0,
 IF(OR(MONTH(B343)=MONTH(EDATE($D$7,2)),MONTH(B343)=MONTH(EDATE($D$7,5)),MONTH(B343)=MONTH(EDATE($D$7,8)),MONTH(B343)=MONTH(EDATE($D$7,11))),(MIN($D$341,H342)),0)))</f>
        <v>0</v>
      </c>
      <c r="F343" s="296">
        <f t="shared" ca="1" si="68"/>
        <v>0</v>
      </c>
      <c r="G343" s="296">
        <f t="shared" ca="1" si="69"/>
        <v>0</v>
      </c>
      <c r="H343" s="296">
        <f t="shared" ca="1" si="70"/>
        <v>26</v>
      </c>
      <c r="I343" s="297">
        <f t="shared" ca="1" si="76"/>
        <v>-26</v>
      </c>
    </row>
    <row r="344" spans="1:9">
      <c r="A344" s="295">
        <f t="shared" si="75"/>
        <v>327</v>
      </c>
      <c r="B344" s="300">
        <f t="shared" si="78"/>
        <v>9922</v>
      </c>
      <c r="C344" s="296">
        <f t="shared" ca="1" si="77"/>
        <v>26</v>
      </c>
      <c r="D344" s="295"/>
      <c r="E344" s="296">
        <f t="shared" ca="1" si="79"/>
        <v>-0.25</v>
      </c>
      <c r="F344" s="296">
        <f t="shared" ca="1" si="68"/>
        <v>-0.25</v>
      </c>
      <c r="G344" s="296">
        <f t="shared" ca="1" si="69"/>
        <v>0</v>
      </c>
      <c r="H344" s="296">
        <f t="shared" ca="1" si="70"/>
        <v>26.25</v>
      </c>
      <c r="I344" s="297">
        <f t="shared" ca="1" si="76"/>
        <v>-26</v>
      </c>
    </row>
    <row r="345" spans="1:9">
      <c r="A345" s="295">
        <f t="shared" si="75"/>
        <v>328</v>
      </c>
      <c r="B345" s="300">
        <f t="shared" si="78"/>
        <v>9953</v>
      </c>
      <c r="C345" s="296">
        <f t="shared" ca="1" si="77"/>
        <v>26.25</v>
      </c>
      <c r="D345" s="295"/>
      <c r="E345" s="296">
        <f t="shared" si="79"/>
        <v>0</v>
      </c>
      <c r="F345" s="296">
        <f t="shared" ca="1" si="68"/>
        <v>0</v>
      </c>
      <c r="G345" s="296">
        <f t="shared" ca="1" si="69"/>
        <v>0</v>
      </c>
      <c r="H345" s="296">
        <f t="shared" ca="1" si="70"/>
        <v>26.25</v>
      </c>
      <c r="I345" s="297">
        <f t="shared" ca="1" si="76"/>
        <v>-26</v>
      </c>
    </row>
    <row r="346" spans="1:9">
      <c r="A346" s="295">
        <f t="shared" si="75"/>
        <v>329</v>
      </c>
      <c r="B346" s="300">
        <f t="shared" si="78"/>
        <v>9983</v>
      </c>
      <c r="C346" s="296">
        <f t="shared" ca="1" si="77"/>
        <v>26.25</v>
      </c>
      <c r="D346" s="295"/>
      <c r="E346" s="296">
        <f t="shared" si="79"/>
        <v>0</v>
      </c>
      <c r="F346" s="296">
        <f t="shared" ca="1" si="68"/>
        <v>0</v>
      </c>
      <c r="G346" s="296">
        <f t="shared" ca="1" si="69"/>
        <v>0</v>
      </c>
      <c r="H346" s="296">
        <f t="shared" ca="1" si="70"/>
        <v>26.25</v>
      </c>
      <c r="I346" s="297">
        <f t="shared" ca="1" si="76"/>
        <v>-26</v>
      </c>
    </row>
    <row r="347" spans="1:9">
      <c r="A347" s="295">
        <f t="shared" si="75"/>
        <v>330</v>
      </c>
      <c r="B347" s="300">
        <f t="shared" si="78"/>
        <v>10014</v>
      </c>
      <c r="C347" s="296">
        <f t="shared" ca="1" si="77"/>
        <v>26.25</v>
      </c>
      <c r="D347" s="295"/>
      <c r="E347" s="296">
        <f t="shared" ca="1" si="79"/>
        <v>-0.25</v>
      </c>
      <c r="F347" s="296">
        <f t="shared" ca="1" si="68"/>
        <v>-0.25</v>
      </c>
      <c r="G347" s="296">
        <f t="shared" ca="1" si="69"/>
        <v>0</v>
      </c>
      <c r="H347" s="296">
        <f t="shared" ca="1" si="70"/>
        <v>26.5</v>
      </c>
      <c r="I347" s="297">
        <f t="shared" ca="1" si="76"/>
        <v>-27</v>
      </c>
    </row>
    <row r="348" spans="1:9">
      <c r="A348" s="295">
        <f t="shared" si="75"/>
        <v>331</v>
      </c>
      <c r="B348" s="300">
        <f t="shared" si="78"/>
        <v>10044</v>
      </c>
      <c r="C348" s="296">
        <f t="shared" ca="1" si="77"/>
        <v>26.5</v>
      </c>
      <c r="D348" s="295"/>
      <c r="E348" s="296">
        <f t="shared" si="79"/>
        <v>0</v>
      </c>
      <c r="F348" s="296">
        <f t="shared" ca="1" si="68"/>
        <v>0</v>
      </c>
      <c r="G348" s="296">
        <f t="shared" ca="1" si="69"/>
        <v>0</v>
      </c>
      <c r="H348" s="296">
        <f t="shared" ca="1" si="70"/>
        <v>26.5</v>
      </c>
      <c r="I348" s="297">
        <f t="shared" ca="1" si="76"/>
        <v>-27</v>
      </c>
    </row>
    <row r="349" spans="1:9">
      <c r="A349" s="295">
        <f t="shared" si="75"/>
        <v>332</v>
      </c>
      <c r="B349" s="300">
        <f t="shared" si="78"/>
        <v>10075</v>
      </c>
      <c r="C349" s="296">
        <f t="shared" ca="1" si="77"/>
        <v>26.5</v>
      </c>
      <c r="D349" s="295"/>
      <c r="E349" s="296">
        <f t="shared" si="79"/>
        <v>0</v>
      </c>
      <c r="F349" s="296">
        <f t="shared" ca="1" si="68"/>
        <v>0</v>
      </c>
      <c r="G349" s="296">
        <f t="shared" ca="1" si="69"/>
        <v>0</v>
      </c>
      <c r="H349" s="296">
        <f t="shared" ca="1" si="70"/>
        <v>26.5</v>
      </c>
      <c r="I349" s="297">
        <f t="shared" ca="1" si="76"/>
        <v>-27</v>
      </c>
    </row>
    <row r="350" spans="1:9">
      <c r="A350" s="295">
        <f t="shared" si="75"/>
        <v>333</v>
      </c>
      <c r="B350" s="300">
        <f t="shared" si="78"/>
        <v>10106</v>
      </c>
      <c r="C350" s="296">
        <f t="shared" ca="1" si="77"/>
        <v>26.5</v>
      </c>
      <c r="D350" s="295"/>
      <c r="E350" s="296">
        <f t="shared" ca="1" si="79"/>
        <v>-0.25</v>
      </c>
      <c r="F350" s="296">
        <f t="shared" ref="F350:F413" ca="1" si="80">IF(E350="","",E350-G350)</f>
        <v>-0.25</v>
      </c>
      <c r="G350" s="296">
        <f t="shared" ref="G350:G413" ca="1" si="81">ROUND((C350-E350)*$D$5,3)</f>
        <v>0</v>
      </c>
      <c r="H350" s="296">
        <f t="shared" ref="H350:H413" ca="1" si="82">IF(E350="","",ROUND(H349-F350,4))</f>
        <v>26.75</v>
      </c>
      <c r="I350" s="297">
        <f t="shared" ca="1" si="76"/>
        <v>-27</v>
      </c>
    </row>
    <row r="351" spans="1:9">
      <c r="A351" s="295">
        <f t="shared" si="75"/>
        <v>334</v>
      </c>
      <c r="B351" s="300">
        <f t="shared" si="78"/>
        <v>10136</v>
      </c>
      <c r="C351" s="296">
        <f t="shared" ca="1" si="77"/>
        <v>26.75</v>
      </c>
      <c r="D351" s="295"/>
      <c r="E351" s="296">
        <f t="shared" si="79"/>
        <v>0</v>
      </c>
      <c r="F351" s="296">
        <f t="shared" ca="1" si="80"/>
        <v>0</v>
      </c>
      <c r="G351" s="296">
        <f t="shared" ca="1" si="81"/>
        <v>0</v>
      </c>
      <c r="H351" s="296">
        <f t="shared" ca="1" si="82"/>
        <v>26.75</v>
      </c>
      <c r="I351" s="297">
        <f t="shared" ca="1" si="76"/>
        <v>-27</v>
      </c>
    </row>
    <row r="352" spans="1:9">
      <c r="A352" s="295">
        <f t="shared" si="75"/>
        <v>335</v>
      </c>
      <c r="B352" s="300">
        <f t="shared" si="78"/>
        <v>10167</v>
      </c>
      <c r="C352" s="296">
        <f t="shared" ca="1" si="77"/>
        <v>26.75</v>
      </c>
      <c r="D352" s="295"/>
      <c r="E352" s="296">
        <f t="shared" si="79"/>
        <v>0</v>
      </c>
      <c r="F352" s="296">
        <f t="shared" ca="1" si="80"/>
        <v>0</v>
      </c>
      <c r="G352" s="296">
        <f t="shared" ca="1" si="81"/>
        <v>0</v>
      </c>
      <c r="H352" s="296">
        <f t="shared" ca="1" si="82"/>
        <v>26.75</v>
      </c>
      <c r="I352" s="297">
        <f t="shared" ca="1" si="76"/>
        <v>-27</v>
      </c>
    </row>
    <row r="353" spans="1:9">
      <c r="A353" s="295">
        <f t="shared" si="75"/>
        <v>336</v>
      </c>
      <c r="B353" s="300">
        <f t="shared" si="78"/>
        <v>10197</v>
      </c>
      <c r="C353" s="296">
        <f t="shared" ca="1" si="77"/>
        <v>26.75</v>
      </c>
      <c r="D353" s="296">
        <f ca="1">IF(H353&lt;0,0,0.25*(K45-L45))</f>
        <v>-0.25</v>
      </c>
      <c r="E353" s="296">
        <f t="shared" ca="1" si="79"/>
        <v>-0.25</v>
      </c>
      <c r="F353" s="296">
        <f t="shared" ca="1" si="80"/>
        <v>-0.25</v>
      </c>
      <c r="G353" s="296">
        <f t="shared" ca="1" si="81"/>
        <v>0</v>
      </c>
      <c r="H353" s="296">
        <f t="shared" ca="1" si="82"/>
        <v>27</v>
      </c>
      <c r="I353" s="297">
        <f t="shared" ca="1" si="76"/>
        <v>-27</v>
      </c>
    </row>
    <row r="354" spans="1:9">
      <c r="A354" s="295">
        <f t="shared" si="75"/>
        <v>337</v>
      </c>
      <c r="B354" s="300">
        <f t="shared" si="78"/>
        <v>10228</v>
      </c>
      <c r="C354" s="296">
        <f t="shared" ca="1" si="77"/>
        <v>27</v>
      </c>
      <c r="D354" s="295"/>
      <c r="E354" s="296">
        <f>IF($D$10=1,
 IF(OR(MONTH(B354)=MONTH(EDATE($D$7,0)),MONTH(B354)=MONTH(EDATE($D$7,3)),MONTH(B354)=MONTH(EDATE($D$7,6)),MONTH(B354)=MONTH(EDATE($D$7,9))),(MIN($D$353,H353)),0),
IF($D$10=0,
 IF(OR(MONTH(B354)=MONTH(EDATE($D$7,2)),MONTH(B354)=MONTH(EDATE($D$7,5)),MONTH(B354)=MONTH(EDATE($D$7,8)),MONTH(B354)=MONTH(EDATE($D$7,11))),(MIN($D$353,H353)),0)))</f>
        <v>0</v>
      </c>
      <c r="F354" s="296">
        <f t="shared" ca="1" si="80"/>
        <v>0</v>
      </c>
      <c r="G354" s="296">
        <f t="shared" ca="1" si="81"/>
        <v>0</v>
      </c>
      <c r="H354" s="296">
        <f t="shared" ca="1" si="82"/>
        <v>27</v>
      </c>
      <c r="I354" s="297">
        <f t="shared" ca="1" si="76"/>
        <v>-27</v>
      </c>
    </row>
    <row r="355" spans="1:9">
      <c r="A355" s="295">
        <f t="shared" si="75"/>
        <v>338</v>
      </c>
      <c r="B355" s="300">
        <f t="shared" si="78"/>
        <v>10259</v>
      </c>
      <c r="C355" s="296">
        <f t="shared" ca="1" si="77"/>
        <v>27</v>
      </c>
      <c r="D355" s="295"/>
      <c r="E355" s="296">
        <f t="shared" ref="E355:E365" si="83">IF($D$10=1,
 IF(OR(MONTH(B355)=MONTH(EDATE($D$7,0)),MONTH(B355)=MONTH(EDATE($D$7,3)),MONTH(B355)=MONTH(EDATE($D$7,6)),MONTH(B355)=MONTH(EDATE($D$7,9))),(MIN($D$353,H354)),0),
IF($D$10=0,
 IF(OR(MONTH(B355)=MONTH(EDATE($D$7,2)),MONTH(B355)=MONTH(EDATE($D$7,5)),MONTH(B355)=MONTH(EDATE($D$7,8)),MONTH(B355)=MONTH(EDATE($D$7,11))),(MIN($D$353,H354)),0)))</f>
        <v>0</v>
      </c>
      <c r="F355" s="296">
        <f t="shared" ca="1" si="80"/>
        <v>0</v>
      </c>
      <c r="G355" s="296">
        <f t="shared" ca="1" si="81"/>
        <v>0</v>
      </c>
      <c r="H355" s="296">
        <f t="shared" ca="1" si="82"/>
        <v>27</v>
      </c>
      <c r="I355" s="297">
        <f t="shared" ca="1" si="76"/>
        <v>-27</v>
      </c>
    </row>
    <row r="356" spans="1:9">
      <c r="A356" s="295">
        <f t="shared" si="75"/>
        <v>339</v>
      </c>
      <c r="B356" s="300">
        <f t="shared" si="78"/>
        <v>10288</v>
      </c>
      <c r="C356" s="296">
        <f t="shared" ca="1" si="77"/>
        <v>27</v>
      </c>
      <c r="D356" s="295"/>
      <c r="E356" s="296">
        <f t="shared" ca="1" si="83"/>
        <v>-0.25</v>
      </c>
      <c r="F356" s="296">
        <f t="shared" ca="1" si="80"/>
        <v>-0.25</v>
      </c>
      <c r="G356" s="296">
        <f t="shared" ca="1" si="81"/>
        <v>0</v>
      </c>
      <c r="H356" s="296">
        <f t="shared" ca="1" si="82"/>
        <v>27.25</v>
      </c>
      <c r="I356" s="297">
        <f t="shared" ca="1" si="76"/>
        <v>-27</v>
      </c>
    </row>
    <row r="357" spans="1:9">
      <c r="A357" s="295">
        <f t="shared" si="75"/>
        <v>340</v>
      </c>
      <c r="B357" s="300">
        <f t="shared" si="78"/>
        <v>10319</v>
      </c>
      <c r="C357" s="296">
        <f t="shared" ca="1" si="77"/>
        <v>27.25</v>
      </c>
      <c r="D357" s="295"/>
      <c r="E357" s="296">
        <f t="shared" si="83"/>
        <v>0</v>
      </c>
      <c r="F357" s="296">
        <f t="shared" ca="1" si="80"/>
        <v>0</v>
      </c>
      <c r="G357" s="296">
        <f t="shared" ca="1" si="81"/>
        <v>0</v>
      </c>
      <c r="H357" s="296">
        <f t="shared" ca="1" si="82"/>
        <v>27.25</v>
      </c>
      <c r="I357" s="297">
        <f t="shared" ca="1" si="76"/>
        <v>-27</v>
      </c>
    </row>
    <row r="358" spans="1:9">
      <c r="A358" s="295">
        <f t="shared" si="75"/>
        <v>341</v>
      </c>
      <c r="B358" s="300">
        <f t="shared" si="78"/>
        <v>10349</v>
      </c>
      <c r="C358" s="296">
        <f t="shared" ca="1" si="77"/>
        <v>27.25</v>
      </c>
      <c r="D358" s="295"/>
      <c r="E358" s="296">
        <f t="shared" si="83"/>
        <v>0</v>
      </c>
      <c r="F358" s="296">
        <f t="shared" ca="1" si="80"/>
        <v>0</v>
      </c>
      <c r="G358" s="296">
        <f t="shared" ca="1" si="81"/>
        <v>0</v>
      </c>
      <c r="H358" s="296">
        <f t="shared" ca="1" si="82"/>
        <v>27.25</v>
      </c>
      <c r="I358" s="297">
        <f t="shared" ca="1" si="76"/>
        <v>-27</v>
      </c>
    </row>
    <row r="359" spans="1:9">
      <c r="A359" s="295">
        <f t="shared" si="75"/>
        <v>342</v>
      </c>
      <c r="B359" s="300">
        <f t="shared" si="78"/>
        <v>10380</v>
      </c>
      <c r="C359" s="296">
        <f t="shared" ca="1" si="77"/>
        <v>27.25</v>
      </c>
      <c r="D359" s="295"/>
      <c r="E359" s="296">
        <f t="shared" ca="1" si="83"/>
        <v>-0.25</v>
      </c>
      <c r="F359" s="296">
        <f t="shared" ca="1" si="80"/>
        <v>-0.25</v>
      </c>
      <c r="G359" s="296">
        <f t="shared" ca="1" si="81"/>
        <v>0</v>
      </c>
      <c r="H359" s="296">
        <f t="shared" ca="1" si="82"/>
        <v>27.5</v>
      </c>
      <c r="I359" s="297">
        <f t="shared" ca="1" si="76"/>
        <v>-28</v>
      </c>
    </row>
    <row r="360" spans="1:9">
      <c r="A360" s="295">
        <f t="shared" si="75"/>
        <v>343</v>
      </c>
      <c r="B360" s="300">
        <f t="shared" si="78"/>
        <v>10410</v>
      </c>
      <c r="C360" s="296">
        <f t="shared" ca="1" si="77"/>
        <v>27.5</v>
      </c>
      <c r="D360" s="295"/>
      <c r="E360" s="296">
        <f t="shared" si="83"/>
        <v>0</v>
      </c>
      <c r="F360" s="296">
        <f t="shared" ca="1" si="80"/>
        <v>0</v>
      </c>
      <c r="G360" s="296">
        <f t="shared" ca="1" si="81"/>
        <v>0</v>
      </c>
      <c r="H360" s="296">
        <f t="shared" ca="1" si="82"/>
        <v>27.5</v>
      </c>
      <c r="I360" s="297">
        <f t="shared" ca="1" si="76"/>
        <v>-28</v>
      </c>
    </row>
    <row r="361" spans="1:9">
      <c r="A361" s="295">
        <f t="shared" si="75"/>
        <v>344</v>
      </c>
      <c r="B361" s="300">
        <f t="shared" si="78"/>
        <v>10441</v>
      </c>
      <c r="C361" s="296">
        <f t="shared" ca="1" si="77"/>
        <v>27.5</v>
      </c>
      <c r="D361" s="295"/>
      <c r="E361" s="296">
        <f t="shared" si="83"/>
        <v>0</v>
      </c>
      <c r="F361" s="296">
        <f t="shared" ca="1" si="80"/>
        <v>0</v>
      </c>
      <c r="G361" s="296">
        <f t="shared" ca="1" si="81"/>
        <v>0</v>
      </c>
      <c r="H361" s="296">
        <f t="shared" ca="1" si="82"/>
        <v>27.5</v>
      </c>
      <c r="I361" s="297">
        <f t="shared" ca="1" si="76"/>
        <v>-28</v>
      </c>
    </row>
    <row r="362" spans="1:9">
      <c r="A362" s="295">
        <f t="shared" si="75"/>
        <v>345</v>
      </c>
      <c r="B362" s="300">
        <f t="shared" si="78"/>
        <v>10472</v>
      </c>
      <c r="C362" s="296">
        <f t="shared" ca="1" si="77"/>
        <v>27.5</v>
      </c>
      <c r="D362" s="295"/>
      <c r="E362" s="296">
        <f t="shared" ca="1" si="83"/>
        <v>-0.25</v>
      </c>
      <c r="F362" s="296">
        <f t="shared" ca="1" si="80"/>
        <v>-0.25</v>
      </c>
      <c r="G362" s="296">
        <f t="shared" ca="1" si="81"/>
        <v>0</v>
      </c>
      <c r="H362" s="296">
        <f t="shared" ca="1" si="82"/>
        <v>27.75</v>
      </c>
      <c r="I362" s="297">
        <f t="shared" ca="1" si="76"/>
        <v>-28</v>
      </c>
    </row>
    <row r="363" spans="1:9">
      <c r="A363" s="295">
        <f t="shared" si="75"/>
        <v>346</v>
      </c>
      <c r="B363" s="300">
        <f t="shared" si="78"/>
        <v>10502</v>
      </c>
      <c r="C363" s="296">
        <f t="shared" ca="1" si="77"/>
        <v>27.75</v>
      </c>
      <c r="D363" s="295"/>
      <c r="E363" s="296">
        <f t="shared" si="83"/>
        <v>0</v>
      </c>
      <c r="F363" s="296">
        <f t="shared" ca="1" si="80"/>
        <v>0</v>
      </c>
      <c r="G363" s="296">
        <f t="shared" ca="1" si="81"/>
        <v>0</v>
      </c>
      <c r="H363" s="296">
        <f t="shared" ca="1" si="82"/>
        <v>27.75</v>
      </c>
      <c r="I363" s="297">
        <f t="shared" ca="1" si="76"/>
        <v>-28</v>
      </c>
    </row>
    <row r="364" spans="1:9">
      <c r="A364" s="295">
        <f t="shared" si="75"/>
        <v>347</v>
      </c>
      <c r="B364" s="300">
        <f t="shared" si="78"/>
        <v>10533</v>
      </c>
      <c r="C364" s="296">
        <f t="shared" ca="1" si="77"/>
        <v>27.75</v>
      </c>
      <c r="D364" s="295"/>
      <c r="E364" s="296">
        <f t="shared" si="83"/>
        <v>0</v>
      </c>
      <c r="F364" s="296">
        <f t="shared" ca="1" si="80"/>
        <v>0</v>
      </c>
      <c r="G364" s="296">
        <f t="shared" ca="1" si="81"/>
        <v>0</v>
      </c>
      <c r="H364" s="296">
        <f t="shared" ca="1" si="82"/>
        <v>27.75</v>
      </c>
      <c r="I364" s="297">
        <f t="shared" ca="1" si="76"/>
        <v>-28</v>
      </c>
    </row>
    <row r="365" spans="1:9">
      <c r="A365" s="295">
        <f t="shared" si="75"/>
        <v>348</v>
      </c>
      <c r="B365" s="300">
        <f t="shared" si="78"/>
        <v>10563</v>
      </c>
      <c r="C365" s="296">
        <f t="shared" ca="1" si="77"/>
        <v>27.75</v>
      </c>
      <c r="D365" s="296">
        <f ca="1">IF(H365&lt;0,0,0.25*(K46-L46))</f>
        <v>-0.25</v>
      </c>
      <c r="E365" s="296">
        <f t="shared" ca="1" si="83"/>
        <v>-0.25</v>
      </c>
      <c r="F365" s="296">
        <f t="shared" ca="1" si="80"/>
        <v>-0.25</v>
      </c>
      <c r="G365" s="296">
        <f t="shared" ca="1" si="81"/>
        <v>0</v>
      </c>
      <c r="H365" s="296">
        <f t="shared" ca="1" si="82"/>
        <v>28</v>
      </c>
      <c r="I365" s="297">
        <f t="shared" ca="1" si="76"/>
        <v>-28</v>
      </c>
    </row>
    <row r="366" spans="1:9">
      <c r="A366" s="295">
        <f t="shared" si="75"/>
        <v>349</v>
      </c>
      <c r="B366" s="300">
        <f t="shared" si="78"/>
        <v>10594</v>
      </c>
      <c r="C366" s="296">
        <f t="shared" ca="1" si="77"/>
        <v>28</v>
      </c>
      <c r="D366" s="295"/>
      <c r="E366" s="296">
        <f>IF($D$10=1,
 IF(OR(MONTH(B366)=MONTH(EDATE($D$7,0)),MONTH(B366)=MONTH(EDATE($D$7,3)),MONTH(B366)=MONTH(EDATE($D$7,6)),MONTH(B366)=MONTH(EDATE($D$7,9))),(MIN($D$365,H365)),0),
IF($D$10=0,
 IF(OR(MONTH(B366)=MONTH(EDATE($D$7,2)),MONTH(B366)=MONTH(EDATE($D$7,5)),MONTH(B366)=MONTH(EDATE($D$7,8)),MONTH(B366)=MONTH(EDATE($D$7,11))),(MIN($D$365,H365)),0)))</f>
        <v>0</v>
      </c>
      <c r="F366" s="296">
        <f t="shared" ca="1" si="80"/>
        <v>0</v>
      </c>
      <c r="G366" s="296">
        <f t="shared" ca="1" si="81"/>
        <v>0</v>
      </c>
      <c r="H366" s="296">
        <f t="shared" ca="1" si="82"/>
        <v>28</v>
      </c>
      <c r="I366" s="297">
        <f t="shared" ca="1" si="76"/>
        <v>-28</v>
      </c>
    </row>
    <row r="367" spans="1:9">
      <c r="A367" s="295">
        <f t="shared" si="75"/>
        <v>350</v>
      </c>
      <c r="B367" s="300">
        <f t="shared" si="78"/>
        <v>10625</v>
      </c>
      <c r="C367" s="296">
        <f t="shared" ca="1" si="77"/>
        <v>28</v>
      </c>
      <c r="D367" s="295"/>
      <c r="E367" s="296">
        <f t="shared" ref="E367:E377" si="84">IF($D$10=1,
 IF(OR(MONTH(B367)=MONTH(EDATE($D$7,0)),MONTH(B367)=MONTH(EDATE($D$7,3)),MONTH(B367)=MONTH(EDATE($D$7,6)),MONTH(B367)=MONTH(EDATE($D$7,9))),(MIN($D$365,H366)),0),
IF($D$10=0,
 IF(OR(MONTH(B367)=MONTH(EDATE($D$7,2)),MONTH(B367)=MONTH(EDATE($D$7,5)),MONTH(B367)=MONTH(EDATE($D$7,8)),MONTH(B367)=MONTH(EDATE($D$7,11))),(MIN($D$365,H366)),0)))</f>
        <v>0</v>
      </c>
      <c r="F367" s="296">
        <f t="shared" ca="1" si="80"/>
        <v>0</v>
      </c>
      <c r="G367" s="296">
        <f t="shared" ca="1" si="81"/>
        <v>0</v>
      </c>
      <c r="H367" s="296">
        <f t="shared" ca="1" si="82"/>
        <v>28</v>
      </c>
      <c r="I367" s="297">
        <f t="shared" ca="1" si="76"/>
        <v>-28</v>
      </c>
    </row>
    <row r="368" spans="1:9">
      <c r="A368" s="295">
        <f t="shared" si="75"/>
        <v>351</v>
      </c>
      <c r="B368" s="300">
        <f t="shared" si="78"/>
        <v>10653</v>
      </c>
      <c r="C368" s="296">
        <f t="shared" ca="1" si="77"/>
        <v>28</v>
      </c>
      <c r="D368" s="295"/>
      <c r="E368" s="296">
        <f t="shared" ca="1" si="84"/>
        <v>-0.25</v>
      </c>
      <c r="F368" s="296">
        <f t="shared" ca="1" si="80"/>
        <v>-0.25</v>
      </c>
      <c r="G368" s="296">
        <f t="shared" ca="1" si="81"/>
        <v>0</v>
      </c>
      <c r="H368" s="296">
        <f t="shared" ca="1" si="82"/>
        <v>28.25</v>
      </c>
      <c r="I368" s="297">
        <f t="shared" ca="1" si="76"/>
        <v>-28</v>
      </c>
    </row>
    <row r="369" spans="1:9">
      <c r="A369" s="295">
        <f t="shared" si="75"/>
        <v>352</v>
      </c>
      <c r="B369" s="300">
        <f t="shared" si="78"/>
        <v>10684</v>
      </c>
      <c r="C369" s="296">
        <f t="shared" ca="1" si="77"/>
        <v>28.25</v>
      </c>
      <c r="D369" s="295"/>
      <c r="E369" s="296">
        <f t="shared" si="84"/>
        <v>0</v>
      </c>
      <c r="F369" s="296">
        <f t="shared" ca="1" si="80"/>
        <v>0</v>
      </c>
      <c r="G369" s="296">
        <f t="shared" ca="1" si="81"/>
        <v>0</v>
      </c>
      <c r="H369" s="296">
        <f t="shared" ca="1" si="82"/>
        <v>28.25</v>
      </c>
      <c r="I369" s="297">
        <f t="shared" ca="1" si="76"/>
        <v>-28</v>
      </c>
    </row>
    <row r="370" spans="1:9">
      <c r="A370" s="295">
        <f t="shared" si="75"/>
        <v>353</v>
      </c>
      <c r="B370" s="300">
        <f t="shared" si="78"/>
        <v>10714</v>
      </c>
      <c r="C370" s="296">
        <f t="shared" ca="1" si="77"/>
        <v>28.25</v>
      </c>
      <c r="D370" s="295"/>
      <c r="E370" s="296">
        <f t="shared" si="84"/>
        <v>0</v>
      </c>
      <c r="F370" s="296">
        <f t="shared" ca="1" si="80"/>
        <v>0</v>
      </c>
      <c r="G370" s="296">
        <f t="shared" ca="1" si="81"/>
        <v>0</v>
      </c>
      <c r="H370" s="296">
        <f t="shared" ca="1" si="82"/>
        <v>28.25</v>
      </c>
      <c r="I370" s="297">
        <f t="shared" ca="1" si="76"/>
        <v>-28</v>
      </c>
    </row>
    <row r="371" spans="1:9">
      <c r="A371" s="295">
        <f t="shared" si="75"/>
        <v>354</v>
      </c>
      <c r="B371" s="300">
        <f t="shared" si="78"/>
        <v>10745</v>
      </c>
      <c r="C371" s="296">
        <f t="shared" ca="1" si="77"/>
        <v>28.25</v>
      </c>
      <c r="D371" s="295"/>
      <c r="E371" s="296">
        <f t="shared" ca="1" si="84"/>
        <v>-0.25</v>
      </c>
      <c r="F371" s="296">
        <f t="shared" ca="1" si="80"/>
        <v>-0.25</v>
      </c>
      <c r="G371" s="296">
        <f t="shared" ca="1" si="81"/>
        <v>0</v>
      </c>
      <c r="H371" s="296">
        <f t="shared" ca="1" si="82"/>
        <v>28.5</v>
      </c>
      <c r="I371" s="297">
        <f t="shared" ca="1" si="76"/>
        <v>-29</v>
      </c>
    </row>
    <row r="372" spans="1:9">
      <c r="A372" s="295">
        <f t="shared" si="75"/>
        <v>355</v>
      </c>
      <c r="B372" s="300">
        <f t="shared" si="78"/>
        <v>10775</v>
      </c>
      <c r="C372" s="296">
        <f t="shared" ca="1" si="77"/>
        <v>28.5</v>
      </c>
      <c r="D372" s="295"/>
      <c r="E372" s="296">
        <f t="shared" si="84"/>
        <v>0</v>
      </c>
      <c r="F372" s="296">
        <f t="shared" ca="1" si="80"/>
        <v>0</v>
      </c>
      <c r="G372" s="296">
        <f t="shared" ca="1" si="81"/>
        <v>0</v>
      </c>
      <c r="H372" s="296">
        <f t="shared" ca="1" si="82"/>
        <v>28.5</v>
      </c>
      <c r="I372" s="297">
        <f t="shared" ca="1" si="76"/>
        <v>-29</v>
      </c>
    </row>
    <row r="373" spans="1:9">
      <c r="A373" s="295">
        <f t="shared" si="75"/>
        <v>356</v>
      </c>
      <c r="B373" s="300">
        <f t="shared" si="78"/>
        <v>10806</v>
      </c>
      <c r="C373" s="296">
        <f t="shared" ca="1" si="77"/>
        <v>28.5</v>
      </c>
      <c r="D373" s="295"/>
      <c r="E373" s="296">
        <f t="shared" si="84"/>
        <v>0</v>
      </c>
      <c r="F373" s="296">
        <f t="shared" ca="1" si="80"/>
        <v>0</v>
      </c>
      <c r="G373" s="296">
        <f t="shared" ca="1" si="81"/>
        <v>0</v>
      </c>
      <c r="H373" s="296">
        <f t="shared" ca="1" si="82"/>
        <v>28.5</v>
      </c>
      <c r="I373" s="297">
        <f t="shared" ca="1" si="76"/>
        <v>-29</v>
      </c>
    </row>
    <row r="374" spans="1:9">
      <c r="A374" s="295">
        <f t="shared" si="75"/>
        <v>357</v>
      </c>
      <c r="B374" s="300">
        <f t="shared" si="78"/>
        <v>10837</v>
      </c>
      <c r="C374" s="296">
        <f t="shared" ca="1" si="77"/>
        <v>28.5</v>
      </c>
      <c r="D374" s="295"/>
      <c r="E374" s="296">
        <f t="shared" ca="1" si="84"/>
        <v>-0.25</v>
      </c>
      <c r="F374" s="296">
        <f t="shared" ca="1" si="80"/>
        <v>-0.25</v>
      </c>
      <c r="G374" s="296">
        <f t="shared" ca="1" si="81"/>
        <v>0</v>
      </c>
      <c r="H374" s="296">
        <f t="shared" ca="1" si="82"/>
        <v>28.75</v>
      </c>
      <c r="I374" s="297">
        <f t="shared" ca="1" si="76"/>
        <v>-29</v>
      </c>
    </row>
    <row r="375" spans="1:9">
      <c r="A375" s="295">
        <f t="shared" si="75"/>
        <v>358</v>
      </c>
      <c r="B375" s="300">
        <f t="shared" si="78"/>
        <v>10867</v>
      </c>
      <c r="C375" s="296">
        <f t="shared" ca="1" si="77"/>
        <v>28.75</v>
      </c>
      <c r="D375" s="295"/>
      <c r="E375" s="296">
        <f t="shared" si="84"/>
        <v>0</v>
      </c>
      <c r="F375" s="296">
        <f t="shared" ca="1" si="80"/>
        <v>0</v>
      </c>
      <c r="G375" s="296">
        <f t="shared" ca="1" si="81"/>
        <v>0</v>
      </c>
      <c r="H375" s="296">
        <f t="shared" ca="1" si="82"/>
        <v>28.75</v>
      </c>
      <c r="I375" s="297">
        <f t="shared" ca="1" si="76"/>
        <v>-29</v>
      </c>
    </row>
    <row r="376" spans="1:9">
      <c r="A376" s="295">
        <f t="shared" si="75"/>
        <v>359</v>
      </c>
      <c r="B376" s="300">
        <f t="shared" si="78"/>
        <v>10898</v>
      </c>
      <c r="C376" s="296">
        <f t="shared" ca="1" si="77"/>
        <v>28.75</v>
      </c>
      <c r="D376" s="295"/>
      <c r="E376" s="296">
        <f t="shared" si="84"/>
        <v>0</v>
      </c>
      <c r="F376" s="296">
        <f t="shared" ca="1" si="80"/>
        <v>0</v>
      </c>
      <c r="G376" s="296">
        <f t="shared" ca="1" si="81"/>
        <v>0</v>
      </c>
      <c r="H376" s="296">
        <f t="shared" ca="1" si="82"/>
        <v>28.75</v>
      </c>
      <c r="I376" s="297">
        <f t="shared" ca="1" si="76"/>
        <v>-29</v>
      </c>
    </row>
    <row r="377" spans="1:9">
      <c r="A377" s="295">
        <f t="shared" si="75"/>
        <v>360</v>
      </c>
      <c r="B377" s="300">
        <f t="shared" si="78"/>
        <v>10928</v>
      </c>
      <c r="C377" s="296">
        <f t="shared" ca="1" si="77"/>
        <v>28.75</v>
      </c>
      <c r="D377" s="296">
        <f ca="1">IF(H377&lt;0,0,0.25*(K47-L47))</f>
        <v>-0.25</v>
      </c>
      <c r="E377" s="296">
        <f t="shared" ca="1" si="84"/>
        <v>-0.25</v>
      </c>
      <c r="F377" s="296">
        <f t="shared" ca="1" si="80"/>
        <v>-0.25</v>
      </c>
      <c r="G377" s="296">
        <f t="shared" ca="1" si="81"/>
        <v>0</v>
      </c>
      <c r="H377" s="296">
        <f t="shared" ca="1" si="82"/>
        <v>29</v>
      </c>
      <c r="I377" s="297">
        <f t="shared" ca="1" si="76"/>
        <v>-29</v>
      </c>
    </row>
    <row r="378" spans="1:9">
      <c r="A378" s="295">
        <f t="shared" si="75"/>
        <v>361</v>
      </c>
      <c r="B378" s="300">
        <f t="shared" si="78"/>
        <v>10959</v>
      </c>
      <c r="C378" s="296">
        <f t="shared" ca="1" si="77"/>
        <v>29</v>
      </c>
      <c r="D378" s="295"/>
      <c r="E378" s="296">
        <f>IF($D$10=1,
 IF(OR(MONTH(B378)=MONTH(EDATE($D$7,0)),MONTH(B378)=MONTH(EDATE($D$7,3)),MONTH(B378)=MONTH(EDATE($D$7,6)),MONTH(B378)=MONTH(EDATE($D$7,9))),(MIN($D$377,H377)),0),
IF($D$10=0,
 IF(OR(MONTH(B378)=MONTH(EDATE($D$7,2)),MONTH(B378)=MONTH(EDATE($D$7,5)),MONTH(B378)=MONTH(EDATE($D$7,8)),MONTH(B378)=MONTH(EDATE($D$7,11))),(MIN($D$377,H377)),0)))</f>
        <v>0</v>
      </c>
      <c r="F378" s="296">
        <f t="shared" ca="1" si="80"/>
        <v>0</v>
      </c>
      <c r="G378" s="296">
        <f t="shared" ca="1" si="81"/>
        <v>0</v>
      </c>
      <c r="H378" s="296">
        <f t="shared" ca="1" si="82"/>
        <v>29</v>
      </c>
      <c r="I378" s="297">
        <f t="shared" ca="1" si="76"/>
        <v>-29</v>
      </c>
    </row>
    <row r="379" spans="1:9">
      <c r="A379" s="295">
        <f t="shared" si="75"/>
        <v>362</v>
      </c>
      <c r="B379" s="300">
        <f t="shared" si="78"/>
        <v>10990</v>
      </c>
      <c r="C379" s="296">
        <f t="shared" ca="1" si="77"/>
        <v>29</v>
      </c>
      <c r="D379" s="295"/>
      <c r="E379" s="296">
        <f t="shared" ref="E379:E389" si="85">IF($D$10=1,
 IF(OR(MONTH(B379)=MONTH(EDATE($D$7,0)),MONTH(B379)=MONTH(EDATE($D$7,3)),MONTH(B379)=MONTH(EDATE($D$7,6)),MONTH(B379)=MONTH(EDATE($D$7,9))),(MIN($D$377,H378)),0),
IF($D$10=0,
 IF(OR(MONTH(B379)=MONTH(EDATE($D$7,2)),MONTH(B379)=MONTH(EDATE($D$7,5)),MONTH(B379)=MONTH(EDATE($D$7,8)),MONTH(B379)=MONTH(EDATE($D$7,11))),(MIN($D$377,H378)),0)))</f>
        <v>0</v>
      </c>
      <c r="F379" s="296">
        <f t="shared" ca="1" si="80"/>
        <v>0</v>
      </c>
      <c r="G379" s="296">
        <f t="shared" ca="1" si="81"/>
        <v>0</v>
      </c>
      <c r="H379" s="296">
        <f t="shared" ca="1" si="82"/>
        <v>29</v>
      </c>
      <c r="I379" s="297">
        <f t="shared" ca="1" si="76"/>
        <v>-29</v>
      </c>
    </row>
    <row r="380" spans="1:9">
      <c r="A380" s="295">
        <f t="shared" si="75"/>
        <v>363</v>
      </c>
      <c r="B380" s="300">
        <f t="shared" si="78"/>
        <v>11018</v>
      </c>
      <c r="C380" s="296">
        <f t="shared" ca="1" si="77"/>
        <v>29</v>
      </c>
      <c r="D380" s="295"/>
      <c r="E380" s="296">
        <f t="shared" ca="1" si="85"/>
        <v>-0.25</v>
      </c>
      <c r="F380" s="296">
        <f t="shared" ca="1" si="80"/>
        <v>-0.25</v>
      </c>
      <c r="G380" s="296">
        <f t="shared" ca="1" si="81"/>
        <v>0</v>
      </c>
      <c r="H380" s="296">
        <f t="shared" ca="1" si="82"/>
        <v>29.25</v>
      </c>
      <c r="I380" s="297">
        <f t="shared" ca="1" si="76"/>
        <v>-29</v>
      </c>
    </row>
    <row r="381" spans="1:9">
      <c r="A381" s="295">
        <f t="shared" si="75"/>
        <v>364</v>
      </c>
      <c r="B381" s="300">
        <f t="shared" si="78"/>
        <v>11049</v>
      </c>
      <c r="C381" s="296">
        <f t="shared" ca="1" si="77"/>
        <v>29.25</v>
      </c>
      <c r="D381" s="295"/>
      <c r="E381" s="296">
        <f t="shared" si="85"/>
        <v>0</v>
      </c>
      <c r="F381" s="296">
        <f t="shared" ca="1" si="80"/>
        <v>0</v>
      </c>
      <c r="G381" s="296">
        <f t="shared" ca="1" si="81"/>
        <v>0</v>
      </c>
      <c r="H381" s="296">
        <f t="shared" ca="1" si="82"/>
        <v>29.25</v>
      </c>
      <c r="I381" s="297">
        <f t="shared" ca="1" si="76"/>
        <v>-29</v>
      </c>
    </row>
    <row r="382" spans="1:9">
      <c r="A382" s="295">
        <f t="shared" si="75"/>
        <v>365</v>
      </c>
      <c r="B382" s="300">
        <f t="shared" si="78"/>
        <v>11079</v>
      </c>
      <c r="C382" s="296">
        <f t="shared" ca="1" si="77"/>
        <v>29.25</v>
      </c>
      <c r="D382" s="295"/>
      <c r="E382" s="296">
        <f t="shared" si="85"/>
        <v>0</v>
      </c>
      <c r="F382" s="296">
        <f t="shared" ca="1" si="80"/>
        <v>0</v>
      </c>
      <c r="G382" s="296">
        <f t="shared" ca="1" si="81"/>
        <v>0</v>
      </c>
      <c r="H382" s="296">
        <f t="shared" ca="1" si="82"/>
        <v>29.25</v>
      </c>
      <c r="I382" s="297">
        <f t="shared" ca="1" si="76"/>
        <v>-29</v>
      </c>
    </row>
    <row r="383" spans="1:9">
      <c r="A383" s="295">
        <f t="shared" si="75"/>
        <v>366</v>
      </c>
      <c r="B383" s="300">
        <f t="shared" si="78"/>
        <v>11110</v>
      </c>
      <c r="C383" s="296">
        <f t="shared" ca="1" si="77"/>
        <v>29.25</v>
      </c>
      <c r="D383" s="295"/>
      <c r="E383" s="296">
        <f t="shared" ca="1" si="85"/>
        <v>-0.25</v>
      </c>
      <c r="F383" s="296">
        <f t="shared" ca="1" si="80"/>
        <v>-0.25</v>
      </c>
      <c r="G383" s="296">
        <f t="shared" ca="1" si="81"/>
        <v>0</v>
      </c>
      <c r="H383" s="296">
        <f t="shared" ca="1" si="82"/>
        <v>29.5</v>
      </c>
      <c r="I383" s="297">
        <f t="shared" ca="1" si="76"/>
        <v>-30</v>
      </c>
    </row>
    <row r="384" spans="1:9">
      <c r="A384" s="295">
        <f t="shared" si="75"/>
        <v>367</v>
      </c>
      <c r="B384" s="300">
        <f t="shared" si="78"/>
        <v>11140</v>
      </c>
      <c r="C384" s="296">
        <f t="shared" ca="1" si="77"/>
        <v>29.5</v>
      </c>
      <c r="D384" s="295"/>
      <c r="E384" s="296">
        <f t="shared" si="85"/>
        <v>0</v>
      </c>
      <c r="F384" s="296">
        <f t="shared" ca="1" si="80"/>
        <v>0</v>
      </c>
      <c r="G384" s="296">
        <f t="shared" ca="1" si="81"/>
        <v>0</v>
      </c>
      <c r="H384" s="296">
        <f t="shared" ca="1" si="82"/>
        <v>29.5</v>
      </c>
      <c r="I384" s="297">
        <f t="shared" ca="1" si="76"/>
        <v>-30</v>
      </c>
    </row>
    <row r="385" spans="1:9">
      <c r="A385" s="295">
        <f t="shared" si="75"/>
        <v>368</v>
      </c>
      <c r="B385" s="300">
        <f t="shared" si="78"/>
        <v>11171</v>
      </c>
      <c r="C385" s="296">
        <f t="shared" ca="1" si="77"/>
        <v>29.5</v>
      </c>
      <c r="D385" s="295"/>
      <c r="E385" s="296">
        <f t="shared" si="85"/>
        <v>0</v>
      </c>
      <c r="F385" s="296">
        <f t="shared" ca="1" si="80"/>
        <v>0</v>
      </c>
      <c r="G385" s="296">
        <f t="shared" ca="1" si="81"/>
        <v>0</v>
      </c>
      <c r="H385" s="296">
        <f t="shared" ca="1" si="82"/>
        <v>29.5</v>
      </c>
      <c r="I385" s="297">
        <f t="shared" ca="1" si="76"/>
        <v>-30</v>
      </c>
    </row>
    <row r="386" spans="1:9">
      <c r="A386" s="295">
        <f t="shared" si="75"/>
        <v>369</v>
      </c>
      <c r="B386" s="300">
        <f t="shared" si="78"/>
        <v>11202</v>
      </c>
      <c r="C386" s="296">
        <f t="shared" ca="1" si="77"/>
        <v>29.5</v>
      </c>
      <c r="D386" s="295"/>
      <c r="E386" s="296">
        <f t="shared" ca="1" si="85"/>
        <v>-0.25</v>
      </c>
      <c r="F386" s="296">
        <f t="shared" ca="1" si="80"/>
        <v>-0.25</v>
      </c>
      <c r="G386" s="296">
        <f t="shared" ca="1" si="81"/>
        <v>0</v>
      </c>
      <c r="H386" s="296">
        <f t="shared" ca="1" si="82"/>
        <v>29.75</v>
      </c>
      <c r="I386" s="297">
        <f t="shared" ca="1" si="76"/>
        <v>-30</v>
      </c>
    </row>
    <row r="387" spans="1:9">
      <c r="A387" s="295">
        <f t="shared" si="75"/>
        <v>370</v>
      </c>
      <c r="B387" s="300">
        <f t="shared" si="78"/>
        <v>11232</v>
      </c>
      <c r="C387" s="296">
        <f t="shared" ca="1" si="77"/>
        <v>29.75</v>
      </c>
      <c r="D387" s="295"/>
      <c r="E387" s="296">
        <f t="shared" si="85"/>
        <v>0</v>
      </c>
      <c r="F387" s="296">
        <f t="shared" ca="1" si="80"/>
        <v>0</v>
      </c>
      <c r="G387" s="296">
        <f t="shared" ca="1" si="81"/>
        <v>0</v>
      </c>
      <c r="H387" s="296">
        <f t="shared" ca="1" si="82"/>
        <v>29.75</v>
      </c>
      <c r="I387" s="297">
        <f t="shared" ca="1" si="76"/>
        <v>-30</v>
      </c>
    </row>
    <row r="388" spans="1:9">
      <c r="A388" s="295">
        <f t="shared" si="75"/>
        <v>371</v>
      </c>
      <c r="B388" s="300">
        <f t="shared" si="78"/>
        <v>11263</v>
      </c>
      <c r="C388" s="296">
        <f t="shared" ca="1" si="77"/>
        <v>29.75</v>
      </c>
      <c r="D388" s="295"/>
      <c r="E388" s="296">
        <f t="shared" si="85"/>
        <v>0</v>
      </c>
      <c r="F388" s="296">
        <f t="shared" ca="1" si="80"/>
        <v>0</v>
      </c>
      <c r="G388" s="296">
        <f t="shared" ca="1" si="81"/>
        <v>0</v>
      </c>
      <c r="H388" s="296">
        <f t="shared" ca="1" si="82"/>
        <v>29.75</v>
      </c>
      <c r="I388" s="297">
        <f t="shared" ca="1" si="76"/>
        <v>-30</v>
      </c>
    </row>
    <row r="389" spans="1:9">
      <c r="A389" s="295">
        <f t="shared" si="75"/>
        <v>372</v>
      </c>
      <c r="B389" s="300">
        <f t="shared" si="78"/>
        <v>11293</v>
      </c>
      <c r="C389" s="296">
        <f t="shared" ca="1" si="77"/>
        <v>29.75</v>
      </c>
      <c r="D389" s="296">
        <f ca="1">IF(H389&lt;0,0,0.25*(K48-L48))</f>
        <v>-0.25</v>
      </c>
      <c r="E389" s="296">
        <f t="shared" ca="1" si="85"/>
        <v>-0.25</v>
      </c>
      <c r="F389" s="296">
        <f t="shared" ca="1" si="80"/>
        <v>-0.25</v>
      </c>
      <c r="G389" s="296">
        <f t="shared" ca="1" si="81"/>
        <v>0</v>
      </c>
      <c r="H389" s="296">
        <f t="shared" ca="1" si="82"/>
        <v>30</v>
      </c>
      <c r="I389" s="297">
        <f t="shared" ca="1" si="76"/>
        <v>-30</v>
      </c>
    </row>
    <row r="390" spans="1:9">
      <c r="A390" s="295">
        <f t="shared" si="75"/>
        <v>373</v>
      </c>
      <c r="B390" s="300">
        <f t="shared" si="78"/>
        <v>11324</v>
      </c>
      <c r="C390" s="296">
        <f t="shared" ca="1" si="77"/>
        <v>30</v>
      </c>
      <c r="D390" s="295"/>
      <c r="E390" s="296">
        <f>IF($D$10=1,
 IF(OR(MONTH(B390)=MONTH(EDATE($D$7,0)),MONTH(B390)=MONTH(EDATE($D$7,3)),MONTH(B390)=MONTH(EDATE($D$7,6)),MONTH(B390)=MONTH(EDATE($D$7,9))),(MIN($D$389,H389)),0),
IF($D$10=0,
 IF(OR(MONTH(B390)=MONTH(EDATE($D$7,2)),MONTH(B390)=MONTH(EDATE($D$7,5)),MONTH(B390)=MONTH(EDATE($D$7,8)),MONTH(B390)=MONTH(EDATE($D$7,11))),(MIN($D$389,H389)),0)))</f>
        <v>0</v>
      </c>
      <c r="F390" s="296">
        <f t="shared" ca="1" si="80"/>
        <v>0</v>
      </c>
      <c r="G390" s="296">
        <f t="shared" ca="1" si="81"/>
        <v>0</v>
      </c>
      <c r="H390" s="296">
        <f t="shared" ca="1" si="82"/>
        <v>30</v>
      </c>
      <c r="I390" s="297">
        <f t="shared" ca="1" si="76"/>
        <v>-30</v>
      </c>
    </row>
    <row r="391" spans="1:9">
      <c r="A391" s="295">
        <f t="shared" si="75"/>
        <v>374</v>
      </c>
      <c r="B391" s="300">
        <f t="shared" si="78"/>
        <v>11355</v>
      </c>
      <c r="C391" s="296">
        <f t="shared" ca="1" si="77"/>
        <v>30</v>
      </c>
      <c r="D391" s="295"/>
      <c r="E391" s="296">
        <f t="shared" ref="E391:E401" si="86">IF($D$10=1,
 IF(OR(MONTH(B391)=MONTH(EDATE($D$7,0)),MONTH(B391)=MONTH(EDATE($D$7,3)),MONTH(B391)=MONTH(EDATE($D$7,6)),MONTH(B391)=MONTH(EDATE($D$7,9))),(MIN($D$389,H390)),0),
IF($D$10=0,
 IF(OR(MONTH(B391)=MONTH(EDATE($D$7,2)),MONTH(B391)=MONTH(EDATE($D$7,5)),MONTH(B391)=MONTH(EDATE($D$7,8)),MONTH(B391)=MONTH(EDATE($D$7,11))),(MIN($D$389,H390)),0)))</f>
        <v>0</v>
      </c>
      <c r="F391" s="296">
        <f t="shared" ca="1" si="80"/>
        <v>0</v>
      </c>
      <c r="G391" s="296">
        <f t="shared" ca="1" si="81"/>
        <v>0</v>
      </c>
      <c r="H391" s="296">
        <f t="shared" ca="1" si="82"/>
        <v>30</v>
      </c>
      <c r="I391" s="297">
        <f t="shared" ca="1" si="76"/>
        <v>-30</v>
      </c>
    </row>
    <row r="392" spans="1:9">
      <c r="A392" s="295">
        <f t="shared" si="75"/>
        <v>375</v>
      </c>
      <c r="B392" s="300">
        <f t="shared" si="78"/>
        <v>11383</v>
      </c>
      <c r="C392" s="296">
        <f t="shared" ca="1" si="77"/>
        <v>30</v>
      </c>
      <c r="D392" s="295"/>
      <c r="E392" s="296">
        <f t="shared" ca="1" si="86"/>
        <v>-0.25</v>
      </c>
      <c r="F392" s="296">
        <f t="shared" ca="1" si="80"/>
        <v>-0.25</v>
      </c>
      <c r="G392" s="296">
        <f t="shared" ca="1" si="81"/>
        <v>0</v>
      </c>
      <c r="H392" s="296">
        <f t="shared" ca="1" si="82"/>
        <v>30.25</v>
      </c>
      <c r="I392" s="297">
        <f t="shared" ca="1" si="76"/>
        <v>-30</v>
      </c>
    </row>
    <row r="393" spans="1:9">
      <c r="A393" s="295">
        <f t="shared" si="75"/>
        <v>376</v>
      </c>
      <c r="B393" s="300">
        <f t="shared" si="78"/>
        <v>11414</v>
      </c>
      <c r="C393" s="296">
        <f t="shared" ca="1" si="77"/>
        <v>30.25</v>
      </c>
      <c r="D393" s="295"/>
      <c r="E393" s="296">
        <f t="shared" si="86"/>
        <v>0</v>
      </c>
      <c r="F393" s="296">
        <f t="shared" ca="1" si="80"/>
        <v>0</v>
      </c>
      <c r="G393" s="296">
        <f t="shared" ca="1" si="81"/>
        <v>0</v>
      </c>
      <c r="H393" s="296">
        <f t="shared" ca="1" si="82"/>
        <v>30.25</v>
      </c>
      <c r="I393" s="297">
        <f t="shared" ca="1" si="76"/>
        <v>-30</v>
      </c>
    </row>
    <row r="394" spans="1:9">
      <c r="A394" s="295">
        <f t="shared" si="75"/>
        <v>377</v>
      </c>
      <c r="B394" s="300">
        <f t="shared" si="78"/>
        <v>11444</v>
      </c>
      <c r="C394" s="296">
        <f t="shared" ca="1" si="77"/>
        <v>30.25</v>
      </c>
      <c r="D394" s="295"/>
      <c r="E394" s="296">
        <f t="shared" si="86"/>
        <v>0</v>
      </c>
      <c r="F394" s="296">
        <f t="shared" ca="1" si="80"/>
        <v>0</v>
      </c>
      <c r="G394" s="296">
        <f t="shared" ca="1" si="81"/>
        <v>0</v>
      </c>
      <c r="H394" s="296">
        <f t="shared" ca="1" si="82"/>
        <v>30.25</v>
      </c>
      <c r="I394" s="297">
        <f t="shared" ca="1" si="76"/>
        <v>-30</v>
      </c>
    </row>
    <row r="395" spans="1:9">
      <c r="A395" s="295">
        <f t="shared" si="75"/>
        <v>378</v>
      </c>
      <c r="B395" s="300">
        <f t="shared" si="78"/>
        <v>11475</v>
      </c>
      <c r="C395" s="296">
        <f t="shared" ca="1" si="77"/>
        <v>30.25</v>
      </c>
      <c r="D395" s="295"/>
      <c r="E395" s="296">
        <f t="shared" ca="1" si="86"/>
        <v>-0.25</v>
      </c>
      <c r="F395" s="296">
        <f t="shared" ca="1" si="80"/>
        <v>-0.25</v>
      </c>
      <c r="G395" s="296">
        <f t="shared" ca="1" si="81"/>
        <v>0</v>
      </c>
      <c r="H395" s="296">
        <f t="shared" ca="1" si="82"/>
        <v>30.5</v>
      </c>
      <c r="I395" s="297">
        <f t="shared" ca="1" si="76"/>
        <v>-31</v>
      </c>
    </row>
    <row r="396" spans="1:9">
      <c r="A396" s="295">
        <f t="shared" si="75"/>
        <v>379</v>
      </c>
      <c r="B396" s="300">
        <f t="shared" si="78"/>
        <v>11505</v>
      </c>
      <c r="C396" s="296">
        <f t="shared" ca="1" si="77"/>
        <v>30.5</v>
      </c>
      <c r="D396" s="295"/>
      <c r="E396" s="296">
        <f t="shared" si="86"/>
        <v>0</v>
      </c>
      <c r="F396" s="296">
        <f t="shared" ca="1" si="80"/>
        <v>0</v>
      </c>
      <c r="G396" s="296">
        <f t="shared" ca="1" si="81"/>
        <v>0</v>
      </c>
      <c r="H396" s="296">
        <f t="shared" ca="1" si="82"/>
        <v>30.5</v>
      </c>
      <c r="I396" s="297">
        <f t="shared" ca="1" si="76"/>
        <v>-31</v>
      </c>
    </row>
    <row r="397" spans="1:9">
      <c r="A397" s="295">
        <f t="shared" si="75"/>
        <v>380</v>
      </c>
      <c r="B397" s="300">
        <f t="shared" si="78"/>
        <v>11536</v>
      </c>
      <c r="C397" s="296">
        <f t="shared" ca="1" si="77"/>
        <v>30.5</v>
      </c>
      <c r="D397" s="295"/>
      <c r="E397" s="296">
        <f t="shared" si="86"/>
        <v>0</v>
      </c>
      <c r="F397" s="296">
        <f t="shared" ca="1" si="80"/>
        <v>0</v>
      </c>
      <c r="G397" s="296">
        <f t="shared" ca="1" si="81"/>
        <v>0</v>
      </c>
      <c r="H397" s="296">
        <f t="shared" ca="1" si="82"/>
        <v>30.5</v>
      </c>
      <c r="I397" s="297">
        <f t="shared" ca="1" si="76"/>
        <v>-31</v>
      </c>
    </row>
    <row r="398" spans="1:9">
      <c r="A398" s="295">
        <f t="shared" si="75"/>
        <v>381</v>
      </c>
      <c r="B398" s="300">
        <f t="shared" si="78"/>
        <v>11567</v>
      </c>
      <c r="C398" s="296">
        <f t="shared" ca="1" si="77"/>
        <v>30.5</v>
      </c>
      <c r="D398" s="295"/>
      <c r="E398" s="296">
        <f t="shared" ca="1" si="86"/>
        <v>-0.25</v>
      </c>
      <c r="F398" s="296">
        <f t="shared" ca="1" si="80"/>
        <v>-0.25</v>
      </c>
      <c r="G398" s="296">
        <f t="shared" ca="1" si="81"/>
        <v>0</v>
      </c>
      <c r="H398" s="296">
        <f t="shared" ca="1" si="82"/>
        <v>30.75</v>
      </c>
      <c r="I398" s="297">
        <f t="shared" ca="1" si="76"/>
        <v>-31</v>
      </c>
    </row>
    <row r="399" spans="1:9">
      <c r="A399" s="295">
        <f t="shared" si="75"/>
        <v>382</v>
      </c>
      <c r="B399" s="300">
        <f t="shared" si="78"/>
        <v>11597</v>
      </c>
      <c r="C399" s="296">
        <f t="shared" ca="1" si="77"/>
        <v>30.75</v>
      </c>
      <c r="D399" s="295"/>
      <c r="E399" s="296">
        <f t="shared" si="86"/>
        <v>0</v>
      </c>
      <c r="F399" s="296">
        <f t="shared" ca="1" si="80"/>
        <v>0</v>
      </c>
      <c r="G399" s="296">
        <f t="shared" ca="1" si="81"/>
        <v>0</v>
      </c>
      <c r="H399" s="296">
        <f t="shared" ca="1" si="82"/>
        <v>30.75</v>
      </c>
      <c r="I399" s="297">
        <f t="shared" ca="1" si="76"/>
        <v>-31</v>
      </c>
    </row>
    <row r="400" spans="1:9">
      <c r="A400" s="295">
        <f t="shared" si="75"/>
        <v>383</v>
      </c>
      <c r="B400" s="300">
        <f t="shared" si="78"/>
        <v>11628</v>
      </c>
      <c r="C400" s="296">
        <f t="shared" ca="1" si="77"/>
        <v>30.75</v>
      </c>
      <c r="D400" s="295"/>
      <c r="E400" s="296">
        <f t="shared" si="86"/>
        <v>0</v>
      </c>
      <c r="F400" s="296">
        <f t="shared" ca="1" si="80"/>
        <v>0</v>
      </c>
      <c r="G400" s="296">
        <f t="shared" ca="1" si="81"/>
        <v>0</v>
      </c>
      <c r="H400" s="296">
        <f t="shared" ca="1" si="82"/>
        <v>30.75</v>
      </c>
      <c r="I400" s="297">
        <f t="shared" ca="1" si="76"/>
        <v>-31</v>
      </c>
    </row>
    <row r="401" spans="1:9">
      <c r="A401" s="295">
        <f t="shared" si="75"/>
        <v>384</v>
      </c>
      <c r="B401" s="300">
        <f t="shared" si="78"/>
        <v>11658</v>
      </c>
      <c r="C401" s="296">
        <f t="shared" ca="1" si="77"/>
        <v>30.75</v>
      </c>
      <c r="D401" s="296">
        <f ca="1">IF(H401&lt;0,0,0.25*(K49-L49))</f>
        <v>-0.25</v>
      </c>
      <c r="E401" s="296">
        <f t="shared" ca="1" si="86"/>
        <v>-0.25</v>
      </c>
      <c r="F401" s="296">
        <f t="shared" ca="1" si="80"/>
        <v>-0.25</v>
      </c>
      <c r="G401" s="296">
        <f t="shared" ca="1" si="81"/>
        <v>0</v>
      </c>
      <c r="H401" s="296">
        <f t="shared" ca="1" si="82"/>
        <v>31</v>
      </c>
      <c r="I401" s="297">
        <f t="shared" ca="1" si="76"/>
        <v>-31</v>
      </c>
    </row>
    <row r="402" spans="1:9">
      <c r="A402" s="295">
        <f t="shared" ref="A402:A465" si="87">IF(A401="","",IF(A401=$D$6,"",A401+1))</f>
        <v>385</v>
      </c>
      <c r="B402" s="300">
        <f t="shared" si="78"/>
        <v>11689</v>
      </c>
      <c r="C402" s="296">
        <f t="shared" ca="1" si="77"/>
        <v>31</v>
      </c>
      <c r="D402" s="295"/>
      <c r="E402" s="296">
        <f>IF($D$10=1,
 IF(OR(MONTH(B402)=MONTH(EDATE($D$7,0)),MONTH(B402)=MONTH(EDATE($D$7,3)),MONTH(B402)=MONTH(EDATE($D$7,6)),MONTH(B402)=MONTH(EDATE($D$7,9))),(MIN($D$401,H401)),0),
IF($D$10=0,
 IF(OR(MONTH(B402)=MONTH(EDATE($D$7,2)),MONTH(B402)=MONTH(EDATE($D$7,5)),MONTH(B402)=MONTH(EDATE($D$7,8)),MONTH(B402)=MONTH(EDATE($D$7,11))),(MIN($D$401,H401)),0)))</f>
        <v>0</v>
      </c>
      <c r="F402" s="296">
        <f t="shared" ca="1" si="80"/>
        <v>0</v>
      </c>
      <c r="G402" s="296">
        <f t="shared" ca="1" si="81"/>
        <v>0</v>
      </c>
      <c r="H402" s="296">
        <f t="shared" ca="1" si="82"/>
        <v>31</v>
      </c>
      <c r="I402" s="297">
        <f t="shared" ref="I402:I465" ca="1" si="88">ROUND((D402-H402),0)</f>
        <v>-31</v>
      </c>
    </row>
    <row r="403" spans="1:9">
      <c r="A403" s="295">
        <f t="shared" si="87"/>
        <v>386</v>
      </c>
      <c r="B403" s="300">
        <f t="shared" si="78"/>
        <v>11720</v>
      </c>
      <c r="C403" s="296">
        <f t="shared" ref="C403:C466" ca="1" si="89">IF(H402=0,0,H402)</f>
        <v>31</v>
      </c>
      <c r="D403" s="295"/>
      <c r="E403" s="296">
        <f t="shared" ref="E403:E413" si="90">IF($D$10=1,
 IF(OR(MONTH(B403)=MONTH(EDATE($D$7,0)),MONTH(B403)=MONTH(EDATE($D$7,3)),MONTH(B403)=MONTH(EDATE($D$7,6)),MONTH(B403)=MONTH(EDATE($D$7,9))),(MIN($D$401,H402)),0),
IF($D$10=0,
 IF(OR(MONTH(B403)=MONTH(EDATE($D$7,2)),MONTH(B403)=MONTH(EDATE($D$7,5)),MONTH(B403)=MONTH(EDATE($D$7,8)),MONTH(B403)=MONTH(EDATE($D$7,11))),(MIN($D$401,H402)),0)))</f>
        <v>0</v>
      </c>
      <c r="F403" s="296">
        <f t="shared" ca="1" si="80"/>
        <v>0</v>
      </c>
      <c r="G403" s="296">
        <f t="shared" ca="1" si="81"/>
        <v>0</v>
      </c>
      <c r="H403" s="296">
        <f t="shared" ca="1" si="82"/>
        <v>31</v>
      </c>
      <c r="I403" s="297">
        <f t="shared" ca="1" si="88"/>
        <v>-31</v>
      </c>
    </row>
    <row r="404" spans="1:9">
      <c r="A404" s="295">
        <f t="shared" si="87"/>
        <v>387</v>
      </c>
      <c r="B404" s="300">
        <f t="shared" ref="B404:B467" si="91">DATE(YEAR(B403),MONTH(B403)+1,1)</f>
        <v>11749</v>
      </c>
      <c r="C404" s="296">
        <f t="shared" ca="1" si="89"/>
        <v>31</v>
      </c>
      <c r="D404" s="295"/>
      <c r="E404" s="296">
        <f t="shared" ca="1" si="90"/>
        <v>-0.25</v>
      </c>
      <c r="F404" s="296">
        <f t="shared" ca="1" si="80"/>
        <v>-0.25</v>
      </c>
      <c r="G404" s="296">
        <f t="shared" ca="1" si="81"/>
        <v>0</v>
      </c>
      <c r="H404" s="296">
        <f t="shared" ca="1" si="82"/>
        <v>31.25</v>
      </c>
      <c r="I404" s="297">
        <f t="shared" ca="1" si="88"/>
        <v>-31</v>
      </c>
    </row>
    <row r="405" spans="1:9">
      <c r="A405" s="295">
        <f t="shared" si="87"/>
        <v>388</v>
      </c>
      <c r="B405" s="300">
        <f t="shared" si="91"/>
        <v>11780</v>
      </c>
      <c r="C405" s="296">
        <f t="shared" ca="1" si="89"/>
        <v>31.25</v>
      </c>
      <c r="D405" s="296"/>
      <c r="E405" s="296">
        <f t="shared" si="90"/>
        <v>0</v>
      </c>
      <c r="F405" s="296">
        <f t="shared" ca="1" si="80"/>
        <v>0</v>
      </c>
      <c r="G405" s="296">
        <f t="shared" ca="1" si="81"/>
        <v>0</v>
      </c>
      <c r="H405" s="296">
        <f t="shared" ca="1" si="82"/>
        <v>31.25</v>
      </c>
      <c r="I405" s="297">
        <f t="shared" ca="1" si="88"/>
        <v>-31</v>
      </c>
    </row>
    <row r="406" spans="1:9">
      <c r="A406" s="295">
        <f t="shared" si="87"/>
        <v>389</v>
      </c>
      <c r="B406" s="300">
        <f t="shared" si="91"/>
        <v>11810</v>
      </c>
      <c r="C406" s="296">
        <f t="shared" ca="1" si="89"/>
        <v>31.25</v>
      </c>
      <c r="D406" s="295"/>
      <c r="E406" s="296">
        <f t="shared" si="90"/>
        <v>0</v>
      </c>
      <c r="F406" s="296">
        <f t="shared" ca="1" si="80"/>
        <v>0</v>
      </c>
      <c r="G406" s="296">
        <f t="shared" ca="1" si="81"/>
        <v>0</v>
      </c>
      <c r="H406" s="296">
        <f t="shared" ca="1" si="82"/>
        <v>31.25</v>
      </c>
      <c r="I406" s="297">
        <f t="shared" ca="1" si="88"/>
        <v>-31</v>
      </c>
    </row>
    <row r="407" spans="1:9">
      <c r="A407" s="295">
        <f t="shared" si="87"/>
        <v>390</v>
      </c>
      <c r="B407" s="300">
        <f t="shared" si="91"/>
        <v>11841</v>
      </c>
      <c r="C407" s="296">
        <f t="shared" ca="1" si="89"/>
        <v>31.25</v>
      </c>
      <c r="D407" s="295"/>
      <c r="E407" s="296">
        <f t="shared" ca="1" si="90"/>
        <v>-0.25</v>
      </c>
      <c r="F407" s="296">
        <f t="shared" ca="1" si="80"/>
        <v>-0.25</v>
      </c>
      <c r="G407" s="296">
        <f t="shared" ca="1" si="81"/>
        <v>0</v>
      </c>
      <c r="H407" s="296">
        <f t="shared" ca="1" si="82"/>
        <v>31.5</v>
      </c>
      <c r="I407" s="297">
        <f t="shared" ca="1" si="88"/>
        <v>-32</v>
      </c>
    </row>
    <row r="408" spans="1:9">
      <c r="A408" s="295">
        <f t="shared" si="87"/>
        <v>391</v>
      </c>
      <c r="B408" s="300">
        <f t="shared" si="91"/>
        <v>11871</v>
      </c>
      <c r="C408" s="296">
        <f t="shared" ca="1" si="89"/>
        <v>31.5</v>
      </c>
      <c r="D408" s="295"/>
      <c r="E408" s="296">
        <f t="shared" si="90"/>
        <v>0</v>
      </c>
      <c r="F408" s="296">
        <f t="shared" ca="1" si="80"/>
        <v>0</v>
      </c>
      <c r="G408" s="296">
        <f t="shared" ca="1" si="81"/>
        <v>0</v>
      </c>
      <c r="H408" s="296">
        <f t="shared" ca="1" si="82"/>
        <v>31.5</v>
      </c>
      <c r="I408" s="297">
        <f t="shared" ca="1" si="88"/>
        <v>-32</v>
      </c>
    </row>
    <row r="409" spans="1:9">
      <c r="A409" s="295">
        <f t="shared" si="87"/>
        <v>392</v>
      </c>
      <c r="B409" s="300">
        <f t="shared" si="91"/>
        <v>11902</v>
      </c>
      <c r="C409" s="296">
        <f t="shared" ca="1" si="89"/>
        <v>31.5</v>
      </c>
      <c r="D409" s="295"/>
      <c r="E409" s="296">
        <f t="shared" si="90"/>
        <v>0</v>
      </c>
      <c r="F409" s="296">
        <f t="shared" ca="1" si="80"/>
        <v>0</v>
      </c>
      <c r="G409" s="296">
        <f t="shared" ca="1" si="81"/>
        <v>0</v>
      </c>
      <c r="H409" s="296">
        <f t="shared" ca="1" si="82"/>
        <v>31.5</v>
      </c>
      <c r="I409" s="297">
        <f t="shared" ca="1" si="88"/>
        <v>-32</v>
      </c>
    </row>
    <row r="410" spans="1:9">
      <c r="A410" s="295">
        <f t="shared" si="87"/>
        <v>393</v>
      </c>
      <c r="B410" s="300">
        <f t="shared" si="91"/>
        <v>11933</v>
      </c>
      <c r="C410" s="296">
        <f t="shared" ca="1" si="89"/>
        <v>31.5</v>
      </c>
      <c r="D410" s="295"/>
      <c r="E410" s="296">
        <f t="shared" ca="1" si="90"/>
        <v>-0.25</v>
      </c>
      <c r="F410" s="296">
        <f t="shared" ca="1" si="80"/>
        <v>-0.25</v>
      </c>
      <c r="G410" s="296">
        <f t="shared" ca="1" si="81"/>
        <v>0</v>
      </c>
      <c r="H410" s="296">
        <f t="shared" ca="1" si="82"/>
        <v>31.75</v>
      </c>
      <c r="I410" s="297">
        <f t="shared" ca="1" si="88"/>
        <v>-32</v>
      </c>
    </row>
    <row r="411" spans="1:9">
      <c r="A411" s="295">
        <f t="shared" si="87"/>
        <v>394</v>
      </c>
      <c r="B411" s="300">
        <f t="shared" si="91"/>
        <v>11963</v>
      </c>
      <c r="C411" s="296">
        <f t="shared" ca="1" si="89"/>
        <v>31.75</v>
      </c>
      <c r="D411" s="295"/>
      <c r="E411" s="296">
        <f t="shared" si="90"/>
        <v>0</v>
      </c>
      <c r="F411" s="296">
        <f t="shared" ca="1" si="80"/>
        <v>0</v>
      </c>
      <c r="G411" s="296">
        <f t="shared" ca="1" si="81"/>
        <v>0</v>
      </c>
      <c r="H411" s="296">
        <f t="shared" ca="1" si="82"/>
        <v>31.75</v>
      </c>
      <c r="I411" s="297">
        <f t="shared" ca="1" si="88"/>
        <v>-32</v>
      </c>
    </row>
    <row r="412" spans="1:9">
      <c r="A412" s="295">
        <f t="shared" si="87"/>
        <v>395</v>
      </c>
      <c r="B412" s="300">
        <f t="shared" si="91"/>
        <v>11994</v>
      </c>
      <c r="C412" s="296">
        <f t="shared" ca="1" si="89"/>
        <v>31.75</v>
      </c>
      <c r="D412" s="295"/>
      <c r="E412" s="296">
        <f t="shared" si="90"/>
        <v>0</v>
      </c>
      <c r="F412" s="296">
        <f t="shared" ca="1" si="80"/>
        <v>0</v>
      </c>
      <c r="G412" s="296">
        <f t="shared" ca="1" si="81"/>
        <v>0</v>
      </c>
      <c r="H412" s="296">
        <f t="shared" ca="1" si="82"/>
        <v>31.75</v>
      </c>
      <c r="I412" s="297">
        <f t="shared" ca="1" si="88"/>
        <v>-32</v>
      </c>
    </row>
    <row r="413" spans="1:9">
      <c r="A413" s="295">
        <f t="shared" si="87"/>
        <v>396</v>
      </c>
      <c r="B413" s="300">
        <f t="shared" si="91"/>
        <v>12024</v>
      </c>
      <c r="C413" s="296">
        <f t="shared" ca="1" si="89"/>
        <v>31.75</v>
      </c>
      <c r="D413" s="296">
        <f ca="1">IF(H413&lt;0,0,0.25*(K50-L50))</f>
        <v>-0.25</v>
      </c>
      <c r="E413" s="296">
        <f t="shared" ca="1" si="90"/>
        <v>-0.25</v>
      </c>
      <c r="F413" s="296">
        <f t="shared" ca="1" si="80"/>
        <v>-0.25</v>
      </c>
      <c r="G413" s="296">
        <f t="shared" ca="1" si="81"/>
        <v>0</v>
      </c>
      <c r="H413" s="296">
        <f t="shared" ca="1" si="82"/>
        <v>32</v>
      </c>
      <c r="I413" s="297">
        <f t="shared" ca="1" si="88"/>
        <v>-32</v>
      </c>
    </row>
    <row r="414" spans="1:9">
      <c r="A414" s="295">
        <f t="shared" si="87"/>
        <v>397</v>
      </c>
      <c r="B414" s="300">
        <f t="shared" si="91"/>
        <v>12055</v>
      </c>
      <c r="C414" s="296">
        <f t="shared" ca="1" si="89"/>
        <v>32</v>
      </c>
      <c r="D414" s="295"/>
      <c r="E414" s="296">
        <f>IF($D$10=1,
 IF(OR(MONTH(B414)=MONTH(EDATE($D$7,0)),MONTH(B414)=MONTH(EDATE($D$7,3)),MONTH(B414)=MONTH(EDATE($D$7,6)),MONTH(B414)=MONTH(EDATE($D$7,9))),(MIN($D$413,H413)),0),
IF($D$10=0,
 IF(OR(MONTH(B414)=MONTH(EDATE($D$7,2)),MONTH(B414)=MONTH(EDATE($D$7,5)),MONTH(B414)=MONTH(EDATE($D$7,8)),MONTH(B414)=MONTH(EDATE($D$7,11))),(MIN($D$413,H413)),0)))</f>
        <v>0</v>
      </c>
      <c r="F414" s="296">
        <f t="shared" ref="F414:F477" ca="1" si="92">IF(E414="","",E414-G414)</f>
        <v>0</v>
      </c>
      <c r="G414" s="296">
        <f t="shared" ref="G414:G477" ca="1" si="93">ROUND((C414-E414)*$D$5,3)</f>
        <v>0</v>
      </c>
      <c r="H414" s="296">
        <f t="shared" ref="H414:H477" ca="1" si="94">IF(E414="","",ROUND(H413-F414,4))</f>
        <v>32</v>
      </c>
      <c r="I414" s="297">
        <f t="shared" ca="1" si="88"/>
        <v>-32</v>
      </c>
    </row>
    <row r="415" spans="1:9">
      <c r="A415" s="295">
        <f t="shared" si="87"/>
        <v>398</v>
      </c>
      <c r="B415" s="300">
        <f t="shared" si="91"/>
        <v>12086</v>
      </c>
      <c r="C415" s="296">
        <f t="shared" ca="1" si="89"/>
        <v>32</v>
      </c>
      <c r="D415" s="295"/>
      <c r="E415" s="296">
        <f t="shared" ref="E415:E425" si="95">IF($D$10=1,
 IF(OR(MONTH(B415)=MONTH(EDATE($D$7,0)),MONTH(B415)=MONTH(EDATE($D$7,3)),MONTH(B415)=MONTH(EDATE($D$7,6)),MONTH(B415)=MONTH(EDATE($D$7,9))),(MIN($D$413,H414)),0),
IF($D$10=0,
 IF(OR(MONTH(B415)=MONTH(EDATE($D$7,2)),MONTH(B415)=MONTH(EDATE($D$7,5)),MONTH(B415)=MONTH(EDATE($D$7,8)),MONTH(B415)=MONTH(EDATE($D$7,11))),(MIN($D$413,H414)),0)))</f>
        <v>0</v>
      </c>
      <c r="F415" s="296">
        <f t="shared" ca="1" si="92"/>
        <v>0</v>
      </c>
      <c r="G415" s="296">
        <f t="shared" ca="1" si="93"/>
        <v>0</v>
      </c>
      <c r="H415" s="296">
        <f t="shared" ca="1" si="94"/>
        <v>32</v>
      </c>
      <c r="I415" s="297">
        <f t="shared" ca="1" si="88"/>
        <v>-32</v>
      </c>
    </row>
    <row r="416" spans="1:9">
      <c r="A416" s="295">
        <f t="shared" si="87"/>
        <v>399</v>
      </c>
      <c r="B416" s="300">
        <f t="shared" si="91"/>
        <v>12114</v>
      </c>
      <c r="C416" s="296">
        <f t="shared" ca="1" si="89"/>
        <v>32</v>
      </c>
      <c r="D416" s="295"/>
      <c r="E416" s="296">
        <f t="shared" ca="1" si="95"/>
        <v>-0.25</v>
      </c>
      <c r="F416" s="296">
        <f t="shared" ca="1" si="92"/>
        <v>-0.25</v>
      </c>
      <c r="G416" s="296">
        <f t="shared" ca="1" si="93"/>
        <v>0</v>
      </c>
      <c r="H416" s="296">
        <f t="shared" ca="1" si="94"/>
        <v>32.25</v>
      </c>
      <c r="I416" s="297">
        <f t="shared" ca="1" si="88"/>
        <v>-32</v>
      </c>
    </row>
    <row r="417" spans="1:9">
      <c r="A417" s="295">
        <f t="shared" si="87"/>
        <v>400</v>
      </c>
      <c r="B417" s="300">
        <f t="shared" si="91"/>
        <v>12145</v>
      </c>
      <c r="C417" s="296">
        <f t="shared" ca="1" si="89"/>
        <v>32.25</v>
      </c>
      <c r="E417" s="296">
        <f t="shared" si="95"/>
        <v>0</v>
      </c>
      <c r="F417" s="296">
        <f t="shared" ca="1" si="92"/>
        <v>0</v>
      </c>
      <c r="G417" s="296">
        <f t="shared" ca="1" si="93"/>
        <v>0</v>
      </c>
      <c r="H417" s="296">
        <f t="shared" ca="1" si="94"/>
        <v>32.25</v>
      </c>
      <c r="I417" s="297">
        <f t="shared" ca="1" si="88"/>
        <v>-32</v>
      </c>
    </row>
    <row r="418" spans="1:9">
      <c r="A418" s="295">
        <f t="shared" si="87"/>
        <v>401</v>
      </c>
      <c r="B418" s="300">
        <f t="shared" si="91"/>
        <v>12175</v>
      </c>
      <c r="C418" s="296">
        <f t="shared" ca="1" si="89"/>
        <v>32.25</v>
      </c>
      <c r="D418" s="295"/>
      <c r="E418" s="296">
        <f t="shared" si="95"/>
        <v>0</v>
      </c>
      <c r="F418" s="296">
        <f t="shared" ca="1" si="92"/>
        <v>0</v>
      </c>
      <c r="G418" s="296">
        <f t="shared" ca="1" si="93"/>
        <v>0</v>
      </c>
      <c r="H418" s="296">
        <f t="shared" ca="1" si="94"/>
        <v>32.25</v>
      </c>
      <c r="I418" s="297">
        <f t="shared" ca="1" si="88"/>
        <v>-32</v>
      </c>
    </row>
    <row r="419" spans="1:9">
      <c r="A419" s="295">
        <f t="shared" si="87"/>
        <v>402</v>
      </c>
      <c r="B419" s="300">
        <f t="shared" si="91"/>
        <v>12206</v>
      </c>
      <c r="C419" s="296">
        <f t="shared" ca="1" si="89"/>
        <v>32.25</v>
      </c>
      <c r="D419" s="295"/>
      <c r="E419" s="296">
        <f t="shared" ca="1" si="95"/>
        <v>-0.25</v>
      </c>
      <c r="F419" s="296">
        <f t="shared" ca="1" si="92"/>
        <v>-0.25</v>
      </c>
      <c r="G419" s="296">
        <f t="shared" ca="1" si="93"/>
        <v>0</v>
      </c>
      <c r="H419" s="296">
        <f t="shared" ca="1" si="94"/>
        <v>32.5</v>
      </c>
      <c r="I419" s="297">
        <f t="shared" ca="1" si="88"/>
        <v>-33</v>
      </c>
    </row>
    <row r="420" spans="1:9">
      <c r="A420" s="295">
        <f t="shared" si="87"/>
        <v>403</v>
      </c>
      <c r="B420" s="300">
        <f t="shared" si="91"/>
        <v>12236</v>
      </c>
      <c r="C420" s="296">
        <f t="shared" ca="1" si="89"/>
        <v>32.5</v>
      </c>
      <c r="D420" s="295"/>
      <c r="E420" s="296">
        <f t="shared" si="95"/>
        <v>0</v>
      </c>
      <c r="F420" s="296">
        <f t="shared" ca="1" si="92"/>
        <v>0</v>
      </c>
      <c r="G420" s="296">
        <f t="shared" ca="1" si="93"/>
        <v>0</v>
      </c>
      <c r="H420" s="296">
        <f t="shared" ca="1" si="94"/>
        <v>32.5</v>
      </c>
      <c r="I420" s="297">
        <f t="shared" ca="1" si="88"/>
        <v>-33</v>
      </c>
    </row>
    <row r="421" spans="1:9">
      <c r="A421" s="295">
        <f t="shared" si="87"/>
        <v>404</v>
      </c>
      <c r="B421" s="300">
        <f t="shared" si="91"/>
        <v>12267</v>
      </c>
      <c r="C421" s="296">
        <f t="shared" ca="1" si="89"/>
        <v>32.5</v>
      </c>
      <c r="D421" s="295"/>
      <c r="E421" s="296">
        <f t="shared" si="95"/>
        <v>0</v>
      </c>
      <c r="F421" s="296">
        <f t="shared" ca="1" si="92"/>
        <v>0</v>
      </c>
      <c r="G421" s="296">
        <f t="shared" ca="1" si="93"/>
        <v>0</v>
      </c>
      <c r="H421" s="296">
        <f t="shared" ca="1" si="94"/>
        <v>32.5</v>
      </c>
      <c r="I421" s="297">
        <f t="shared" ca="1" si="88"/>
        <v>-33</v>
      </c>
    </row>
    <row r="422" spans="1:9">
      <c r="A422" s="295">
        <f t="shared" si="87"/>
        <v>405</v>
      </c>
      <c r="B422" s="300">
        <f t="shared" si="91"/>
        <v>12298</v>
      </c>
      <c r="C422" s="296">
        <f t="shared" ca="1" si="89"/>
        <v>32.5</v>
      </c>
      <c r="D422" s="295"/>
      <c r="E422" s="296">
        <f t="shared" ca="1" si="95"/>
        <v>-0.25</v>
      </c>
      <c r="F422" s="296">
        <f t="shared" ca="1" si="92"/>
        <v>-0.25</v>
      </c>
      <c r="G422" s="296">
        <f t="shared" ca="1" si="93"/>
        <v>0</v>
      </c>
      <c r="H422" s="296">
        <f t="shared" ca="1" si="94"/>
        <v>32.75</v>
      </c>
      <c r="I422" s="297">
        <f t="shared" ca="1" si="88"/>
        <v>-33</v>
      </c>
    </row>
    <row r="423" spans="1:9">
      <c r="A423" s="295">
        <f t="shared" si="87"/>
        <v>406</v>
      </c>
      <c r="B423" s="300">
        <f t="shared" si="91"/>
        <v>12328</v>
      </c>
      <c r="C423" s="296">
        <f t="shared" ca="1" si="89"/>
        <v>32.75</v>
      </c>
      <c r="D423" s="295"/>
      <c r="E423" s="296">
        <f t="shared" si="95"/>
        <v>0</v>
      </c>
      <c r="F423" s="296">
        <f t="shared" ca="1" si="92"/>
        <v>0</v>
      </c>
      <c r="G423" s="296">
        <f t="shared" ca="1" si="93"/>
        <v>0</v>
      </c>
      <c r="H423" s="296">
        <f t="shared" ca="1" si="94"/>
        <v>32.75</v>
      </c>
      <c r="I423" s="297">
        <f t="shared" ca="1" si="88"/>
        <v>-33</v>
      </c>
    </row>
    <row r="424" spans="1:9">
      <c r="A424" s="295">
        <f t="shared" si="87"/>
        <v>407</v>
      </c>
      <c r="B424" s="300">
        <f t="shared" si="91"/>
        <v>12359</v>
      </c>
      <c r="C424" s="296">
        <f t="shared" ca="1" si="89"/>
        <v>32.75</v>
      </c>
      <c r="D424" s="295"/>
      <c r="E424" s="296">
        <f t="shared" si="95"/>
        <v>0</v>
      </c>
      <c r="F424" s="296">
        <f t="shared" ca="1" si="92"/>
        <v>0</v>
      </c>
      <c r="G424" s="296">
        <f t="shared" ca="1" si="93"/>
        <v>0</v>
      </c>
      <c r="H424" s="296">
        <f t="shared" ca="1" si="94"/>
        <v>32.75</v>
      </c>
      <c r="I424" s="297">
        <f t="shared" ca="1" si="88"/>
        <v>-33</v>
      </c>
    </row>
    <row r="425" spans="1:9">
      <c r="A425" s="295">
        <f t="shared" si="87"/>
        <v>408</v>
      </c>
      <c r="B425" s="300">
        <f t="shared" si="91"/>
        <v>12389</v>
      </c>
      <c r="C425" s="296">
        <f t="shared" ca="1" si="89"/>
        <v>32.75</v>
      </c>
      <c r="D425" s="296">
        <f ca="1">IF(H425&lt;0,0,0.25*(K51-L51))</f>
        <v>-0.25</v>
      </c>
      <c r="E425" s="296">
        <f t="shared" ca="1" si="95"/>
        <v>-0.25</v>
      </c>
      <c r="F425" s="296">
        <f t="shared" ca="1" si="92"/>
        <v>-0.25</v>
      </c>
      <c r="G425" s="296">
        <f t="shared" ca="1" si="93"/>
        <v>0</v>
      </c>
      <c r="H425" s="296">
        <f t="shared" ca="1" si="94"/>
        <v>33</v>
      </c>
      <c r="I425" s="297">
        <f t="shared" ca="1" si="88"/>
        <v>-33</v>
      </c>
    </row>
    <row r="426" spans="1:9">
      <c r="A426" s="295">
        <f t="shared" si="87"/>
        <v>409</v>
      </c>
      <c r="B426" s="300">
        <f t="shared" si="91"/>
        <v>12420</v>
      </c>
      <c r="C426" s="296">
        <f t="shared" ca="1" si="89"/>
        <v>33</v>
      </c>
      <c r="D426" s="295"/>
      <c r="E426" s="296">
        <f>IF($D$10=1,
 IF(OR(MONTH(B426)=MONTH(EDATE($D$7,0)),MONTH(B426)=MONTH(EDATE($D$7,3)),MONTH(B426)=MONTH(EDATE($D$7,6)),MONTH(B426)=MONTH(EDATE($D$7,9))),(MIN($D$425,H425)),0),
IF($D$10=0,
 IF(OR(MONTH(B426)=MONTH(EDATE($D$7,2)),MONTH(B426)=MONTH(EDATE($D$7,5)),MONTH(B426)=MONTH(EDATE($D$7,8)),MONTH(B426)=MONTH(EDATE($D$7,11))),(MIN($D$425,H425)),0)))</f>
        <v>0</v>
      </c>
      <c r="F426" s="296">
        <f t="shared" ca="1" si="92"/>
        <v>0</v>
      </c>
      <c r="G426" s="296">
        <f t="shared" ca="1" si="93"/>
        <v>0</v>
      </c>
      <c r="H426" s="296">
        <f t="shared" ca="1" si="94"/>
        <v>33</v>
      </c>
      <c r="I426" s="297">
        <f t="shared" ca="1" si="88"/>
        <v>-33</v>
      </c>
    </row>
    <row r="427" spans="1:9">
      <c r="A427" s="295">
        <f t="shared" si="87"/>
        <v>410</v>
      </c>
      <c r="B427" s="300">
        <f t="shared" si="91"/>
        <v>12451</v>
      </c>
      <c r="C427" s="296">
        <f t="shared" ca="1" si="89"/>
        <v>33</v>
      </c>
      <c r="D427" s="295"/>
      <c r="E427" s="296">
        <f t="shared" ref="E427:E437" si="96">IF($D$10=1,
 IF(OR(MONTH(B427)=MONTH(EDATE($D$7,0)),MONTH(B427)=MONTH(EDATE($D$7,3)),MONTH(B427)=MONTH(EDATE($D$7,6)),MONTH(B427)=MONTH(EDATE($D$7,9))),(MIN($D$425,H426)),0),
IF($D$10=0,
 IF(OR(MONTH(B427)=MONTH(EDATE($D$7,2)),MONTH(B427)=MONTH(EDATE($D$7,5)),MONTH(B427)=MONTH(EDATE($D$7,8)),MONTH(B427)=MONTH(EDATE($D$7,11))),(MIN($D$425,H426)),0)))</f>
        <v>0</v>
      </c>
      <c r="F427" s="296">
        <f t="shared" ca="1" si="92"/>
        <v>0</v>
      </c>
      <c r="G427" s="296">
        <f t="shared" ca="1" si="93"/>
        <v>0</v>
      </c>
      <c r="H427" s="296">
        <f t="shared" ca="1" si="94"/>
        <v>33</v>
      </c>
      <c r="I427" s="297">
        <f t="shared" ca="1" si="88"/>
        <v>-33</v>
      </c>
    </row>
    <row r="428" spans="1:9">
      <c r="A428" s="295">
        <f t="shared" si="87"/>
        <v>411</v>
      </c>
      <c r="B428" s="300">
        <f t="shared" si="91"/>
        <v>12479</v>
      </c>
      <c r="C428" s="296">
        <f t="shared" ca="1" si="89"/>
        <v>33</v>
      </c>
      <c r="D428" s="295"/>
      <c r="E428" s="296">
        <f t="shared" ca="1" si="96"/>
        <v>-0.25</v>
      </c>
      <c r="F428" s="296">
        <f t="shared" ca="1" si="92"/>
        <v>-0.25</v>
      </c>
      <c r="G428" s="296">
        <f t="shared" ca="1" si="93"/>
        <v>0</v>
      </c>
      <c r="H428" s="296">
        <f t="shared" ca="1" si="94"/>
        <v>33.25</v>
      </c>
      <c r="I428" s="297">
        <f t="shared" ca="1" si="88"/>
        <v>-33</v>
      </c>
    </row>
    <row r="429" spans="1:9">
      <c r="A429" s="295">
        <f t="shared" si="87"/>
        <v>412</v>
      </c>
      <c r="B429" s="300">
        <f t="shared" si="91"/>
        <v>12510</v>
      </c>
      <c r="C429" s="296">
        <f t="shared" ca="1" si="89"/>
        <v>33.25</v>
      </c>
      <c r="E429" s="296">
        <f t="shared" si="96"/>
        <v>0</v>
      </c>
      <c r="F429" s="296">
        <f t="shared" ca="1" si="92"/>
        <v>0</v>
      </c>
      <c r="G429" s="296">
        <f t="shared" ca="1" si="93"/>
        <v>0</v>
      </c>
      <c r="H429" s="296">
        <f t="shared" ca="1" si="94"/>
        <v>33.25</v>
      </c>
      <c r="I429" s="297">
        <f ca="1">ROUND((D425-H429),0)</f>
        <v>-34</v>
      </c>
    </row>
    <row r="430" spans="1:9">
      <c r="A430" s="295">
        <f t="shared" si="87"/>
        <v>413</v>
      </c>
      <c r="B430" s="300">
        <f t="shared" si="91"/>
        <v>12540</v>
      </c>
      <c r="C430" s="296">
        <f t="shared" ca="1" si="89"/>
        <v>33.25</v>
      </c>
      <c r="D430" s="295"/>
      <c r="E430" s="296">
        <f t="shared" si="96"/>
        <v>0</v>
      </c>
      <c r="F430" s="296">
        <f t="shared" ca="1" si="92"/>
        <v>0</v>
      </c>
      <c r="G430" s="296">
        <f t="shared" ca="1" si="93"/>
        <v>0</v>
      </c>
      <c r="H430" s="296">
        <f t="shared" ca="1" si="94"/>
        <v>33.25</v>
      </c>
      <c r="I430" s="297">
        <f t="shared" ca="1" si="88"/>
        <v>-33</v>
      </c>
    </row>
    <row r="431" spans="1:9">
      <c r="A431" s="295">
        <f t="shared" si="87"/>
        <v>414</v>
      </c>
      <c r="B431" s="300">
        <f t="shared" si="91"/>
        <v>12571</v>
      </c>
      <c r="C431" s="296">
        <f t="shared" ca="1" si="89"/>
        <v>33.25</v>
      </c>
      <c r="D431" s="295"/>
      <c r="E431" s="296">
        <f t="shared" ca="1" si="96"/>
        <v>-0.25</v>
      </c>
      <c r="F431" s="296">
        <f t="shared" ca="1" si="92"/>
        <v>-0.25</v>
      </c>
      <c r="G431" s="296">
        <f t="shared" ca="1" si="93"/>
        <v>0</v>
      </c>
      <c r="H431" s="296">
        <f t="shared" ca="1" si="94"/>
        <v>33.5</v>
      </c>
      <c r="I431" s="297">
        <f t="shared" ca="1" si="88"/>
        <v>-34</v>
      </c>
    </row>
    <row r="432" spans="1:9">
      <c r="A432" s="295">
        <f t="shared" si="87"/>
        <v>415</v>
      </c>
      <c r="B432" s="300">
        <f t="shared" si="91"/>
        <v>12601</v>
      </c>
      <c r="C432" s="296">
        <f t="shared" ca="1" si="89"/>
        <v>33.5</v>
      </c>
      <c r="D432" s="295"/>
      <c r="E432" s="296">
        <f t="shared" si="96"/>
        <v>0</v>
      </c>
      <c r="F432" s="296">
        <f t="shared" ca="1" si="92"/>
        <v>0</v>
      </c>
      <c r="G432" s="296">
        <f t="shared" ca="1" si="93"/>
        <v>0</v>
      </c>
      <c r="H432" s="296">
        <f t="shared" ca="1" si="94"/>
        <v>33.5</v>
      </c>
      <c r="I432" s="297">
        <f t="shared" ca="1" si="88"/>
        <v>-34</v>
      </c>
    </row>
    <row r="433" spans="1:9">
      <c r="A433" s="295">
        <f t="shared" si="87"/>
        <v>416</v>
      </c>
      <c r="B433" s="300">
        <f t="shared" si="91"/>
        <v>12632</v>
      </c>
      <c r="C433" s="296">
        <f t="shared" ca="1" si="89"/>
        <v>33.5</v>
      </c>
      <c r="D433" s="295"/>
      <c r="E433" s="296">
        <f t="shared" si="96"/>
        <v>0</v>
      </c>
      <c r="F433" s="296">
        <f t="shared" ca="1" si="92"/>
        <v>0</v>
      </c>
      <c r="G433" s="296">
        <f t="shared" ca="1" si="93"/>
        <v>0</v>
      </c>
      <c r="H433" s="296">
        <f t="shared" ca="1" si="94"/>
        <v>33.5</v>
      </c>
      <c r="I433" s="297">
        <f t="shared" ca="1" si="88"/>
        <v>-34</v>
      </c>
    </row>
    <row r="434" spans="1:9">
      <c r="A434" s="295">
        <f t="shared" si="87"/>
        <v>417</v>
      </c>
      <c r="B434" s="300">
        <f t="shared" si="91"/>
        <v>12663</v>
      </c>
      <c r="C434" s="296">
        <f t="shared" ca="1" si="89"/>
        <v>33.5</v>
      </c>
      <c r="D434" s="295"/>
      <c r="E434" s="296">
        <f t="shared" ca="1" si="96"/>
        <v>-0.25</v>
      </c>
      <c r="F434" s="296">
        <f t="shared" ca="1" si="92"/>
        <v>-0.25</v>
      </c>
      <c r="G434" s="296">
        <f t="shared" ca="1" si="93"/>
        <v>0</v>
      </c>
      <c r="H434" s="296">
        <f t="shared" ca="1" si="94"/>
        <v>33.75</v>
      </c>
      <c r="I434" s="297">
        <f t="shared" ca="1" si="88"/>
        <v>-34</v>
      </c>
    </row>
    <row r="435" spans="1:9">
      <c r="A435" s="295">
        <f t="shared" si="87"/>
        <v>418</v>
      </c>
      <c r="B435" s="300">
        <f t="shared" si="91"/>
        <v>12693</v>
      </c>
      <c r="C435" s="296">
        <f t="shared" ca="1" si="89"/>
        <v>33.75</v>
      </c>
      <c r="D435" s="295"/>
      <c r="E435" s="296">
        <f t="shared" si="96"/>
        <v>0</v>
      </c>
      <c r="F435" s="296">
        <f t="shared" ca="1" si="92"/>
        <v>0</v>
      </c>
      <c r="G435" s="296">
        <f t="shared" ca="1" si="93"/>
        <v>0</v>
      </c>
      <c r="H435" s="296">
        <f t="shared" ca="1" si="94"/>
        <v>33.75</v>
      </c>
      <c r="I435" s="297">
        <f t="shared" ca="1" si="88"/>
        <v>-34</v>
      </c>
    </row>
    <row r="436" spans="1:9">
      <c r="A436" s="295">
        <f t="shared" si="87"/>
        <v>419</v>
      </c>
      <c r="B436" s="300">
        <f t="shared" si="91"/>
        <v>12724</v>
      </c>
      <c r="C436" s="296">
        <f t="shared" ca="1" si="89"/>
        <v>33.75</v>
      </c>
      <c r="D436" s="295"/>
      <c r="E436" s="296">
        <f t="shared" si="96"/>
        <v>0</v>
      </c>
      <c r="F436" s="296">
        <f t="shared" ca="1" si="92"/>
        <v>0</v>
      </c>
      <c r="G436" s="296">
        <f t="shared" ca="1" si="93"/>
        <v>0</v>
      </c>
      <c r="H436" s="296">
        <f t="shared" ca="1" si="94"/>
        <v>33.75</v>
      </c>
      <c r="I436" s="297">
        <f t="shared" ca="1" si="88"/>
        <v>-34</v>
      </c>
    </row>
    <row r="437" spans="1:9">
      <c r="A437" s="295">
        <f t="shared" si="87"/>
        <v>420</v>
      </c>
      <c r="B437" s="300">
        <f t="shared" si="91"/>
        <v>12754</v>
      </c>
      <c r="C437" s="296">
        <f t="shared" ca="1" si="89"/>
        <v>33.75</v>
      </c>
      <c r="D437" s="296">
        <f ca="1">IF(H437&lt;0,0,0.25*(K52-L52))</f>
        <v>-0.25</v>
      </c>
      <c r="E437" s="296">
        <f t="shared" ca="1" si="96"/>
        <v>-0.25</v>
      </c>
      <c r="F437" s="296">
        <f t="shared" ca="1" si="92"/>
        <v>-0.25</v>
      </c>
      <c r="G437" s="296">
        <f t="shared" ca="1" si="93"/>
        <v>0</v>
      </c>
      <c r="H437" s="296">
        <f t="shared" ca="1" si="94"/>
        <v>34</v>
      </c>
      <c r="I437" s="297">
        <f t="shared" ca="1" si="88"/>
        <v>-34</v>
      </c>
    </row>
    <row r="438" spans="1:9">
      <c r="A438" s="295">
        <f t="shared" si="87"/>
        <v>421</v>
      </c>
      <c r="B438" s="300">
        <f t="shared" si="91"/>
        <v>12785</v>
      </c>
      <c r="C438" s="296">
        <f t="shared" ca="1" si="89"/>
        <v>34</v>
      </c>
      <c r="D438" s="295"/>
      <c r="E438" s="296">
        <f>IF($D$10=1,
 IF(OR(MONTH(B438)=MONTH(EDATE($D$7,0)),MONTH(B438)=MONTH(EDATE($D$7,3)),MONTH(B438)=MONTH(EDATE($D$7,6)),MONTH(B438)=MONTH(EDATE($D$7,9))),(MIN($D$437,H437)),0),
IF($D$10=0,
 IF(OR(MONTH(B438)=MONTH(EDATE($D$7,2)),MONTH(B438)=MONTH(EDATE($D$7,5)),MONTH(B438)=MONTH(EDATE($D$7,8)),MONTH(B438)=MONTH(EDATE($D$7,11))),(MIN($D$437,H437)),0)))</f>
        <v>0</v>
      </c>
      <c r="F438" s="296">
        <f t="shared" ca="1" si="92"/>
        <v>0</v>
      </c>
      <c r="G438" s="296">
        <f t="shared" ca="1" si="93"/>
        <v>0</v>
      </c>
      <c r="H438" s="296">
        <f t="shared" ca="1" si="94"/>
        <v>34</v>
      </c>
      <c r="I438" s="297">
        <f t="shared" ca="1" si="88"/>
        <v>-34</v>
      </c>
    </row>
    <row r="439" spans="1:9">
      <c r="A439" s="295">
        <f t="shared" si="87"/>
        <v>422</v>
      </c>
      <c r="B439" s="300">
        <f t="shared" si="91"/>
        <v>12816</v>
      </c>
      <c r="C439" s="296">
        <f t="shared" ca="1" si="89"/>
        <v>34</v>
      </c>
      <c r="D439" s="295"/>
      <c r="E439" s="296">
        <f t="shared" ref="E439:E449" si="97">IF($D$10=1,
 IF(OR(MONTH(B439)=MONTH(EDATE($D$7,0)),MONTH(B439)=MONTH(EDATE($D$7,3)),MONTH(B439)=MONTH(EDATE($D$7,6)),MONTH(B439)=MONTH(EDATE($D$7,9))),(MIN($D$437,H438)),0),
IF($D$10=0,
 IF(OR(MONTH(B439)=MONTH(EDATE($D$7,2)),MONTH(B439)=MONTH(EDATE($D$7,5)),MONTH(B439)=MONTH(EDATE($D$7,8)),MONTH(B439)=MONTH(EDATE($D$7,11))),(MIN($D$437,H438)),0)))</f>
        <v>0</v>
      </c>
      <c r="F439" s="296">
        <f t="shared" ca="1" si="92"/>
        <v>0</v>
      </c>
      <c r="G439" s="296">
        <f t="shared" ca="1" si="93"/>
        <v>0</v>
      </c>
      <c r="H439" s="296">
        <f t="shared" ca="1" si="94"/>
        <v>34</v>
      </c>
      <c r="I439" s="297">
        <f t="shared" ca="1" si="88"/>
        <v>-34</v>
      </c>
    </row>
    <row r="440" spans="1:9">
      <c r="A440" s="295">
        <f t="shared" si="87"/>
        <v>423</v>
      </c>
      <c r="B440" s="300">
        <f t="shared" si="91"/>
        <v>12844</v>
      </c>
      <c r="C440" s="296">
        <f t="shared" ca="1" si="89"/>
        <v>34</v>
      </c>
      <c r="D440" s="295"/>
      <c r="E440" s="296">
        <f t="shared" ca="1" si="97"/>
        <v>-0.25</v>
      </c>
      <c r="F440" s="296">
        <f t="shared" ca="1" si="92"/>
        <v>-0.25</v>
      </c>
      <c r="G440" s="296">
        <f t="shared" ca="1" si="93"/>
        <v>0</v>
      </c>
      <c r="H440" s="296">
        <f t="shared" ca="1" si="94"/>
        <v>34.25</v>
      </c>
      <c r="I440" s="297">
        <f t="shared" ca="1" si="88"/>
        <v>-34</v>
      </c>
    </row>
    <row r="441" spans="1:9">
      <c r="A441" s="295">
        <f t="shared" si="87"/>
        <v>424</v>
      </c>
      <c r="B441" s="300">
        <f t="shared" si="91"/>
        <v>12875</v>
      </c>
      <c r="C441" s="296">
        <f t="shared" ca="1" si="89"/>
        <v>34.25</v>
      </c>
      <c r="E441" s="296">
        <f t="shared" si="97"/>
        <v>0</v>
      </c>
      <c r="F441" s="296">
        <f t="shared" ca="1" si="92"/>
        <v>0</v>
      </c>
      <c r="G441" s="296">
        <f t="shared" ca="1" si="93"/>
        <v>0</v>
      </c>
      <c r="H441" s="296">
        <f t="shared" ca="1" si="94"/>
        <v>34.25</v>
      </c>
      <c r="I441" s="297">
        <f t="shared" ca="1" si="88"/>
        <v>-34</v>
      </c>
    </row>
    <row r="442" spans="1:9">
      <c r="A442" s="295">
        <f t="shared" si="87"/>
        <v>425</v>
      </c>
      <c r="B442" s="300">
        <f t="shared" si="91"/>
        <v>12905</v>
      </c>
      <c r="C442" s="296">
        <f t="shared" ca="1" si="89"/>
        <v>34.25</v>
      </c>
      <c r="D442" s="295"/>
      <c r="E442" s="296">
        <f t="shared" si="97"/>
        <v>0</v>
      </c>
      <c r="F442" s="296">
        <f t="shared" ca="1" si="92"/>
        <v>0</v>
      </c>
      <c r="G442" s="296">
        <f t="shared" ca="1" si="93"/>
        <v>0</v>
      </c>
      <c r="H442" s="296">
        <f t="shared" ca="1" si="94"/>
        <v>34.25</v>
      </c>
      <c r="I442" s="297">
        <f t="shared" ca="1" si="88"/>
        <v>-34</v>
      </c>
    </row>
    <row r="443" spans="1:9">
      <c r="A443" s="295">
        <f t="shared" si="87"/>
        <v>426</v>
      </c>
      <c r="B443" s="300">
        <f t="shared" si="91"/>
        <v>12936</v>
      </c>
      <c r="C443" s="296">
        <f t="shared" ca="1" si="89"/>
        <v>34.25</v>
      </c>
      <c r="D443" s="295"/>
      <c r="E443" s="296">
        <f t="shared" ca="1" si="97"/>
        <v>-0.25</v>
      </c>
      <c r="F443" s="296">
        <f t="shared" ca="1" si="92"/>
        <v>-0.25</v>
      </c>
      <c r="G443" s="296">
        <f t="shared" ca="1" si="93"/>
        <v>0</v>
      </c>
      <c r="H443" s="296">
        <f t="shared" ca="1" si="94"/>
        <v>34.5</v>
      </c>
      <c r="I443" s="297">
        <f t="shared" ca="1" si="88"/>
        <v>-35</v>
      </c>
    </row>
    <row r="444" spans="1:9">
      <c r="A444" s="295">
        <f t="shared" si="87"/>
        <v>427</v>
      </c>
      <c r="B444" s="300">
        <f t="shared" si="91"/>
        <v>12966</v>
      </c>
      <c r="C444" s="296">
        <f t="shared" ca="1" si="89"/>
        <v>34.5</v>
      </c>
      <c r="D444" s="295"/>
      <c r="E444" s="296">
        <f t="shared" si="97"/>
        <v>0</v>
      </c>
      <c r="F444" s="296">
        <f t="shared" ca="1" si="92"/>
        <v>0</v>
      </c>
      <c r="G444" s="296">
        <f t="shared" ca="1" si="93"/>
        <v>0</v>
      </c>
      <c r="H444" s="296">
        <f t="shared" ca="1" si="94"/>
        <v>34.5</v>
      </c>
      <c r="I444" s="297">
        <f t="shared" ca="1" si="88"/>
        <v>-35</v>
      </c>
    </row>
    <row r="445" spans="1:9">
      <c r="A445" s="295">
        <f t="shared" si="87"/>
        <v>428</v>
      </c>
      <c r="B445" s="300">
        <f t="shared" si="91"/>
        <v>12997</v>
      </c>
      <c r="C445" s="296">
        <f t="shared" ca="1" si="89"/>
        <v>34.5</v>
      </c>
      <c r="D445" s="295"/>
      <c r="E445" s="296">
        <f t="shared" si="97"/>
        <v>0</v>
      </c>
      <c r="F445" s="296">
        <f t="shared" ca="1" si="92"/>
        <v>0</v>
      </c>
      <c r="G445" s="296">
        <f t="shared" ca="1" si="93"/>
        <v>0</v>
      </c>
      <c r="H445" s="296">
        <f t="shared" ca="1" si="94"/>
        <v>34.5</v>
      </c>
      <c r="I445" s="297">
        <f t="shared" ca="1" si="88"/>
        <v>-35</v>
      </c>
    </row>
    <row r="446" spans="1:9">
      <c r="A446" s="295">
        <f t="shared" si="87"/>
        <v>429</v>
      </c>
      <c r="B446" s="300">
        <f t="shared" si="91"/>
        <v>13028</v>
      </c>
      <c r="C446" s="296">
        <f t="shared" ca="1" si="89"/>
        <v>34.5</v>
      </c>
      <c r="D446" s="295"/>
      <c r="E446" s="296">
        <f t="shared" ca="1" si="97"/>
        <v>-0.25</v>
      </c>
      <c r="F446" s="296">
        <f t="shared" ca="1" si="92"/>
        <v>-0.25</v>
      </c>
      <c r="G446" s="296">
        <f t="shared" ca="1" si="93"/>
        <v>0</v>
      </c>
      <c r="H446" s="296">
        <f t="shared" ca="1" si="94"/>
        <v>34.75</v>
      </c>
      <c r="I446" s="297">
        <f t="shared" ca="1" si="88"/>
        <v>-35</v>
      </c>
    </row>
    <row r="447" spans="1:9">
      <c r="A447" s="295">
        <f t="shared" si="87"/>
        <v>430</v>
      </c>
      <c r="B447" s="300">
        <f t="shared" si="91"/>
        <v>13058</v>
      </c>
      <c r="C447" s="296">
        <f t="shared" ca="1" si="89"/>
        <v>34.75</v>
      </c>
      <c r="D447" s="295"/>
      <c r="E447" s="296">
        <f t="shared" si="97"/>
        <v>0</v>
      </c>
      <c r="F447" s="296">
        <f t="shared" ca="1" si="92"/>
        <v>0</v>
      </c>
      <c r="G447" s="296">
        <f t="shared" ca="1" si="93"/>
        <v>0</v>
      </c>
      <c r="H447" s="296">
        <f t="shared" ca="1" si="94"/>
        <v>34.75</v>
      </c>
      <c r="I447" s="297">
        <f t="shared" ca="1" si="88"/>
        <v>-35</v>
      </c>
    </row>
    <row r="448" spans="1:9">
      <c r="A448" s="295">
        <f t="shared" si="87"/>
        <v>431</v>
      </c>
      <c r="B448" s="300">
        <f t="shared" si="91"/>
        <v>13089</v>
      </c>
      <c r="C448" s="296">
        <f t="shared" ca="1" si="89"/>
        <v>34.75</v>
      </c>
      <c r="D448" s="295"/>
      <c r="E448" s="296">
        <f t="shared" si="97"/>
        <v>0</v>
      </c>
      <c r="F448" s="296">
        <f t="shared" ca="1" si="92"/>
        <v>0</v>
      </c>
      <c r="G448" s="296">
        <f t="shared" ca="1" si="93"/>
        <v>0</v>
      </c>
      <c r="H448" s="296">
        <f t="shared" ca="1" si="94"/>
        <v>34.75</v>
      </c>
      <c r="I448" s="297">
        <f t="shared" ca="1" si="88"/>
        <v>-35</v>
      </c>
    </row>
    <row r="449" spans="1:9">
      <c r="A449" s="295">
        <f t="shared" si="87"/>
        <v>432</v>
      </c>
      <c r="B449" s="300">
        <f t="shared" si="91"/>
        <v>13119</v>
      </c>
      <c r="C449" s="296">
        <f t="shared" ca="1" si="89"/>
        <v>34.75</v>
      </c>
      <c r="D449" s="296">
        <f ca="1">IF(H449&lt;0,0,0.25*(K53-L53))</f>
        <v>-0.25</v>
      </c>
      <c r="E449" s="296">
        <f t="shared" ca="1" si="97"/>
        <v>-0.25</v>
      </c>
      <c r="F449" s="296">
        <f t="shared" ca="1" si="92"/>
        <v>-0.25</v>
      </c>
      <c r="G449" s="296">
        <f t="shared" ca="1" si="93"/>
        <v>0</v>
      </c>
      <c r="H449" s="296">
        <f t="shared" ca="1" si="94"/>
        <v>35</v>
      </c>
      <c r="I449" s="297">
        <f t="shared" ca="1" si="88"/>
        <v>-35</v>
      </c>
    </row>
    <row r="450" spans="1:9">
      <c r="A450" s="295">
        <f t="shared" si="87"/>
        <v>433</v>
      </c>
      <c r="B450" s="300">
        <f t="shared" si="91"/>
        <v>13150</v>
      </c>
      <c r="C450" s="296">
        <f t="shared" ca="1" si="89"/>
        <v>35</v>
      </c>
      <c r="D450" s="295"/>
      <c r="E450" s="296">
        <f>IF($D$10=1,
 IF(OR(MONTH(B450)=MONTH(EDATE($D$7,0)),MONTH(B450)=MONTH(EDATE($D$7,3)),MONTH(B450)=MONTH(EDATE($D$7,6)),MONTH(B450)=MONTH(EDATE($D$7,9))),(MIN($D$449,H449)),0),
IF($D$10=0,
 IF(OR(MONTH(B450)=MONTH(EDATE($D$7,2)),MONTH(B450)=MONTH(EDATE($D$7,5)),MONTH(B450)=MONTH(EDATE($D$7,8)),MONTH(B450)=MONTH(EDATE($D$7,11))),(MIN($D$449,H449)),0)))</f>
        <v>0</v>
      </c>
      <c r="F450" s="296">
        <f t="shared" ca="1" si="92"/>
        <v>0</v>
      </c>
      <c r="G450" s="296">
        <f t="shared" ca="1" si="93"/>
        <v>0</v>
      </c>
      <c r="H450" s="296">
        <f t="shared" ca="1" si="94"/>
        <v>35</v>
      </c>
      <c r="I450" s="297">
        <f t="shared" ca="1" si="88"/>
        <v>-35</v>
      </c>
    </row>
    <row r="451" spans="1:9">
      <c r="A451" s="295">
        <f t="shared" si="87"/>
        <v>434</v>
      </c>
      <c r="B451" s="300">
        <f t="shared" si="91"/>
        <v>13181</v>
      </c>
      <c r="C451" s="296">
        <f t="shared" ca="1" si="89"/>
        <v>35</v>
      </c>
      <c r="D451" s="295"/>
      <c r="E451" s="296">
        <f t="shared" ref="E451:E461" si="98">IF($D$10=1,
 IF(OR(MONTH(B451)=MONTH(EDATE($D$7,0)),MONTH(B451)=MONTH(EDATE($D$7,3)),MONTH(B451)=MONTH(EDATE($D$7,6)),MONTH(B451)=MONTH(EDATE($D$7,9))),(MIN($D$449,H450)),0),
IF($D$10=0,
 IF(OR(MONTH(B451)=MONTH(EDATE($D$7,2)),MONTH(B451)=MONTH(EDATE($D$7,5)),MONTH(B451)=MONTH(EDATE($D$7,8)),MONTH(B451)=MONTH(EDATE($D$7,11))),(MIN($D$449,H450)),0)))</f>
        <v>0</v>
      </c>
      <c r="F451" s="296">
        <f t="shared" ca="1" si="92"/>
        <v>0</v>
      </c>
      <c r="G451" s="296">
        <f t="shared" ca="1" si="93"/>
        <v>0</v>
      </c>
      <c r="H451" s="296">
        <f t="shared" ca="1" si="94"/>
        <v>35</v>
      </c>
      <c r="I451" s="297">
        <f t="shared" ca="1" si="88"/>
        <v>-35</v>
      </c>
    </row>
    <row r="452" spans="1:9">
      <c r="A452" s="295">
        <f t="shared" si="87"/>
        <v>435</v>
      </c>
      <c r="B452" s="300">
        <f t="shared" si="91"/>
        <v>13210</v>
      </c>
      <c r="C452" s="296">
        <f t="shared" ca="1" si="89"/>
        <v>35</v>
      </c>
      <c r="D452" s="295"/>
      <c r="E452" s="296">
        <f t="shared" ca="1" si="98"/>
        <v>-0.25</v>
      </c>
      <c r="F452" s="296">
        <f t="shared" ca="1" si="92"/>
        <v>-0.25</v>
      </c>
      <c r="G452" s="296">
        <f t="shared" ca="1" si="93"/>
        <v>0</v>
      </c>
      <c r="H452" s="296">
        <f t="shared" ca="1" si="94"/>
        <v>35.25</v>
      </c>
      <c r="I452" s="297">
        <f t="shared" ca="1" si="88"/>
        <v>-35</v>
      </c>
    </row>
    <row r="453" spans="1:9">
      <c r="A453" s="295">
        <f t="shared" si="87"/>
        <v>436</v>
      </c>
      <c r="B453" s="300">
        <f t="shared" si="91"/>
        <v>13241</v>
      </c>
      <c r="C453" s="296">
        <f t="shared" ca="1" si="89"/>
        <v>35.25</v>
      </c>
      <c r="E453" s="296">
        <f t="shared" si="98"/>
        <v>0</v>
      </c>
      <c r="F453" s="296">
        <f t="shared" ca="1" si="92"/>
        <v>0</v>
      </c>
      <c r="G453" s="296">
        <f t="shared" ca="1" si="93"/>
        <v>0</v>
      </c>
      <c r="H453" s="296">
        <f t="shared" ca="1" si="94"/>
        <v>35.25</v>
      </c>
      <c r="I453" s="297">
        <f t="shared" ca="1" si="88"/>
        <v>-35</v>
      </c>
    </row>
    <row r="454" spans="1:9">
      <c r="A454" s="295">
        <f t="shared" si="87"/>
        <v>437</v>
      </c>
      <c r="B454" s="300">
        <f t="shared" si="91"/>
        <v>13271</v>
      </c>
      <c r="C454" s="296">
        <f t="shared" ca="1" si="89"/>
        <v>35.25</v>
      </c>
      <c r="D454" s="295"/>
      <c r="E454" s="296">
        <f t="shared" si="98"/>
        <v>0</v>
      </c>
      <c r="F454" s="296">
        <f t="shared" ca="1" si="92"/>
        <v>0</v>
      </c>
      <c r="G454" s="296">
        <f t="shared" ca="1" si="93"/>
        <v>0</v>
      </c>
      <c r="H454" s="296">
        <f t="shared" ca="1" si="94"/>
        <v>35.25</v>
      </c>
      <c r="I454" s="297">
        <f t="shared" ca="1" si="88"/>
        <v>-35</v>
      </c>
    </row>
    <row r="455" spans="1:9">
      <c r="A455" s="295">
        <f t="shared" si="87"/>
        <v>438</v>
      </c>
      <c r="B455" s="300">
        <f t="shared" si="91"/>
        <v>13302</v>
      </c>
      <c r="C455" s="296">
        <f t="shared" ca="1" si="89"/>
        <v>35.25</v>
      </c>
      <c r="D455" s="295"/>
      <c r="E455" s="296">
        <f t="shared" ca="1" si="98"/>
        <v>-0.25</v>
      </c>
      <c r="F455" s="296">
        <f t="shared" ca="1" si="92"/>
        <v>-0.25</v>
      </c>
      <c r="G455" s="296">
        <f t="shared" ca="1" si="93"/>
        <v>0</v>
      </c>
      <c r="H455" s="296">
        <f t="shared" ca="1" si="94"/>
        <v>35.5</v>
      </c>
      <c r="I455" s="297">
        <f t="shared" ca="1" si="88"/>
        <v>-36</v>
      </c>
    </row>
    <row r="456" spans="1:9">
      <c r="A456" s="295">
        <f t="shared" si="87"/>
        <v>439</v>
      </c>
      <c r="B456" s="300">
        <f t="shared" si="91"/>
        <v>13332</v>
      </c>
      <c r="C456" s="296">
        <f t="shared" ca="1" si="89"/>
        <v>35.5</v>
      </c>
      <c r="D456" s="295"/>
      <c r="E456" s="296">
        <f t="shared" si="98"/>
        <v>0</v>
      </c>
      <c r="F456" s="296">
        <f t="shared" ca="1" si="92"/>
        <v>0</v>
      </c>
      <c r="G456" s="296">
        <f t="shared" ca="1" si="93"/>
        <v>0</v>
      </c>
      <c r="H456" s="296">
        <f t="shared" ca="1" si="94"/>
        <v>35.5</v>
      </c>
      <c r="I456" s="297">
        <f t="shared" ca="1" si="88"/>
        <v>-36</v>
      </c>
    </row>
    <row r="457" spans="1:9">
      <c r="A457" s="295">
        <f t="shared" si="87"/>
        <v>440</v>
      </c>
      <c r="B457" s="300">
        <f t="shared" si="91"/>
        <v>13363</v>
      </c>
      <c r="C457" s="296">
        <f t="shared" ca="1" si="89"/>
        <v>35.5</v>
      </c>
      <c r="D457" s="295"/>
      <c r="E457" s="296">
        <f t="shared" si="98"/>
        <v>0</v>
      </c>
      <c r="F457" s="296">
        <f t="shared" ca="1" si="92"/>
        <v>0</v>
      </c>
      <c r="G457" s="296">
        <f t="shared" ca="1" si="93"/>
        <v>0</v>
      </c>
      <c r="H457" s="296">
        <f t="shared" ca="1" si="94"/>
        <v>35.5</v>
      </c>
      <c r="I457" s="297">
        <f t="shared" ca="1" si="88"/>
        <v>-36</v>
      </c>
    </row>
    <row r="458" spans="1:9">
      <c r="A458" s="295">
        <f t="shared" si="87"/>
        <v>441</v>
      </c>
      <c r="B458" s="300">
        <f t="shared" si="91"/>
        <v>13394</v>
      </c>
      <c r="C458" s="296">
        <f t="shared" ca="1" si="89"/>
        <v>35.5</v>
      </c>
      <c r="D458" s="295"/>
      <c r="E458" s="296">
        <f t="shared" ca="1" si="98"/>
        <v>-0.25</v>
      </c>
      <c r="F458" s="296">
        <f t="shared" ca="1" si="92"/>
        <v>-0.25</v>
      </c>
      <c r="G458" s="296">
        <f t="shared" ca="1" si="93"/>
        <v>0</v>
      </c>
      <c r="H458" s="296">
        <f t="shared" ca="1" si="94"/>
        <v>35.75</v>
      </c>
      <c r="I458" s="297">
        <f t="shared" ca="1" si="88"/>
        <v>-36</v>
      </c>
    </row>
    <row r="459" spans="1:9">
      <c r="A459" s="295">
        <f t="shared" si="87"/>
        <v>442</v>
      </c>
      <c r="B459" s="300">
        <f t="shared" si="91"/>
        <v>13424</v>
      </c>
      <c r="C459" s="296">
        <f t="shared" ca="1" si="89"/>
        <v>35.75</v>
      </c>
      <c r="D459" s="295"/>
      <c r="E459" s="296">
        <f t="shared" si="98"/>
        <v>0</v>
      </c>
      <c r="F459" s="296">
        <f t="shared" ca="1" si="92"/>
        <v>0</v>
      </c>
      <c r="G459" s="296">
        <f t="shared" ca="1" si="93"/>
        <v>0</v>
      </c>
      <c r="H459" s="296">
        <f t="shared" ca="1" si="94"/>
        <v>35.75</v>
      </c>
      <c r="I459" s="297">
        <f t="shared" ca="1" si="88"/>
        <v>-36</v>
      </c>
    </row>
    <row r="460" spans="1:9">
      <c r="A460" s="295">
        <f t="shared" si="87"/>
        <v>443</v>
      </c>
      <c r="B460" s="300">
        <f t="shared" si="91"/>
        <v>13455</v>
      </c>
      <c r="C460" s="296">
        <f t="shared" ca="1" si="89"/>
        <v>35.75</v>
      </c>
      <c r="D460" s="295"/>
      <c r="E460" s="296">
        <f t="shared" si="98"/>
        <v>0</v>
      </c>
      <c r="F460" s="296">
        <f t="shared" ca="1" si="92"/>
        <v>0</v>
      </c>
      <c r="G460" s="296">
        <f t="shared" ca="1" si="93"/>
        <v>0</v>
      </c>
      <c r="H460" s="296">
        <f t="shared" ca="1" si="94"/>
        <v>35.75</v>
      </c>
      <c r="I460" s="297">
        <f t="shared" ca="1" si="88"/>
        <v>-36</v>
      </c>
    </row>
    <row r="461" spans="1:9">
      <c r="A461" s="295">
        <f t="shared" si="87"/>
        <v>444</v>
      </c>
      <c r="B461" s="300">
        <f t="shared" si="91"/>
        <v>13485</v>
      </c>
      <c r="C461" s="296">
        <f t="shared" ca="1" si="89"/>
        <v>35.75</v>
      </c>
      <c r="D461" s="296">
        <f ca="1">IF(H461&lt;0,0,0.25*(K54-L54))</f>
        <v>-0.25</v>
      </c>
      <c r="E461" s="296">
        <f t="shared" ca="1" si="98"/>
        <v>-0.25</v>
      </c>
      <c r="F461" s="296">
        <f t="shared" ca="1" si="92"/>
        <v>-0.25</v>
      </c>
      <c r="G461" s="296">
        <f t="shared" ca="1" si="93"/>
        <v>0</v>
      </c>
      <c r="H461" s="296">
        <f t="shared" ca="1" si="94"/>
        <v>36</v>
      </c>
      <c r="I461" s="297">
        <f t="shared" ca="1" si="88"/>
        <v>-36</v>
      </c>
    </row>
    <row r="462" spans="1:9">
      <c r="A462" s="295">
        <f t="shared" si="87"/>
        <v>445</v>
      </c>
      <c r="B462" s="300">
        <f t="shared" si="91"/>
        <v>13516</v>
      </c>
      <c r="C462" s="296">
        <f t="shared" ca="1" si="89"/>
        <v>36</v>
      </c>
      <c r="D462" s="295"/>
      <c r="E462" s="296">
        <f>IF($D$10=1,
 IF(OR(MONTH(B462)=MONTH(EDATE($D$7,0)),MONTH(B462)=MONTH(EDATE($D$7,3)),MONTH(B462)=MONTH(EDATE($D$7,6)),MONTH(B462)=MONTH(EDATE($D$7,9))),(MIN($D$461,H461)),0),
IF($D$10=0,
 IF(OR(MONTH(B462)=MONTH(EDATE($D$7,2)),MONTH(B462)=MONTH(EDATE($D$7,5)),MONTH(B462)=MONTH(EDATE($D$7,8)),MONTH(B462)=MONTH(EDATE($D$7,11))),(MIN($D$461,H461)),0)))</f>
        <v>0</v>
      </c>
      <c r="F462" s="296">
        <f t="shared" ca="1" si="92"/>
        <v>0</v>
      </c>
      <c r="G462" s="296">
        <f t="shared" ca="1" si="93"/>
        <v>0</v>
      </c>
      <c r="H462" s="296">
        <f t="shared" ca="1" si="94"/>
        <v>36</v>
      </c>
      <c r="I462" s="297">
        <f t="shared" ca="1" si="88"/>
        <v>-36</v>
      </c>
    </row>
    <row r="463" spans="1:9">
      <c r="A463" s="295">
        <f t="shared" si="87"/>
        <v>446</v>
      </c>
      <c r="B463" s="300">
        <f t="shared" si="91"/>
        <v>13547</v>
      </c>
      <c r="C463" s="296">
        <f t="shared" ca="1" si="89"/>
        <v>36</v>
      </c>
      <c r="D463" s="295"/>
      <c r="E463" s="296">
        <f t="shared" ref="E463:E473" si="99">IF($D$10=1,
 IF(OR(MONTH(B463)=MONTH(EDATE($D$7,0)),MONTH(B463)=MONTH(EDATE($D$7,3)),MONTH(B463)=MONTH(EDATE($D$7,6)),MONTH(B463)=MONTH(EDATE($D$7,9))),(MIN($D$461,H462)),0),
IF($D$10=0,
 IF(OR(MONTH(B463)=MONTH(EDATE($D$7,2)),MONTH(B463)=MONTH(EDATE($D$7,5)),MONTH(B463)=MONTH(EDATE($D$7,8)),MONTH(B463)=MONTH(EDATE($D$7,11))),(MIN($D$461,H462)),0)))</f>
        <v>0</v>
      </c>
      <c r="F463" s="296">
        <f t="shared" ca="1" si="92"/>
        <v>0</v>
      </c>
      <c r="G463" s="296">
        <f t="shared" ca="1" si="93"/>
        <v>0</v>
      </c>
      <c r="H463" s="296">
        <f t="shared" ca="1" si="94"/>
        <v>36</v>
      </c>
      <c r="I463" s="297">
        <f t="shared" ca="1" si="88"/>
        <v>-36</v>
      </c>
    </row>
    <row r="464" spans="1:9">
      <c r="A464" s="295">
        <f t="shared" si="87"/>
        <v>447</v>
      </c>
      <c r="B464" s="300">
        <f t="shared" si="91"/>
        <v>13575</v>
      </c>
      <c r="C464" s="296">
        <f t="shared" ca="1" si="89"/>
        <v>36</v>
      </c>
      <c r="D464" s="295"/>
      <c r="E464" s="296">
        <f t="shared" ca="1" si="99"/>
        <v>-0.25</v>
      </c>
      <c r="F464" s="296">
        <f t="shared" ca="1" si="92"/>
        <v>-0.25</v>
      </c>
      <c r="G464" s="296">
        <f t="shared" ca="1" si="93"/>
        <v>0</v>
      </c>
      <c r="H464" s="296">
        <f t="shared" ca="1" si="94"/>
        <v>36.25</v>
      </c>
      <c r="I464" s="297">
        <f t="shared" ca="1" si="88"/>
        <v>-36</v>
      </c>
    </row>
    <row r="465" spans="1:9">
      <c r="A465" s="295">
        <f t="shared" si="87"/>
        <v>448</v>
      </c>
      <c r="B465" s="300">
        <f t="shared" si="91"/>
        <v>13606</v>
      </c>
      <c r="C465" s="296">
        <f t="shared" ca="1" si="89"/>
        <v>36.25</v>
      </c>
      <c r="D465" s="296"/>
      <c r="E465" s="296">
        <f t="shared" si="99"/>
        <v>0</v>
      </c>
      <c r="F465" s="296">
        <f t="shared" ca="1" si="92"/>
        <v>0</v>
      </c>
      <c r="G465" s="296">
        <f t="shared" ca="1" si="93"/>
        <v>0</v>
      </c>
      <c r="H465" s="296">
        <f t="shared" ca="1" si="94"/>
        <v>36.25</v>
      </c>
      <c r="I465" s="297">
        <f t="shared" ca="1" si="88"/>
        <v>-36</v>
      </c>
    </row>
    <row r="466" spans="1:9">
      <c r="A466" s="295">
        <f t="shared" ref="A466:A497" si="100">IF(A465="","",IF(A465=$D$6,"",A465+1))</f>
        <v>449</v>
      </c>
      <c r="B466" s="300">
        <f t="shared" si="91"/>
        <v>13636</v>
      </c>
      <c r="C466" s="296">
        <f t="shared" ca="1" si="89"/>
        <v>36.25</v>
      </c>
      <c r="D466" s="295"/>
      <c r="E466" s="296">
        <f t="shared" si="99"/>
        <v>0</v>
      </c>
      <c r="F466" s="296">
        <f t="shared" ca="1" si="92"/>
        <v>0</v>
      </c>
      <c r="G466" s="296">
        <f t="shared" ca="1" si="93"/>
        <v>0</v>
      </c>
      <c r="H466" s="296">
        <f t="shared" ca="1" si="94"/>
        <v>36.25</v>
      </c>
      <c r="I466" s="297">
        <f t="shared" ref="I466:I497" ca="1" si="101">ROUND((D466-H466),0)</f>
        <v>-36</v>
      </c>
    </row>
    <row r="467" spans="1:9">
      <c r="A467" s="295">
        <f t="shared" si="100"/>
        <v>450</v>
      </c>
      <c r="B467" s="300">
        <f t="shared" si="91"/>
        <v>13667</v>
      </c>
      <c r="C467" s="296">
        <f t="shared" ref="C467:C497" ca="1" si="102">IF(H466=0,0,H466)</f>
        <v>36.25</v>
      </c>
      <c r="D467" s="295"/>
      <c r="E467" s="296">
        <f t="shared" ca="1" si="99"/>
        <v>-0.25</v>
      </c>
      <c r="F467" s="296">
        <f t="shared" ca="1" si="92"/>
        <v>-0.25</v>
      </c>
      <c r="G467" s="296">
        <f t="shared" ca="1" si="93"/>
        <v>0</v>
      </c>
      <c r="H467" s="296">
        <f t="shared" ca="1" si="94"/>
        <v>36.5</v>
      </c>
      <c r="I467" s="297">
        <f t="shared" ca="1" si="101"/>
        <v>-37</v>
      </c>
    </row>
    <row r="468" spans="1:9">
      <c r="A468" s="295">
        <f t="shared" si="100"/>
        <v>451</v>
      </c>
      <c r="B468" s="300">
        <f t="shared" ref="B468:B497" si="103">DATE(YEAR(B467),MONTH(B467)+1,1)</f>
        <v>13697</v>
      </c>
      <c r="C468" s="296">
        <f t="shared" ca="1" si="102"/>
        <v>36.5</v>
      </c>
      <c r="D468" s="295"/>
      <c r="E468" s="296">
        <f t="shared" si="99"/>
        <v>0</v>
      </c>
      <c r="F468" s="296">
        <f t="shared" ca="1" si="92"/>
        <v>0</v>
      </c>
      <c r="G468" s="296">
        <f t="shared" ca="1" si="93"/>
        <v>0</v>
      </c>
      <c r="H468" s="296">
        <f t="shared" ca="1" si="94"/>
        <v>36.5</v>
      </c>
      <c r="I468" s="297">
        <f t="shared" ca="1" si="101"/>
        <v>-37</v>
      </c>
    </row>
    <row r="469" spans="1:9">
      <c r="A469" s="295">
        <f t="shared" si="100"/>
        <v>452</v>
      </c>
      <c r="B469" s="300">
        <f t="shared" si="103"/>
        <v>13728</v>
      </c>
      <c r="C469" s="296">
        <f t="shared" ca="1" si="102"/>
        <v>36.5</v>
      </c>
      <c r="D469" s="295"/>
      <c r="E469" s="296">
        <f t="shared" si="99"/>
        <v>0</v>
      </c>
      <c r="F469" s="296">
        <f t="shared" ca="1" si="92"/>
        <v>0</v>
      </c>
      <c r="G469" s="296">
        <f t="shared" ca="1" si="93"/>
        <v>0</v>
      </c>
      <c r="H469" s="296">
        <f t="shared" ca="1" si="94"/>
        <v>36.5</v>
      </c>
      <c r="I469" s="297">
        <f t="shared" ca="1" si="101"/>
        <v>-37</v>
      </c>
    </row>
    <row r="470" spans="1:9">
      <c r="A470" s="295">
        <f t="shared" si="100"/>
        <v>453</v>
      </c>
      <c r="B470" s="300">
        <f t="shared" si="103"/>
        <v>13759</v>
      </c>
      <c r="C470" s="296">
        <f t="shared" ca="1" si="102"/>
        <v>36.5</v>
      </c>
      <c r="D470" s="295"/>
      <c r="E470" s="296">
        <f t="shared" ca="1" si="99"/>
        <v>-0.25</v>
      </c>
      <c r="F470" s="296">
        <f t="shared" ca="1" si="92"/>
        <v>-0.25</v>
      </c>
      <c r="G470" s="296">
        <f t="shared" ca="1" si="93"/>
        <v>0</v>
      </c>
      <c r="H470" s="296">
        <f t="shared" ca="1" si="94"/>
        <v>36.75</v>
      </c>
      <c r="I470" s="297">
        <f t="shared" ca="1" si="101"/>
        <v>-37</v>
      </c>
    </row>
    <row r="471" spans="1:9">
      <c r="A471" s="295">
        <f t="shared" si="100"/>
        <v>454</v>
      </c>
      <c r="B471" s="300">
        <f t="shared" si="103"/>
        <v>13789</v>
      </c>
      <c r="C471" s="296">
        <f t="shared" ca="1" si="102"/>
        <v>36.75</v>
      </c>
      <c r="D471" s="295"/>
      <c r="E471" s="296">
        <f t="shared" si="99"/>
        <v>0</v>
      </c>
      <c r="F471" s="296">
        <f t="shared" ca="1" si="92"/>
        <v>0</v>
      </c>
      <c r="G471" s="296">
        <f t="shared" ca="1" si="93"/>
        <v>0</v>
      </c>
      <c r="H471" s="296">
        <f t="shared" ca="1" si="94"/>
        <v>36.75</v>
      </c>
      <c r="I471" s="297">
        <f t="shared" ca="1" si="101"/>
        <v>-37</v>
      </c>
    </row>
    <row r="472" spans="1:9">
      <c r="A472" s="295">
        <f t="shared" si="100"/>
        <v>455</v>
      </c>
      <c r="B472" s="300">
        <f t="shared" si="103"/>
        <v>13820</v>
      </c>
      <c r="C472" s="296">
        <f t="shared" ca="1" si="102"/>
        <v>36.75</v>
      </c>
      <c r="D472" s="295"/>
      <c r="E472" s="296">
        <f t="shared" si="99"/>
        <v>0</v>
      </c>
      <c r="F472" s="296">
        <f t="shared" ca="1" si="92"/>
        <v>0</v>
      </c>
      <c r="G472" s="296">
        <f t="shared" ca="1" si="93"/>
        <v>0</v>
      </c>
      <c r="H472" s="296">
        <f t="shared" ca="1" si="94"/>
        <v>36.75</v>
      </c>
      <c r="I472" s="297">
        <f t="shared" ca="1" si="101"/>
        <v>-37</v>
      </c>
    </row>
    <row r="473" spans="1:9">
      <c r="A473" s="295">
        <f t="shared" si="100"/>
        <v>456</v>
      </c>
      <c r="B473" s="300">
        <f t="shared" si="103"/>
        <v>13850</v>
      </c>
      <c r="C473" s="296">
        <f t="shared" ca="1" si="102"/>
        <v>36.75</v>
      </c>
      <c r="D473" s="296">
        <f ca="1">IF(H473&lt;0,0,0.25*(K55-L55))</f>
        <v>-0.25</v>
      </c>
      <c r="E473" s="296">
        <f t="shared" ca="1" si="99"/>
        <v>-0.25</v>
      </c>
      <c r="F473" s="296">
        <f t="shared" ca="1" si="92"/>
        <v>-0.25</v>
      </c>
      <c r="G473" s="296">
        <f t="shared" ca="1" si="93"/>
        <v>0</v>
      </c>
      <c r="H473" s="296">
        <f t="shared" ca="1" si="94"/>
        <v>37</v>
      </c>
      <c r="I473" s="297">
        <f t="shared" ca="1" si="101"/>
        <v>-37</v>
      </c>
    </row>
    <row r="474" spans="1:9">
      <c r="A474" s="295">
        <f t="shared" si="100"/>
        <v>457</v>
      </c>
      <c r="B474" s="300">
        <f t="shared" si="103"/>
        <v>13881</v>
      </c>
      <c r="C474" s="296">
        <f t="shared" ca="1" si="102"/>
        <v>37</v>
      </c>
      <c r="D474" s="295"/>
      <c r="E474" s="296">
        <f>IF($D$10=1,
 IF(OR(MONTH(B474)=MONTH(EDATE($D$7,0)),MONTH(B474)=MONTH(EDATE($D$7,3)),MONTH(B474)=MONTH(EDATE($D$7,6)),MONTH(B474)=MONTH(EDATE($D$7,9))),(MIN($D$473,H473)),0),
IF($D$10=0,
 IF(OR(MONTH(B474)=MONTH(EDATE($D$7,2)),MONTH(B474)=MONTH(EDATE($D$7,5)),MONTH(B474)=MONTH(EDATE($D$7,8)),MONTH(B474)=MONTH(EDATE($D$7,11))),(MIN($D$473,H473)),0)))</f>
        <v>0</v>
      </c>
      <c r="F474" s="296">
        <f t="shared" ca="1" si="92"/>
        <v>0</v>
      </c>
      <c r="G474" s="296">
        <f t="shared" ca="1" si="93"/>
        <v>0</v>
      </c>
      <c r="H474" s="296">
        <f t="shared" ca="1" si="94"/>
        <v>37</v>
      </c>
      <c r="I474" s="297">
        <f t="shared" ca="1" si="101"/>
        <v>-37</v>
      </c>
    </row>
    <row r="475" spans="1:9">
      <c r="A475" s="295">
        <f t="shared" si="100"/>
        <v>458</v>
      </c>
      <c r="B475" s="300">
        <f t="shared" si="103"/>
        <v>13912</v>
      </c>
      <c r="C475" s="296">
        <f t="shared" ca="1" si="102"/>
        <v>37</v>
      </c>
      <c r="D475" s="295"/>
      <c r="E475" s="296">
        <f t="shared" ref="E475:E485" si="104">IF($D$10=1,
 IF(OR(MONTH(B475)=MONTH(EDATE($D$7,0)),MONTH(B475)=MONTH(EDATE($D$7,3)),MONTH(B475)=MONTH(EDATE($D$7,6)),MONTH(B475)=MONTH(EDATE($D$7,9))),(MIN($D$473,H474)),0),
IF($D$10=0,
 IF(OR(MONTH(B475)=MONTH(EDATE($D$7,2)),MONTH(B475)=MONTH(EDATE($D$7,5)),MONTH(B475)=MONTH(EDATE($D$7,8)),MONTH(B475)=MONTH(EDATE($D$7,11))),(MIN($D$473,H474)),0)))</f>
        <v>0</v>
      </c>
      <c r="F475" s="296">
        <f t="shared" ca="1" si="92"/>
        <v>0</v>
      </c>
      <c r="G475" s="296">
        <f t="shared" ca="1" si="93"/>
        <v>0</v>
      </c>
      <c r="H475" s="296">
        <f t="shared" ca="1" si="94"/>
        <v>37</v>
      </c>
      <c r="I475" s="297">
        <f t="shared" ca="1" si="101"/>
        <v>-37</v>
      </c>
    </row>
    <row r="476" spans="1:9">
      <c r="A476" s="295">
        <f t="shared" si="100"/>
        <v>459</v>
      </c>
      <c r="B476" s="300">
        <f t="shared" si="103"/>
        <v>13940</v>
      </c>
      <c r="C476" s="296">
        <f t="shared" ca="1" si="102"/>
        <v>37</v>
      </c>
      <c r="D476" s="295"/>
      <c r="E476" s="296">
        <f t="shared" ca="1" si="104"/>
        <v>-0.25</v>
      </c>
      <c r="F476" s="296">
        <f t="shared" ca="1" si="92"/>
        <v>-0.25</v>
      </c>
      <c r="G476" s="296">
        <f t="shared" ca="1" si="93"/>
        <v>0</v>
      </c>
      <c r="H476" s="296">
        <f t="shared" ca="1" si="94"/>
        <v>37.25</v>
      </c>
      <c r="I476" s="297">
        <f t="shared" ca="1" si="101"/>
        <v>-37</v>
      </c>
    </row>
    <row r="477" spans="1:9">
      <c r="A477" s="295">
        <f t="shared" si="100"/>
        <v>460</v>
      </c>
      <c r="B477" s="300">
        <f t="shared" si="103"/>
        <v>13971</v>
      </c>
      <c r="C477" s="296">
        <f t="shared" ca="1" si="102"/>
        <v>37.25</v>
      </c>
      <c r="D477" s="296"/>
      <c r="E477" s="296">
        <f t="shared" si="104"/>
        <v>0</v>
      </c>
      <c r="F477" s="296">
        <f t="shared" ca="1" si="92"/>
        <v>0</v>
      </c>
      <c r="G477" s="296">
        <f t="shared" ca="1" si="93"/>
        <v>0</v>
      </c>
      <c r="H477" s="296">
        <f t="shared" ca="1" si="94"/>
        <v>37.25</v>
      </c>
      <c r="I477" s="297">
        <f t="shared" ca="1" si="101"/>
        <v>-37</v>
      </c>
    </row>
    <row r="478" spans="1:9">
      <c r="A478" s="295">
        <f t="shared" si="100"/>
        <v>461</v>
      </c>
      <c r="B478" s="300">
        <f t="shared" si="103"/>
        <v>14001</v>
      </c>
      <c r="C478" s="296">
        <f t="shared" ca="1" si="102"/>
        <v>37.25</v>
      </c>
      <c r="D478" s="295"/>
      <c r="E478" s="296">
        <f t="shared" si="104"/>
        <v>0</v>
      </c>
      <c r="F478" s="296">
        <f t="shared" ref="F478:F497" ca="1" si="105">IF(E478="","",E478-G478)</f>
        <v>0</v>
      </c>
      <c r="G478" s="296">
        <f t="shared" ref="G478:G497" ca="1" si="106">ROUND((C478-E478)*$D$5,3)</f>
        <v>0</v>
      </c>
      <c r="H478" s="296">
        <f t="shared" ref="H478:H497" ca="1" si="107">IF(E478="","",ROUND(H477-F478,4))</f>
        <v>37.25</v>
      </c>
      <c r="I478" s="297">
        <f t="shared" ca="1" si="101"/>
        <v>-37</v>
      </c>
    </row>
    <row r="479" spans="1:9">
      <c r="A479" s="295">
        <f t="shared" si="100"/>
        <v>462</v>
      </c>
      <c r="B479" s="300">
        <f t="shared" si="103"/>
        <v>14032</v>
      </c>
      <c r="C479" s="296">
        <f t="shared" ca="1" si="102"/>
        <v>37.25</v>
      </c>
      <c r="D479" s="295"/>
      <c r="E479" s="296">
        <f t="shared" ca="1" si="104"/>
        <v>-0.25</v>
      </c>
      <c r="F479" s="296">
        <f t="shared" ca="1" si="105"/>
        <v>-0.25</v>
      </c>
      <c r="G479" s="296">
        <f t="shared" ca="1" si="106"/>
        <v>0</v>
      </c>
      <c r="H479" s="296">
        <f t="shared" ca="1" si="107"/>
        <v>37.5</v>
      </c>
      <c r="I479" s="297">
        <f t="shared" ca="1" si="101"/>
        <v>-38</v>
      </c>
    </row>
    <row r="480" spans="1:9">
      <c r="A480" s="295">
        <f t="shared" si="100"/>
        <v>463</v>
      </c>
      <c r="B480" s="300">
        <f t="shared" si="103"/>
        <v>14062</v>
      </c>
      <c r="C480" s="296">
        <f t="shared" ca="1" si="102"/>
        <v>37.5</v>
      </c>
      <c r="D480" s="295"/>
      <c r="E480" s="296">
        <f t="shared" si="104"/>
        <v>0</v>
      </c>
      <c r="F480" s="296">
        <f t="shared" ca="1" si="105"/>
        <v>0</v>
      </c>
      <c r="G480" s="296">
        <f t="shared" ca="1" si="106"/>
        <v>0</v>
      </c>
      <c r="H480" s="296">
        <f t="shared" ca="1" si="107"/>
        <v>37.5</v>
      </c>
      <c r="I480" s="297">
        <f t="shared" ca="1" si="101"/>
        <v>-38</v>
      </c>
    </row>
    <row r="481" spans="1:9">
      <c r="A481" s="295">
        <f t="shared" si="100"/>
        <v>464</v>
      </c>
      <c r="B481" s="300">
        <f t="shared" si="103"/>
        <v>14093</v>
      </c>
      <c r="C481" s="296">
        <f t="shared" ca="1" si="102"/>
        <v>37.5</v>
      </c>
      <c r="D481" s="295"/>
      <c r="E481" s="296">
        <f t="shared" si="104"/>
        <v>0</v>
      </c>
      <c r="F481" s="296">
        <f t="shared" ca="1" si="105"/>
        <v>0</v>
      </c>
      <c r="G481" s="296">
        <f t="shared" ca="1" si="106"/>
        <v>0</v>
      </c>
      <c r="H481" s="296">
        <f t="shared" ca="1" si="107"/>
        <v>37.5</v>
      </c>
      <c r="I481" s="297">
        <f t="shared" ca="1" si="101"/>
        <v>-38</v>
      </c>
    </row>
    <row r="482" spans="1:9">
      <c r="A482" s="295">
        <f t="shared" si="100"/>
        <v>465</v>
      </c>
      <c r="B482" s="300">
        <f t="shared" si="103"/>
        <v>14124</v>
      </c>
      <c r="C482" s="296">
        <f t="shared" ca="1" si="102"/>
        <v>37.5</v>
      </c>
      <c r="D482" s="295"/>
      <c r="E482" s="296">
        <f t="shared" ca="1" si="104"/>
        <v>-0.25</v>
      </c>
      <c r="F482" s="296">
        <f t="shared" ca="1" si="105"/>
        <v>-0.25</v>
      </c>
      <c r="G482" s="296">
        <f t="shared" ca="1" si="106"/>
        <v>0</v>
      </c>
      <c r="H482" s="296">
        <f t="shared" ca="1" si="107"/>
        <v>37.75</v>
      </c>
      <c r="I482" s="297">
        <f t="shared" ca="1" si="101"/>
        <v>-38</v>
      </c>
    </row>
    <row r="483" spans="1:9">
      <c r="A483" s="295">
        <f t="shared" si="100"/>
        <v>466</v>
      </c>
      <c r="B483" s="300">
        <f t="shared" si="103"/>
        <v>14154</v>
      </c>
      <c r="C483" s="296">
        <f t="shared" ca="1" si="102"/>
        <v>37.75</v>
      </c>
      <c r="D483" s="295"/>
      <c r="E483" s="296">
        <f t="shared" si="104"/>
        <v>0</v>
      </c>
      <c r="F483" s="296">
        <f t="shared" ca="1" si="105"/>
        <v>0</v>
      </c>
      <c r="G483" s="296">
        <f t="shared" ca="1" si="106"/>
        <v>0</v>
      </c>
      <c r="H483" s="296">
        <f t="shared" ca="1" si="107"/>
        <v>37.75</v>
      </c>
      <c r="I483" s="297">
        <f t="shared" ca="1" si="101"/>
        <v>-38</v>
      </c>
    </row>
    <row r="484" spans="1:9">
      <c r="A484" s="295">
        <f t="shared" si="100"/>
        <v>467</v>
      </c>
      <c r="B484" s="300">
        <f t="shared" si="103"/>
        <v>14185</v>
      </c>
      <c r="C484" s="296">
        <f t="shared" ca="1" si="102"/>
        <v>37.75</v>
      </c>
      <c r="D484" s="295"/>
      <c r="E484" s="296">
        <f t="shared" si="104"/>
        <v>0</v>
      </c>
      <c r="F484" s="296">
        <f t="shared" ca="1" si="105"/>
        <v>0</v>
      </c>
      <c r="G484" s="296">
        <f t="shared" ca="1" si="106"/>
        <v>0</v>
      </c>
      <c r="H484" s="296">
        <f t="shared" ca="1" si="107"/>
        <v>37.75</v>
      </c>
      <c r="I484" s="297">
        <f t="shared" ca="1" si="101"/>
        <v>-38</v>
      </c>
    </row>
    <row r="485" spans="1:9">
      <c r="A485" s="295">
        <f t="shared" si="100"/>
        <v>468</v>
      </c>
      <c r="B485" s="300">
        <f t="shared" si="103"/>
        <v>14215</v>
      </c>
      <c r="C485" s="296">
        <f t="shared" ca="1" si="102"/>
        <v>37.75</v>
      </c>
      <c r="D485" s="296">
        <f ca="1">IF(H485&lt;0,0,0.25*(K56-L56))</f>
        <v>-0.25</v>
      </c>
      <c r="E485" s="296">
        <f t="shared" ca="1" si="104"/>
        <v>-0.25</v>
      </c>
      <c r="F485" s="296">
        <f t="shared" ca="1" si="105"/>
        <v>-0.25</v>
      </c>
      <c r="G485" s="296">
        <f t="shared" ca="1" si="106"/>
        <v>0</v>
      </c>
      <c r="H485" s="296">
        <f t="shared" ca="1" si="107"/>
        <v>38</v>
      </c>
      <c r="I485" s="297">
        <f t="shared" ca="1" si="101"/>
        <v>-38</v>
      </c>
    </row>
    <row r="486" spans="1:9">
      <c r="A486" s="295">
        <f t="shared" si="100"/>
        <v>469</v>
      </c>
      <c r="B486" s="300">
        <f t="shared" si="103"/>
        <v>14246</v>
      </c>
      <c r="C486" s="296">
        <f t="shared" ca="1" si="102"/>
        <v>38</v>
      </c>
      <c r="D486" s="295"/>
      <c r="E486" s="296">
        <f>IF($D$10=1,
 IF(OR(MONTH(B486)=MONTH(EDATE($D$7,0)),MONTH(B486)=MONTH(EDATE($D$7,3)),MONTH(B486)=MONTH(EDATE($D$7,6)),MONTH(B486)=MONTH(EDATE($D$7,9))),(MIN($D$485,H485)),0),
IF($D$10=0,
 IF(OR(MONTH(B486)=MONTH(EDATE($D$7,2)),MONTH(B486)=MONTH(EDATE($D$7,5)),MONTH(B486)=MONTH(EDATE($D$7,8)),MONTH(B486)=MONTH(EDATE($D$7,11))),(MIN($D$485,H485)),0)))</f>
        <v>0</v>
      </c>
      <c r="F486" s="296">
        <f t="shared" ca="1" si="105"/>
        <v>0</v>
      </c>
      <c r="G486" s="296">
        <f t="shared" ca="1" si="106"/>
        <v>0</v>
      </c>
      <c r="H486" s="296">
        <f t="shared" ca="1" si="107"/>
        <v>38</v>
      </c>
      <c r="I486" s="297">
        <f t="shared" ca="1" si="101"/>
        <v>-38</v>
      </c>
    </row>
    <row r="487" spans="1:9">
      <c r="A487" s="295">
        <f t="shared" si="100"/>
        <v>470</v>
      </c>
      <c r="B487" s="300">
        <f t="shared" si="103"/>
        <v>14277</v>
      </c>
      <c r="C487" s="296">
        <f t="shared" ca="1" si="102"/>
        <v>38</v>
      </c>
      <c r="D487" s="295"/>
      <c r="E487" s="296">
        <f t="shared" ref="E487:E497" si="108">IF($D$10=1,
 IF(OR(MONTH(B487)=MONTH(EDATE($D$7,0)),MONTH(B487)=MONTH(EDATE($D$7,3)),MONTH(B487)=MONTH(EDATE($D$7,6)),MONTH(B487)=MONTH(EDATE($D$7,9))),(MIN($D$485,H486)),0),
IF($D$10=0,
 IF(OR(MONTH(B487)=MONTH(EDATE($D$7,2)),MONTH(B487)=MONTH(EDATE($D$7,5)),MONTH(B487)=MONTH(EDATE($D$7,8)),MONTH(B487)=MONTH(EDATE($D$7,11))),(MIN($D$485,H486)),0)))</f>
        <v>0</v>
      </c>
      <c r="F487" s="296">
        <f t="shared" ca="1" si="105"/>
        <v>0</v>
      </c>
      <c r="G487" s="296">
        <f t="shared" ca="1" si="106"/>
        <v>0</v>
      </c>
      <c r="H487" s="296">
        <f t="shared" ca="1" si="107"/>
        <v>38</v>
      </c>
      <c r="I487" s="297">
        <f t="shared" ca="1" si="101"/>
        <v>-38</v>
      </c>
    </row>
    <row r="488" spans="1:9">
      <c r="A488" s="295">
        <f t="shared" si="100"/>
        <v>471</v>
      </c>
      <c r="B488" s="300">
        <f t="shared" si="103"/>
        <v>14305</v>
      </c>
      <c r="C488" s="296">
        <f t="shared" ca="1" si="102"/>
        <v>38</v>
      </c>
      <c r="D488" s="295"/>
      <c r="E488" s="296">
        <f t="shared" ca="1" si="108"/>
        <v>-0.25</v>
      </c>
      <c r="F488" s="296">
        <f t="shared" ca="1" si="105"/>
        <v>-0.25</v>
      </c>
      <c r="G488" s="296">
        <f t="shared" ca="1" si="106"/>
        <v>0</v>
      </c>
      <c r="H488" s="296">
        <f t="shared" ca="1" si="107"/>
        <v>38.25</v>
      </c>
      <c r="I488" s="297">
        <f t="shared" ca="1" si="101"/>
        <v>-38</v>
      </c>
    </row>
    <row r="489" spans="1:9">
      <c r="A489" s="295">
        <f t="shared" si="100"/>
        <v>472</v>
      </c>
      <c r="B489" s="300">
        <f t="shared" si="103"/>
        <v>14336</v>
      </c>
      <c r="C489" s="296">
        <f t="shared" ca="1" si="102"/>
        <v>38.25</v>
      </c>
      <c r="D489" s="296"/>
      <c r="E489" s="296">
        <f t="shared" si="108"/>
        <v>0</v>
      </c>
      <c r="F489" s="296">
        <f t="shared" ca="1" si="105"/>
        <v>0</v>
      </c>
      <c r="G489" s="296">
        <f t="shared" ca="1" si="106"/>
        <v>0</v>
      </c>
      <c r="H489" s="296">
        <f t="shared" ca="1" si="107"/>
        <v>38.25</v>
      </c>
      <c r="I489" s="297">
        <f t="shared" ca="1" si="101"/>
        <v>-38</v>
      </c>
    </row>
    <row r="490" spans="1:9">
      <c r="A490" s="295">
        <f t="shared" si="100"/>
        <v>473</v>
      </c>
      <c r="B490" s="300">
        <f t="shared" si="103"/>
        <v>14366</v>
      </c>
      <c r="C490" s="296">
        <f t="shared" ca="1" si="102"/>
        <v>38.25</v>
      </c>
      <c r="D490" s="295"/>
      <c r="E490" s="296">
        <f t="shared" si="108"/>
        <v>0</v>
      </c>
      <c r="F490" s="296">
        <f t="shared" ca="1" si="105"/>
        <v>0</v>
      </c>
      <c r="G490" s="296">
        <f t="shared" ca="1" si="106"/>
        <v>0</v>
      </c>
      <c r="H490" s="296">
        <f t="shared" ca="1" si="107"/>
        <v>38.25</v>
      </c>
      <c r="I490" s="297">
        <f t="shared" ca="1" si="101"/>
        <v>-38</v>
      </c>
    </row>
    <row r="491" spans="1:9">
      <c r="A491" s="295">
        <f t="shared" si="100"/>
        <v>474</v>
      </c>
      <c r="B491" s="300">
        <f t="shared" si="103"/>
        <v>14397</v>
      </c>
      <c r="C491" s="296">
        <f t="shared" ca="1" si="102"/>
        <v>38.25</v>
      </c>
      <c r="D491" s="295"/>
      <c r="E491" s="296">
        <f t="shared" ca="1" si="108"/>
        <v>-0.25</v>
      </c>
      <c r="F491" s="296">
        <f t="shared" ca="1" si="105"/>
        <v>-0.25</v>
      </c>
      <c r="G491" s="296">
        <f t="shared" ca="1" si="106"/>
        <v>0</v>
      </c>
      <c r="H491" s="296">
        <f t="shared" ca="1" si="107"/>
        <v>38.5</v>
      </c>
      <c r="I491" s="297">
        <f t="shared" ca="1" si="101"/>
        <v>-39</v>
      </c>
    </row>
    <row r="492" spans="1:9">
      <c r="A492" s="295">
        <f t="shared" si="100"/>
        <v>475</v>
      </c>
      <c r="B492" s="300">
        <f t="shared" si="103"/>
        <v>14427</v>
      </c>
      <c r="C492" s="296">
        <f t="shared" ca="1" si="102"/>
        <v>38.5</v>
      </c>
      <c r="D492" s="295"/>
      <c r="E492" s="296">
        <f t="shared" si="108"/>
        <v>0</v>
      </c>
      <c r="F492" s="296">
        <f t="shared" ca="1" si="105"/>
        <v>0</v>
      </c>
      <c r="G492" s="296">
        <f t="shared" ca="1" si="106"/>
        <v>0</v>
      </c>
      <c r="H492" s="296">
        <f t="shared" ca="1" si="107"/>
        <v>38.5</v>
      </c>
      <c r="I492" s="297">
        <f t="shared" ca="1" si="101"/>
        <v>-39</v>
      </c>
    </row>
    <row r="493" spans="1:9">
      <c r="A493" s="295">
        <f t="shared" si="100"/>
        <v>476</v>
      </c>
      <c r="B493" s="300">
        <f t="shared" si="103"/>
        <v>14458</v>
      </c>
      <c r="C493" s="296">
        <f t="shared" ca="1" si="102"/>
        <v>38.5</v>
      </c>
      <c r="D493" s="295"/>
      <c r="E493" s="296">
        <f t="shared" si="108"/>
        <v>0</v>
      </c>
      <c r="F493" s="296">
        <f t="shared" ca="1" si="105"/>
        <v>0</v>
      </c>
      <c r="G493" s="296">
        <f t="shared" ca="1" si="106"/>
        <v>0</v>
      </c>
      <c r="H493" s="296">
        <f t="shared" ca="1" si="107"/>
        <v>38.5</v>
      </c>
      <c r="I493" s="297">
        <f t="shared" ca="1" si="101"/>
        <v>-39</v>
      </c>
    </row>
    <row r="494" spans="1:9">
      <c r="A494" s="295">
        <f t="shared" si="100"/>
        <v>477</v>
      </c>
      <c r="B494" s="300">
        <f t="shared" si="103"/>
        <v>14489</v>
      </c>
      <c r="C494" s="296">
        <f t="shared" ca="1" si="102"/>
        <v>38.5</v>
      </c>
      <c r="D494" s="295"/>
      <c r="E494" s="296">
        <f t="shared" ca="1" si="108"/>
        <v>-0.25</v>
      </c>
      <c r="F494" s="296">
        <f t="shared" ca="1" si="105"/>
        <v>-0.25</v>
      </c>
      <c r="G494" s="296">
        <f t="shared" ca="1" si="106"/>
        <v>0</v>
      </c>
      <c r="H494" s="296">
        <f t="shared" ca="1" si="107"/>
        <v>38.75</v>
      </c>
      <c r="I494" s="297">
        <f t="shared" ca="1" si="101"/>
        <v>-39</v>
      </c>
    </row>
    <row r="495" spans="1:9">
      <c r="A495" s="295">
        <f t="shared" si="100"/>
        <v>478</v>
      </c>
      <c r="B495" s="300">
        <f t="shared" si="103"/>
        <v>14519</v>
      </c>
      <c r="C495" s="296">
        <f t="shared" ca="1" si="102"/>
        <v>38.75</v>
      </c>
      <c r="D495" s="295"/>
      <c r="E495" s="296">
        <f t="shared" si="108"/>
        <v>0</v>
      </c>
      <c r="F495" s="296">
        <f t="shared" ca="1" si="105"/>
        <v>0</v>
      </c>
      <c r="G495" s="296">
        <f t="shared" ca="1" si="106"/>
        <v>0</v>
      </c>
      <c r="H495" s="296">
        <f t="shared" ca="1" si="107"/>
        <v>38.75</v>
      </c>
      <c r="I495" s="297">
        <f t="shared" ca="1" si="101"/>
        <v>-39</v>
      </c>
    </row>
    <row r="496" spans="1:9">
      <c r="A496" s="295">
        <f t="shared" si="100"/>
        <v>479</v>
      </c>
      <c r="B496" s="300">
        <f t="shared" si="103"/>
        <v>14550</v>
      </c>
      <c r="C496" s="296">
        <f t="shared" ca="1" si="102"/>
        <v>38.75</v>
      </c>
      <c r="D496" s="295"/>
      <c r="E496" s="296">
        <f t="shared" si="108"/>
        <v>0</v>
      </c>
      <c r="F496" s="296">
        <f t="shared" ca="1" si="105"/>
        <v>0</v>
      </c>
      <c r="G496" s="296">
        <f t="shared" ca="1" si="106"/>
        <v>0</v>
      </c>
      <c r="H496" s="296">
        <f t="shared" ca="1" si="107"/>
        <v>38.75</v>
      </c>
      <c r="I496" s="297">
        <f t="shared" ca="1" si="101"/>
        <v>-39</v>
      </c>
    </row>
    <row r="497" spans="1:9">
      <c r="A497" s="295">
        <f t="shared" si="100"/>
        <v>480</v>
      </c>
      <c r="B497" s="300">
        <f t="shared" si="103"/>
        <v>14580</v>
      </c>
      <c r="C497" s="296">
        <f t="shared" ca="1" si="102"/>
        <v>38.75</v>
      </c>
      <c r="D497" s="296">
        <f ca="1">IF(H497&lt;0,0,0.25*(K57-L57))</f>
        <v>0</v>
      </c>
      <c r="E497" s="296">
        <f t="shared" ca="1" si="108"/>
        <v>-0.25</v>
      </c>
      <c r="F497" s="296">
        <f t="shared" ca="1" si="105"/>
        <v>-0.25</v>
      </c>
      <c r="G497" s="296">
        <f t="shared" ca="1" si="106"/>
        <v>0</v>
      </c>
      <c r="H497" s="296">
        <f t="shared" ca="1" si="107"/>
        <v>39</v>
      </c>
      <c r="I497" s="297">
        <f t="shared" ca="1" si="101"/>
        <v>-39</v>
      </c>
    </row>
    <row r="498" spans="1:9">
      <c r="H498" s="301" cm="1">
        <f t="array" ref="H498">INDEX(A17:A497,MATCH(TRUE,INDEX(I17:I497&gt;=0,),0))</f>
        <v>0</v>
      </c>
    </row>
  </sheetData>
  <mergeCells count="11">
    <mergeCell ref="A11:C11"/>
    <mergeCell ref="A12:C12"/>
    <mergeCell ref="A13:C13"/>
    <mergeCell ref="A14:C14"/>
    <mergeCell ref="A15:C15"/>
    <mergeCell ref="A10:C10"/>
    <mergeCell ref="A1:H1"/>
    <mergeCell ref="A4:C4"/>
    <mergeCell ref="A5:C5"/>
    <mergeCell ref="A6:C6"/>
    <mergeCell ref="A7:C7"/>
  </mergeCells>
  <pageMargins left="0.75" right="0.5" top="0.5" bottom="0.5" header="0.5" footer="0.5"/>
  <pageSetup orientation="portrait" horizontalDpi="4294967292" verticalDpi="4294967292"/>
  <headerFooter alignWithMargins="0">
    <oddFooter>&amp;C_x000D_&amp;1#&amp;"Calibri"&amp;6&amp;K626469 General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27D4C-DDDF-F046-9F90-E9551D4B58E0}">
  <sheetPr>
    <pageSetUpPr fitToPage="1"/>
  </sheetPr>
  <dimension ref="A1:V498"/>
  <sheetViews>
    <sheetView showGridLines="0" zoomScaleNormal="100" zoomScalePageLayoutView="125" workbookViewId="0">
      <pane ySplit="16" topLeftCell="A23" activePane="bottomLeft" state="frozenSplit"/>
      <selection activeCell="D485" sqref="D485"/>
      <selection pane="bottomLeft" activeCell="L39" sqref="L39"/>
    </sheetView>
  </sheetViews>
  <sheetFormatPr defaultColWidth="8.83203125" defaultRowHeight="12.5"/>
  <cols>
    <col min="1" max="1" width="6.33203125" style="301" customWidth="1"/>
    <col min="2" max="2" width="12.5" style="301" customWidth="1"/>
    <col min="3" max="3" width="16.5" style="301" customWidth="1"/>
    <col min="4" max="4" width="15.5" style="301" customWidth="1"/>
    <col min="5" max="5" width="17" style="301" customWidth="1"/>
    <col min="6" max="6" width="16" style="301" customWidth="1"/>
    <col min="7" max="7" width="14.5" style="301" customWidth="1"/>
    <col min="8" max="8" width="21" style="301" customWidth="1"/>
    <col min="9" max="9" width="15" style="266" customWidth="1"/>
    <col min="10" max="10" width="8.33203125" style="267" customWidth="1"/>
    <col min="11" max="12" width="17.33203125" style="267" customWidth="1"/>
    <col min="13" max="13" width="14.33203125" style="267" customWidth="1"/>
    <col min="14" max="14" width="17.33203125" style="267" customWidth="1"/>
    <col min="15" max="15" width="13" style="267" bestFit="1" customWidth="1"/>
    <col min="16" max="16" width="10.5" style="267" customWidth="1"/>
    <col min="17" max="17" width="10.5" style="267" bestFit="1" customWidth="1"/>
    <col min="18" max="253" width="8.83203125" style="267"/>
    <col min="254" max="254" width="4.5" style="267" customWidth="1"/>
    <col min="255" max="255" width="12.5" style="267" customWidth="1"/>
    <col min="256" max="256" width="11.83203125" style="267" customWidth="1"/>
    <col min="257" max="257" width="12.83203125" style="267" customWidth="1"/>
    <col min="258" max="258" width="11" style="267" customWidth="1"/>
    <col min="259" max="259" width="11.5" style="267" customWidth="1"/>
    <col min="260" max="261" width="11.33203125" style="267" customWidth="1"/>
    <col min="262" max="262" width="13.5" style="267" customWidth="1"/>
    <col min="263" max="509" width="8.83203125" style="267"/>
    <col min="510" max="510" width="4.5" style="267" customWidth="1"/>
    <col min="511" max="511" width="12.5" style="267" customWidth="1"/>
    <col min="512" max="512" width="11.83203125" style="267" customWidth="1"/>
    <col min="513" max="513" width="12.83203125" style="267" customWidth="1"/>
    <col min="514" max="514" width="11" style="267" customWidth="1"/>
    <col min="515" max="515" width="11.5" style="267" customWidth="1"/>
    <col min="516" max="517" width="11.33203125" style="267" customWidth="1"/>
    <col min="518" max="518" width="13.5" style="267" customWidth="1"/>
    <col min="519" max="765" width="8.83203125" style="267"/>
    <col min="766" max="766" width="4.5" style="267" customWidth="1"/>
    <col min="767" max="767" width="12.5" style="267" customWidth="1"/>
    <col min="768" max="768" width="11.83203125" style="267" customWidth="1"/>
    <col min="769" max="769" width="12.83203125" style="267" customWidth="1"/>
    <col min="770" max="770" width="11" style="267" customWidth="1"/>
    <col min="771" max="771" width="11.5" style="267" customWidth="1"/>
    <col min="772" max="773" width="11.33203125" style="267" customWidth="1"/>
    <col min="774" max="774" width="13.5" style="267" customWidth="1"/>
    <col min="775" max="1021" width="8.83203125" style="267"/>
    <col min="1022" max="1022" width="4.5" style="267" customWidth="1"/>
    <col min="1023" max="1023" width="12.5" style="267" customWidth="1"/>
    <col min="1024" max="1024" width="11.83203125" style="267" customWidth="1"/>
    <col min="1025" max="1025" width="12.83203125" style="267" customWidth="1"/>
    <col min="1026" max="1026" width="11" style="267" customWidth="1"/>
    <col min="1027" max="1027" width="11.5" style="267" customWidth="1"/>
    <col min="1028" max="1029" width="11.33203125" style="267" customWidth="1"/>
    <col min="1030" max="1030" width="13.5" style="267" customWidth="1"/>
    <col min="1031" max="1277" width="8.83203125" style="267"/>
    <col min="1278" max="1278" width="4.5" style="267" customWidth="1"/>
    <col min="1279" max="1279" width="12.5" style="267" customWidth="1"/>
    <col min="1280" max="1280" width="11.83203125" style="267" customWidth="1"/>
    <col min="1281" max="1281" width="12.83203125" style="267" customWidth="1"/>
    <col min="1282" max="1282" width="11" style="267" customWidth="1"/>
    <col min="1283" max="1283" width="11.5" style="267" customWidth="1"/>
    <col min="1284" max="1285" width="11.33203125" style="267" customWidth="1"/>
    <col min="1286" max="1286" width="13.5" style="267" customWidth="1"/>
    <col min="1287" max="1533" width="8.83203125" style="267"/>
    <col min="1534" max="1534" width="4.5" style="267" customWidth="1"/>
    <col min="1535" max="1535" width="12.5" style="267" customWidth="1"/>
    <col min="1536" max="1536" width="11.83203125" style="267" customWidth="1"/>
    <col min="1537" max="1537" width="12.83203125" style="267" customWidth="1"/>
    <col min="1538" max="1538" width="11" style="267" customWidth="1"/>
    <col min="1539" max="1539" width="11.5" style="267" customWidth="1"/>
    <col min="1540" max="1541" width="11.33203125" style="267" customWidth="1"/>
    <col min="1542" max="1542" width="13.5" style="267" customWidth="1"/>
    <col min="1543" max="1789" width="8.83203125" style="267"/>
    <col min="1790" max="1790" width="4.5" style="267" customWidth="1"/>
    <col min="1791" max="1791" width="12.5" style="267" customWidth="1"/>
    <col min="1792" max="1792" width="11.83203125" style="267" customWidth="1"/>
    <col min="1793" max="1793" width="12.83203125" style="267" customWidth="1"/>
    <col min="1794" max="1794" width="11" style="267" customWidth="1"/>
    <col min="1795" max="1795" width="11.5" style="267" customWidth="1"/>
    <col min="1796" max="1797" width="11.33203125" style="267" customWidth="1"/>
    <col min="1798" max="1798" width="13.5" style="267" customWidth="1"/>
    <col min="1799" max="2045" width="8.83203125" style="267"/>
    <col min="2046" max="2046" width="4.5" style="267" customWidth="1"/>
    <col min="2047" max="2047" width="12.5" style="267" customWidth="1"/>
    <col min="2048" max="2048" width="11.83203125" style="267" customWidth="1"/>
    <col min="2049" max="2049" width="12.83203125" style="267" customWidth="1"/>
    <col min="2050" max="2050" width="11" style="267" customWidth="1"/>
    <col min="2051" max="2051" width="11.5" style="267" customWidth="1"/>
    <col min="2052" max="2053" width="11.33203125" style="267" customWidth="1"/>
    <col min="2054" max="2054" width="13.5" style="267" customWidth="1"/>
    <col min="2055" max="2301" width="8.83203125" style="267"/>
    <col min="2302" max="2302" width="4.5" style="267" customWidth="1"/>
    <col min="2303" max="2303" width="12.5" style="267" customWidth="1"/>
    <col min="2304" max="2304" width="11.83203125" style="267" customWidth="1"/>
    <col min="2305" max="2305" width="12.83203125" style="267" customWidth="1"/>
    <col min="2306" max="2306" width="11" style="267" customWidth="1"/>
    <col min="2307" max="2307" width="11.5" style="267" customWidth="1"/>
    <col min="2308" max="2309" width="11.33203125" style="267" customWidth="1"/>
    <col min="2310" max="2310" width="13.5" style="267" customWidth="1"/>
    <col min="2311" max="2557" width="8.83203125" style="267"/>
    <col min="2558" max="2558" width="4.5" style="267" customWidth="1"/>
    <col min="2559" max="2559" width="12.5" style="267" customWidth="1"/>
    <col min="2560" max="2560" width="11.83203125" style="267" customWidth="1"/>
    <col min="2561" max="2561" width="12.83203125" style="267" customWidth="1"/>
    <col min="2562" max="2562" width="11" style="267" customWidth="1"/>
    <col min="2563" max="2563" width="11.5" style="267" customWidth="1"/>
    <col min="2564" max="2565" width="11.33203125" style="267" customWidth="1"/>
    <col min="2566" max="2566" width="13.5" style="267" customWidth="1"/>
    <col min="2567" max="2813" width="8.83203125" style="267"/>
    <col min="2814" max="2814" width="4.5" style="267" customWidth="1"/>
    <col min="2815" max="2815" width="12.5" style="267" customWidth="1"/>
    <col min="2816" max="2816" width="11.83203125" style="267" customWidth="1"/>
    <col min="2817" max="2817" width="12.83203125" style="267" customWidth="1"/>
    <col min="2818" max="2818" width="11" style="267" customWidth="1"/>
    <col min="2819" max="2819" width="11.5" style="267" customWidth="1"/>
    <col min="2820" max="2821" width="11.33203125" style="267" customWidth="1"/>
    <col min="2822" max="2822" width="13.5" style="267" customWidth="1"/>
    <col min="2823" max="3069" width="8.83203125" style="267"/>
    <col min="3070" max="3070" width="4.5" style="267" customWidth="1"/>
    <col min="3071" max="3071" width="12.5" style="267" customWidth="1"/>
    <col min="3072" max="3072" width="11.83203125" style="267" customWidth="1"/>
    <col min="3073" max="3073" width="12.83203125" style="267" customWidth="1"/>
    <col min="3074" max="3074" width="11" style="267" customWidth="1"/>
    <col min="3075" max="3075" width="11.5" style="267" customWidth="1"/>
    <col min="3076" max="3077" width="11.33203125" style="267" customWidth="1"/>
    <col min="3078" max="3078" width="13.5" style="267" customWidth="1"/>
    <col min="3079" max="3325" width="8.83203125" style="267"/>
    <col min="3326" max="3326" width="4.5" style="267" customWidth="1"/>
    <col min="3327" max="3327" width="12.5" style="267" customWidth="1"/>
    <col min="3328" max="3328" width="11.83203125" style="267" customWidth="1"/>
    <col min="3329" max="3329" width="12.83203125" style="267" customWidth="1"/>
    <col min="3330" max="3330" width="11" style="267" customWidth="1"/>
    <col min="3331" max="3331" width="11.5" style="267" customWidth="1"/>
    <col min="3332" max="3333" width="11.33203125" style="267" customWidth="1"/>
    <col min="3334" max="3334" width="13.5" style="267" customWidth="1"/>
    <col min="3335" max="3581" width="8.83203125" style="267"/>
    <col min="3582" max="3582" width="4.5" style="267" customWidth="1"/>
    <col min="3583" max="3583" width="12.5" style="267" customWidth="1"/>
    <col min="3584" max="3584" width="11.83203125" style="267" customWidth="1"/>
    <col min="3585" max="3585" width="12.83203125" style="267" customWidth="1"/>
    <col min="3586" max="3586" width="11" style="267" customWidth="1"/>
    <col min="3587" max="3587" width="11.5" style="267" customWidth="1"/>
    <col min="3588" max="3589" width="11.33203125" style="267" customWidth="1"/>
    <col min="3590" max="3590" width="13.5" style="267" customWidth="1"/>
    <col min="3591" max="3837" width="8.83203125" style="267"/>
    <col min="3838" max="3838" width="4.5" style="267" customWidth="1"/>
    <col min="3839" max="3839" width="12.5" style="267" customWidth="1"/>
    <col min="3840" max="3840" width="11.83203125" style="267" customWidth="1"/>
    <col min="3841" max="3841" width="12.83203125" style="267" customWidth="1"/>
    <col min="3842" max="3842" width="11" style="267" customWidth="1"/>
    <col min="3843" max="3843" width="11.5" style="267" customWidth="1"/>
    <col min="3844" max="3845" width="11.33203125" style="267" customWidth="1"/>
    <col min="3846" max="3846" width="13.5" style="267" customWidth="1"/>
    <col min="3847" max="4093" width="8.83203125" style="267"/>
    <col min="4094" max="4094" width="4.5" style="267" customWidth="1"/>
    <col min="4095" max="4095" width="12.5" style="267" customWidth="1"/>
    <col min="4096" max="4096" width="11.83203125" style="267" customWidth="1"/>
    <col min="4097" max="4097" width="12.83203125" style="267" customWidth="1"/>
    <col min="4098" max="4098" width="11" style="267" customWidth="1"/>
    <col min="4099" max="4099" width="11.5" style="267" customWidth="1"/>
    <col min="4100" max="4101" width="11.33203125" style="267" customWidth="1"/>
    <col min="4102" max="4102" width="13.5" style="267" customWidth="1"/>
    <col min="4103" max="4349" width="8.83203125" style="267"/>
    <col min="4350" max="4350" width="4.5" style="267" customWidth="1"/>
    <col min="4351" max="4351" width="12.5" style="267" customWidth="1"/>
    <col min="4352" max="4352" width="11.83203125" style="267" customWidth="1"/>
    <col min="4353" max="4353" width="12.83203125" style="267" customWidth="1"/>
    <col min="4354" max="4354" width="11" style="267" customWidth="1"/>
    <col min="4355" max="4355" width="11.5" style="267" customWidth="1"/>
    <col min="4356" max="4357" width="11.33203125" style="267" customWidth="1"/>
    <col min="4358" max="4358" width="13.5" style="267" customWidth="1"/>
    <col min="4359" max="4605" width="8.83203125" style="267"/>
    <col min="4606" max="4606" width="4.5" style="267" customWidth="1"/>
    <col min="4607" max="4607" width="12.5" style="267" customWidth="1"/>
    <col min="4608" max="4608" width="11.83203125" style="267" customWidth="1"/>
    <col min="4609" max="4609" width="12.83203125" style="267" customWidth="1"/>
    <col min="4610" max="4610" width="11" style="267" customWidth="1"/>
    <col min="4611" max="4611" width="11.5" style="267" customWidth="1"/>
    <col min="4612" max="4613" width="11.33203125" style="267" customWidth="1"/>
    <col min="4614" max="4614" width="13.5" style="267" customWidth="1"/>
    <col min="4615" max="4861" width="8.83203125" style="267"/>
    <col min="4862" max="4862" width="4.5" style="267" customWidth="1"/>
    <col min="4863" max="4863" width="12.5" style="267" customWidth="1"/>
    <col min="4864" max="4864" width="11.83203125" style="267" customWidth="1"/>
    <col min="4865" max="4865" width="12.83203125" style="267" customWidth="1"/>
    <col min="4866" max="4866" width="11" style="267" customWidth="1"/>
    <col min="4867" max="4867" width="11.5" style="267" customWidth="1"/>
    <col min="4868" max="4869" width="11.33203125" style="267" customWidth="1"/>
    <col min="4870" max="4870" width="13.5" style="267" customWidth="1"/>
    <col min="4871" max="5117" width="8.83203125" style="267"/>
    <col min="5118" max="5118" width="4.5" style="267" customWidth="1"/>
    <col min="5119" max="5119" width="12.5" style="267" customWidth="1"/>
    <col min="5120" max="5120" width="11.83203125" style="267" customWidth="1"/>
    <col min="5121" max="5121" width="12.83203125" style="267" customWidth="1"/>
    <col min="5122" max="5122" width="11" style="267" customWidth="1"/>
    <col min="5123" max="5123" width="11.5" style="267" customWidth="1"/>
    <col min="5124" max="5125" width="11.33203125" style="267" customWidth="1"/>
    <col min="5126" max="5126" width="13.5" style="267" customWidth="1"/>
    <col min="5127" max="5373" width="8.83203125" style="267"/>
    <col min="5374" max="5374" width="4.5" style="267" customWidth="1"/>
    <col min="5375" max="5375" width="12.5" style="267" customWidth="1"/>
    <col min="5376" max="5376" width="11.83203125" style="267" customWidth="1"/>
    <col min="5377" max="5377" width="12.83203125" style="267" customWidth="1"/>
    <col min="5378" max="5378" width="11" style="267" customWidth="1"/>
    <col min="5379" max="5379" width="11.5" style="267" customWidth="1"/>
    <col min="5380" max="5381" width="11.33203125" style="267" customWidth="1"/>
    <col min="5382" max="5382" width="13.5" style="267" customWidth="1"/>
    <col min="5383" max="5629" width="8.83203125" style="267"/>
    <col min="5630" max="5630" width="4.5" style="267" customWidth="1"/>
    <col min="5631" max="5631" width="12.5" style="267" customWidth="1"/>
    <col min="5632" max="5632" width="11.83203125" style="267" customWidth="1"/>
    <col min="5633" max="5633" width="12.83203125" style="267" customWidth="1"/>
    <col min="5634" max="5634" width="11" style="267" customWidth="1"/>
    <col min="5635" max="5635" width="11.5" style="267" customWidth="1"/>
    <col min="5636" max="5637" width="11.33203125" style="267" customWidth="1"/>
    <col min="5638" max="5638" width="13.5" style="267" customWidth="1"/>
    <col min="5639" max="5885" width="8.83203125" style="267"/>
    <col min="5886" max="5886" width="4.5" style="267" customWidth="1"/>
    <col min="5887" max="5887" width="12.5" style="267" customWidth="1"/>
    <col min="5888" max="5888" width="11.83203125" style="267" customWidth="1"/>
    <col min="5889" max="5889" width="12.83203125" style="267" customWidth="1"/>
    <col min="5890" max="5890" width="11" style="267" customWidth="1"/>
    <col min="5891" max="5891" width="11.5" style="267" customWidth="1"/>
    <col min="5892" max="5893" width="11.33203125" style="267" customWidth="1"/>
    <col min="5894" max="5894" width="13.5" style="267" customWidth="1"/>
    <col min="5895" max="6141" width="8.83203125" style="267"/>
    <col min="6142" max="6142" width="4.5" style="267" customWidth="1"/>
    <col min="6143" max="6143" width="12.5" style="267" customWidth="1"/>
    <col min="6144" max="6144" width="11.83203125" style="267" customWidth="1"/>
    <col min="6145" max="6145" width="12.83203125" style="267" customWidth="1"/>
    <col min="6146" max="6146" width="11" style="267" customWidth="1"/>
    <col min="6147" max="6147" width="11.5" style="267" customWidth="1"/>
    <col min="6148" max="6149" width="11.33203125" style="267" customWidth="1"/>
    <col min="6150" max="6150" width="13.5" style="267" customWidth="1"/>
    <col min="6151" max="6397" width="8.83203125" style="267"/>
    <col min="6398" max="6398" width="4.5" style="267" customWidth="1"/>
    <col min="6399" max="6399" width="12.5" style="267" customWidth="1"/>
    <col min="6400" max="6400" width="11.83203125" style="267" customWidth="1"/>
    <col min="6401" max="6401" width="12.83203125" style="267" customWidth="1"/>
    <col min="6402" max="6402" width="11" style="267" customWidth="1"/>
    <col min="6403" max="6403" width="11.5" style="267" customWidth="1"/>
    <col min="6404" max="6405" width="11.33203125" style="267" customWidth="1"/>
    <col min="6406" max="6406" width="13.5" style="267" customWidth="1"/>
    <col min="6407" max="6653" width="8.83203125" style="267"/>
    <col min="6654" max="6654" width="4.5" style="267" customWidth="1"/>
    <col min="6655" max="6655" width="12.5" style="267" customWidth="1"/>
    <col min="6656" max="6656" width="11.83203125" style="267" customWidth="1"/>
    <col min="6657" max="6657" width="12.83203125" style="267" customWidth="1"/>
    <col min="6658" max="6658" width="11" style="267" customWidth="1"/>
    <col min="6659" max="6659" width="11.5" style="267" customWidth="1"/>
    <col min="6660" max="6661" width="11.33203125" style="267" customWidth="1"/>
    <col min="6662" max="6662" width="13.5" style="267" customWidth="1"/>
    <col min="6663" max="6909" width="8.83203125" style="267"/>
    <col min="6910" max="6910" width="4.5" style="267" customWidth="1"/>
    <col min="6911" max="6911" width="12.5" style="267" customWidth="1"/>
    <col min="6912" max="6912" width="11.83203125" style="267" customWidth="1"/>
    <col min="6913" max="6913" width="12.83203125" style="267" customWidth="1"/>
    <col min="6914" max="6914" width="11" style="267" customWidth="1"/>
    <col min="6915" max="6915" width="11.5" style="267" customWidth="1"/>
    <col min="6916" max="6917" width="11.33203125" style="267" customWidth="1"/>
    <col min="6918" max="6918" width="13.5" style="267" customWidth="1"/>
    <col min="6919" max="7165" width="8.83203125" style="267"/>
    <col min="7166" max="7166" width="4.5" style="267" customWidth="1"/>
    <col min="7167" max="7167" width="12.5" style="267" customWidth="1"/>
    <col min="7168" max="7168" width="11.83203125" style="267" customWidth="1"/>
    <col min="7169" max="7169" width="12.83203125" style="267" customWidth="1"/>
    <col min="7170" max="7170" width="11" style="267" customWidth="1"/>
    <col min="7171" max="7171" width="11.5" style="267" customWidth="1"/>
    <col min="7172" max="7173" width="11.33203125" style="267" customWidth="1"/>
    <col min="7174" max="7174" width="13.5" style="267" customWidth="1"/>
    <col min="7175" max="7421" width="8.83203125" style="267"/>
    <col min="7422" max="7422" width="4.5" style="267" customWidth="1"/>
    <col min="7423" max="7423" width="12.5" style="267" customWidth="1"/>
    <col min="7424" max="7424" width="11.83203125" style="267" customWidth="1"/>
    <col min="7425" max="7425" width="12.83203125" style="267" customWidth="1"/>
    <col min="7426" max="7426" width="11" style="267" customWidth="1"/>
    <col min="7427" max="7427" width="11.5" style="267" customWidth="1"/>
    <col min="7428" max="7429" width="11.33203125" style="267" customWidth="1"/>
    <col min="7430" max="7430" width="13.5" style="267" customWidth="1"/>
    <col min="7431" max="7677" width="8.83203125" style="267"/>
    <col min="7678" max="7678" width="4.5" style="267" customWidth="1"/>
    <col min="7679" max="7679" width="12.5" style="267" customWidth="1"/>
    <col min="7680" max="7680" width="11.83203125" style="267" customWidth="1"/>
    <col min="7681" max="7681" width="12.83203125" style="267" customWidth="1"/>
    <col min="7682" max="7682" width="11" style="267" customWidth="1"/>
    <col min="7683" max="7683" width="11.5" style="267" customWidth="1"/>
    <col min="7684" max="7685" width="11.33203125" style="267" customWidth="1"/>
    <col min="7686" max="7686" width="13.5" style="267" customWidth="1"/>
    <col min="7687" max="7933" width="8.83203125" style="267"/>
    <col min="7934" max="7934" width="4.5" style="267" customWidth="1"/>
    <col min="7935" max="7935" width="12.5" style="267" customWidth="1"/>
    <col min="7936" max="7936" width="11.83203125" style="267" customWidth="1"/>
    <col min="7937" max="7937" width="12.83203125" style="267" customWidth="1"/>
    <col min="7938" max="7938" width="11" style="267" customWidth="1"/>
    <col min="7939" max="7939" width="11.5" style="267" customWidth="1"/>
    <col min="7940" max="7941" width="11.33203125" style="267" customWidth="1"/>
    <col min="7942" max="7942" width="13.5" style="267" customWidth="1"/>
    <col min="7943" max="8189" width="8.83203125" style="267"/>
    <col min="8190" max="8190" width="4.5" style="267" customWidth="1"/>
    <col min="8191" max="8191" width="12.5" style="267" customWidth="1"/>
    <col min="8192" max="8192" width="11.83203125" style="267" customWidth="1"/>
    <col min="8193" max="8193" width="12.83203125" style="267" customWidth="1"/>
    <col min="8194" max="8194" width="11" style="267" customWidth="1"/>
    <col min="8195" max="8195" width="11.5" style="267" customWidth="1"/>
    <col min="8196" max="8197" width="11.33203125" style="267" customWidth="1"/>
    <col min="8198" max="8198" width="13.5" style="267" customWidth="1"/>
    <col min="8199" max="8445" width="8.83203125" style="267"/>
    <col min="8446" max="8446" width="4.5" style="267" customWidth="1"/>
    <col min="8447" max="8447" width="12.5" style="267" customWidth="1"/>
    <col min="8448" max="8448" width="11.83203125" style="267" customWidth="1"/>
    <col min="8449" max="8449" width="12.83203125" style="267" customWidth="1"/>
    <col min="8450" max="8450" width="11" style="267" customWidth="1"/>
    <col min="8451" max="8451" width="11.5" style="267" customWidth="1"/>
    <col min="8452" max="8453" width="11.33203125" style="267" customWidth="1"/>
    <col min="8454" max="8454" width="13.5" style="267" customWidth="1"/>
    <col min="8455" max="8701" width="8.83203125" style="267"/>
    <col min="8702" max="8702" width="4.5" style="267" customWidth="1"/>
    <col min="8703" max="8703" width="12.5" style="267" customWidth="1"/>
    <col min="8704" max="8704" width="11.83203125" style="267" customWidth="1"/>
    <col min="8705" max="8705" width="12.83203125" style="267" customWidth="1"/>
    <col min="8706" max="8706" width="11" style="267" customWidth="1"/>
    <col min="8707" max="8707" width="11.5" style="267" customWidth="1"/>
    <col min="8708" max="8709" width="11.33203125" style="267" customWidth="1"/>
    <col min="8710" max="8710" width="13.5" style="267" customWidth="1"/>
    <col min="8711" max="8957" width="8.83203125" style="267"/>
    <col min="8958" max="8958" width="4.5" style="267" customWidth="1"/>
    <col min="8959" max="8959" width="12.5" style="267" customWidth="1"/>
    <col min="8960" max="8960" width="11.83203125" style="267" customWidth="1"/>
    <col min="8961" max="8961" width="12.83203125" style="267" customWidth="1"/>
    <col min="8962" max="8962" width="11" style="267" customWidth="1"/>
    <col min="8963" max="8963" width="11.5" style="267" customWidth="1"/>
    <col min="8964" max="8965" width="11.33203125" style="267" customWidth="1"/>
    <col min="8966" max="8966" width="13.5" style="267" customWidth="1"/>
    <col min="8967" max="9213" width="8.83203125" style="267"/>
    <col min="9214" max="9214" width="4.5" style="267" customWidth="1"/>
    <col min="9215" max="9215" width="12.5" style="267" customWidth="1"/>
    <col min="9216" max="9216" width="11.83203125" style="267" customWidth="1"/>
    <col min="9217" max="9217" width="12.83203125" style="267" customWidth="1"/>
    <col min="9218" max="9218" width="11" style="267" customWidth="1"/>
    <col min="9219" max="9219" width="11.5" style="267" customWidth="1"/>
    <col min="9220" max="9221" width="11.33203125" style="267" customWidth="1"/>
    <col min="9222" max="9222" width="13.5" style="267" customWidth="1"/>
    <col min="9223" max="9469" width="8.83203125" style="267"/>
    <col min="9470" max="9470" width="4.5" style="267" customWidth="1"/>
    <col min="9471" max="9471" width="12.5" style="267" customWidth="1"/>
    <col min="9472" max="9472" width="11.83203125" style="267" customWidth="1"/>
    <col min="9473" max="9473" width="12.83203125" style="267" customWidth="1"/>
    <col min="9474" max="9474" width="11" style="267" customWidth="1"/>
    <col min="9475" max="9475" width="11.5" style="267" customWidth="1"/>
    <col min="9476" max="9477" width="11.33203125" style="267" customWidth="1"/>
    <col min="9478" max="9478" width="13.5" style="267" customWidth="1"/>
    <col min="9479" max="9725" width="8.83203125" style="267"/>
    <col min="9726" max="9726" width="4.5" style="267" customWidth="1"/>
    <col min="9727" max="9727" width="12.5" style="267" customWidth="1"/>
    <col min="9728" max="9728" width="11.83203125" style="267" customWidth="1"/>
    <col min="9729" max="9729" width="12.83203125" style="267" customWidth="1"/>
    <col min="9730" max="9730" width="11" style="267" customWidth="1"/>
    <col min="9731" max="9731" width="11.5" style="267" customWidth="1"/>
    <col min="9732" max="9733" width="11.33203125" style="267" customWidth="1"/>
    <col min="9734" max="9734" width="13.5" style="267" customWidth="1"/>
    <col min="9735" max="9981" width="8.83203125" style="267"/>
    <col min="9982" max="9982" width="4.5" style="267" customWidth="1"/>
    <col min="9983" max="9983" width="12.5" style="267" customWidth="1"/>
    <col min="9984" max="9984" width="11.83203125" style="267" customWidth="1"/>
    <col min="9985" max="9985" width="12.83203125" style="267" customWidth="1"/>
    <col min="9986" max="9986" width="11" style="267" customWidth="1"/>
    <col min="9987" max="9987" width="11.5" style="267" customWidth="1"/>
    <col min="9988" max="9989" width="11.33203125" style="267" customWidth="1"/>
    <col min="9990" max="9990" width="13.5" style="267" customWidth="1"/>
    <col min="9991" max="10237" width="8.83203125" style="267"/>
    <col min="10238" max="10238" width="4.5" style="267" customWidth="1"/>
    <col min="10239" max="10239" width="12.5" style="267" customWidth="1"/>
    <col min="10240" max="10240" width="11.83203125" style="267" customWidth="1"/>
    <col min="10241" max="10241" width="12.83203125" style="267" customWidth="1"/>
    <col min="10242" max="10242" width="11" style="267" customWidth="1"/>
    <col min="10243" max="10243" width="11.5" style="267" customWidth="1"/>
    <col min="10244" max="10245" width="11.33203125" style="267" customWidth="1"/>
    <col min="10246" max="10246" width="13.5" style="267" customWidth="1"/>
    <col min="10247" max="10493" width="8.83203125" style="267"/>
    <col min="10494" max="10494" width="4.5" style="267" customWidth="1"/>
    <col min="10495" max="10495" width="12.5" style="267" customWidth="1"/>
    <col min="10496" max="10496" width="11.83203125" style="267" customWidth="1"/>
    <col min="10497" max="10497" width="12.83203125" style="267" customWidth="1"/>
    <col min="10498" max="10498" width="11" style="267" customWidth="1"/>
    <col min="10499" max="10499" width="11.5" style="267" customWidth="1"/>
    <col min="10500" max="10501" width="11.33203125" style="267" customWidth="1"/>
    <col min="10502" max="10502" width="13.5" style="267" customWidth="1"/>
    <col min="10503" max="10749" width="8.83203125" style="267"/>
    <col min="10750" max="10750" width="4.5" style="267" customWidth="1"/>
    <col min="10751" max="10751" width="12.5" style="267" customWidth="1"/>
    <col min="10752" max="10752" width="11.83203125" style="267" customWidth="1"/>
    <col min="10753" max="10753" width="12.83203125" style="267" customWidth="1"/>
    <col min="10754" max="10754" width="11" style="267" customWidth="1"/>
    <col min="10755" max="10755" width="11.5" style="267" customWidth="1"/>
    <col min="10756" max="10757" width="11.33203125" style="267" customWidth="1"/>
    <col min="10758" max="10758" width="13.5" style="267" customWidth="1"/>
    <col min="10759" max="11005" width="8.83203125" style="267"/>
    <col min="11006" max="11006" width="4.5" style="267" customWidth="1"/>
    <col min="11007" max="11007" width="12.5" style="267" customWidth="1"/>
    <col min="11008" max="11008" width="11.83203125" style="267" customWidth="1"/>
    <col min="11009" max="11009" width="12.83203125" style="267" customWidth="1"/>
    <col min="11010" max="11010" width="11" style="267" customWidth="1"/>
    <col min="11011" max="11011" width="11.5" style="267" customWidth="1"/>
    <col min="11012" max="11013" width="11.33203125" style="267" customWidth="1"/>
    <col min="11014" max="11014" width="13.5" style="267" customWidth="1"/>
    <col min="11015" max="11261" width="8.83203125" style="267"/>
    <col min="11262" max="11262" width="4.5" style="267" customWidth="1"/>
    <col min="11263" max="11263" width="12.5" style="267" customWidth="1"/>
    <col min="11264" max="11264" width="11.83203125" style="267" customWidth="1"/>
    <col min="11265" max="11265" width="12.83203125" style="267" customWidth="1"/>
    <col min="11266" max="11266" width="11" style="267" customWidth="1"/>
    <col min="11267" max="11267" width="11.5" style="267" customWidth="1"/>
    <col min="11268" max="11269" width="11.33203125" style="267" customWidth="1"/>
    <col min="11270" max="11270" width="13.5" style="267" customWidth="1"/>
    <col min="11271" max="11517" width="8.83203125" style="267"/>
    <col min="11518" max="11518" width="4.5" style="267" customWidth="1"/>
    <col min="11519" max="11519" width="12.5" style="267" customWidth="1"/>
    <col min="11520" max="11520" width="11.83203125" style="267" customWidth="1"/>
    <col min="11521" max="11521" width="12.83203125" style="267" customWidth="1"/>
    <col min="11522" max="11522" width="11" style="267" customWidth="1"/>
    <col min="11523" max="11523" width="11.5" style="267" customWidth="1"/>
    <col min="11524" max="11525" width="11.33203125" style="267" customWidth="1"/>
    <col min="11526" max="11526" width="13.5" style="267" customWidth="1"/>
    <col min="11527" max="11773" width="8.83203125" style="267"/>
    <col min="11774" max="11774" width="4.5" style="267" customWidth="1"/>
    <col min="11775" max="11775" width="12.5" style="267" customWidth="1"/>
    <col min="11776" max="11776" width="11.83203125" style="267" customWidth="1"/>
    <col min="11777" max="11777" width="12.83203125" style="267" customWidth="1"/>
    <col min="11778" max="11778" width="11" style="267" customWidth="1"/>
    <col min="11779" max="11779" width="11.5" style="267" customWidth="1"/>
    <col min="11780" max="11781" width="11.33203125" style="267" customWidth="1"/>
    <col min="11782" max="11782" width="13.5" style="267" customWidth="1"/>
    <col min="11783" max="12029" width="8.83203125" style="267"/>
    <col min="12030" max="12030" width="4.5" style="267" customWidth="1"/>
    <col min="12031" max="12031" width="12.5" style="267" customWidth="1"/>
    <col min="12032" max="12032" width="11.83203125" style="267" customWidth="1"/>
    <col min="12033" max="12033" width="12.83203125" style="267" customWidth="1"/>
    <col min="12034" max="12034" width="11" style="267" customWidth="1"/>
    <col min="12035" max="12035" width="11.5" style="267" customWidth="1"/>
    <col min="12036" max="12037" width="11.33203125" style="267" customWidth="1"/>
    <col min="12038" max="12038" width="13.5" style="267" customWidth="1"/>
    <col min="12039" max="12285" width="8.83203125" style="267"/>
    <col min="12286" max="12286" width="4.5" style="267" customWidth="1"/>
    <col min="12287" max="12287" width="12.5" style="267" customWidth="1"/>
    <col min="12288" max="12288" width="11.83203125" style="267" customWidth="1"/>
    <col min="12289" max="12289" width="12.83203125" style="267" customWidth="1"/>
    <col min="12290" max="12290" width="11" style="267" customWidth="1"/>
    <col min="12291" max="12291" width="11.5" style="267" customWidth="1"/>
    <col min="12292" max="12293" width="11.33203125" style="267" customWidth="1"/>
    <col min="12294" max="12294" width="13.5" style="267" customWidth="1"/>
    <col min="12295" max="12541" width="8.83203125" style="267"/>
    <col min="12542" max="12542" width="4.5" style="267" customWidth="1"/>
    <col min="12543" max="12543" width="12.5" style="267" customWidth="1"/>
    <col min="12544" max="12544" width="11.83203125" style="267" customWidth="1"/>
    <col min="12545" max="12545" width="12.83203125" style="267" customWidth="1"/>
    <col min="12546" max="12546" width="11" style="267" customWidth="1"/>
    <col min="12547" max="12547" width="11.5" style="267" customWidth="1"/>
    <col min="12548" max="12549" width="11.33203125" style="267" customWidth="1"/>
    <col min="12550" max="12550" width="13.5" style="267" customWidth="1"/>
    <col min="12551" max="12797" width="8.83203125" style="267"/>
    <col min="12798" max="12798" width="4.5" style="267" customWidth="1"/>
    <col min="12799" max="12799" width="12.5" style="267" customWidth="1"/>
    <col min="12800" max="12800" width="11.83203125" style="267" customWidth="1"/>
    <col min="12801" max="12801" width="12.83203125" style="267" customWidth="1"/>
    <col min="12802" max="12802" width="11" style="267" customWidth="1"/>
    <col min="12803" max="12803" width="11.5" style="267" customWidth="1"/>
    <col min="12804" max="12805" width="11.33203125" style="267" customWidth="1"/>
    <col min="12806" max="12806" width="13.5" style="267" customWidth="1"/>
    <col min="12807" max="13053" width="8.83203125" style="267"/>
    <col min="13054" max="13054" width="4.5" style="267" customWidth="1"/>
    <col min="13055" max="13055" width="12.5" style="267" customWidth="1"/>
    <col min="13056" max="13056" width="11.83203125" style="267" customWidth="1"/>
    <col min="13057" max="13057" width="12.83203125" style="267" customWidth="1"/>
    <col min="13058" max="13058" width="11" style="267" customWidth="1"/>
    <col min="13059" max="13059" width="11.5" style="267" customWidth="1"/>
    <col min="13060" max="13061" width="11.33203125" style="267" customWidth="1"/>
    <col min="13062" max="13062" width="13.5" style="267" customWidth="1"/>
    <col min="13063" max="13309" width="8.83203125" style="267"/>
    <col min="13310" max="13310" width="4.5" style="267" customWidth="1"/>
    <col min="13311" max="13311" width="12.5" style="267" customWidth="1"/>
    <col min="13312" max="13312" width="11.83203125" style="267" customWidth="1"/>
    <col min="13313" max="13313" width="12.83203125" style="267" customWidth="1"/>
    <col min="13314" max="13314" width="11" style="267" customWidth="1"/>
    <col min="13315" max="13315" width="11.5" style="267" customWidth="1"/>
    <col min="13316" max="13317" width="11.33203125" style="267" customWidth="1"/>
    <col min="13318" max="13318" width="13.5" style="267" customWidth="1"/>
    <col min="13319" max="13565" width="8.83203125" style="267"/>
    <col min="13566" max="13566" width="4.5" style="267" customWidth="1"/>
    <col min="13567" max="13567" width="12.5" style="267" customWidth="1"/>
    <col min="13568" max="13568" width="11.83203125" style="267" customWidth="1"/>
    <col min="13569" max="13569" width="12.83203125" style="267" customWidth="1"/>
    <col min="13570" max="13570" width="11" style="267" customWidth="1"/>
    <col min="13571" max="13571" width="11.5" style="267" customWidth="1"/>
    <col min="13572" max="13573" width="11.33203125" style="267" customWidth="1"/>
    <col min="13574" max="13574" width="13.5" style="267" customWidth="1"/>
    <col min="13575" max="13821" width="8.83203125" style="267"/>
    <col min="13822" max="13822" width="4.5" style="267" customWidth="1"/>
    <col min="13823" max="13823" width="12.5" style="267" customWidth="1"/>
    <col min="13824" max="13824" width="11.83203125" style="267" customWidth="1"/>
    <col min="13825" max="13825" width="12.83203125" style="267" customWidth="1"/>
    <col min="13826" max="13826" width="11" style="267" customWidth="1"/>
    <col min="13827" max="13827" width="11.5" style="267" customWidth="1"/>
    <col min="13828" max="13829" width="11.33203125" style="267" customWidth="1"/>
    <col min="13830" max="13830" width="13.5" style="267" customWidth="1"/>
    <col min="13831" max="14077" width="8.83203125" style="267"/>
    <col min="14078" max="14078" width="4.5" style="267" customWidth="1"/>
    <col min="14079" max="14079" width="12.5" style="267" customWidth="1"/>
    <col min="14080" max="14080" width="11.83203125" style="267" customWidth="1"/>
    <col min="14081" max="14081" width="12.83203125" style="267" customWidth="1"/>
    <col min="14082" max="14082" width="11" style="267" customWidth="1"/>
    <col min="14083" max="14083" width="11.5" style="267" customWidth="1"/>
    <col min="14084" max="14085" width="11.33203125" style="267" customWidth="1"/>
    <col min="14086" max="14086" width="13.5" style="267" customWidth="1"/>
    <col min="14087" max="14333" width="8.83203125" style="267"/>
    <col min="14334" max="14334" width="4.5" style="267" customWidth="1"/>
    <col min="14335" max="14335" width="12.5" style="267" customWidth="1"/>
    <col min="14336" max="14336" width="11.83203125" style="267" customWidth="1"/>
    <col min="14337" max="14337" width="12.83203125" style="267" customWidth="1"/>
    <col min="14338" max="14338" width="11" style="267" customWidth="1"/>
    <col min="14339" max="14339" width="11.5" style="267" customWidth="1"/>
    <col min="14340" max="14341" width="11.33203125" style="267" customWidth="1"/>
    <col min="14342" max="14342" width="13.5" style="267" customWidth="1"/>
    <col min="14343" max="14589" width="8.83203125" style="267"/>
    <col min="14590" max="14590" width="4.5" style="267" customWidth="1"/>
    <col min="14591" max="14591" width="12.5" style="267" customWidth="1"/>
    <col min="14592" max="14592" width="11.83203125" style="267" customWidth="1"/>
    <col min="14593" max="14593" width="12.83203125" style="267" customWidth="1"/>
    <col min="14594" max="14594" width="11" style="267" customWidth="1"/>
    <col min="14595" max="14595" width="11.5" style="267" customWidth="1"/>
    <col min="14596" max="14597" width="11.33203125" style="267" customWidth="1"/>
    <col min="14598" max="14598" width="13.5" style="267" customWidth="1"/>
    <col min="14599" max="14845" width="8.83203125" style="267"/>
    <col min="14846" max="14846" width="4.5" style="267" customWidth="1"/>
    <col min="14847" max="14847" width="12.5" style="267" customWidth="1"/>
    <col min="14848" max="14848" width="11.83203125" style="267" customWidth="1"/>
    <col min="14849" max="14849" width="12.83203125" style="267" customWidth="1"/>
    <col min="14850" max="14850" width="11" style="267" customWidth="1"/>
    <col min="14851" max="14851" width="11.5" style="267" customWidth="1"/>
    <col min="14852" max="14853" width="11.33203125" style="267" customWidth="1"/>
    <col min="14854" max="14854" width="13.5" style="267" customWidth="1"/>
    <col min="14855" max="15101" width="8.83203125" style="267"/>
    <col min="15102" max="15102" width="4.5" style="267" customWidth="1"/>
    <col min="15103" max="15103" width="12.5" style="267" customWidth="1"/>
    <col min="15104" max="15104" width="11.83203125" style="267" customWidth="1"/>
    <col min="15105" max="15105" width="12.83203125" style="267" customWidth="1"/>
    <col min="15106" max="15106" width="11" style="267" customWidth="1"/>
    <col min="15107" max="15107" width="11.5" style="267" customWidth="1"/>
    <col min="15108" max="15109" width="11.33203125" style="267" customWidth="1"/>
    <col min="15110" max="15110" width="13.5" style="267" customWidth="1"/>
    <col min="15111" max="15357" width="8.83203125" style="267"/>
    <col min="15358" max="15358" width="4.5" style="267" customWidth="1"/>
    <col min="15359" max="15359" width="12.5" style="267" customWidth="1"/>
    <col min="15360" max="15360" width="11.83203125" style="267" customWidth="1"/>
    <col min="15361" max="15361" width="12.83203125" style="267" customWidth="1"/>
    <col min="15362" max="15362" width="11" style="267" customWidth="1"/>
    <col min="15363" max="15363" width="11.5" style="267" customWidth="1"/>
    <col min="15364" max="15365" width="11.33203125" style="267" customWidth="1"/>
    <col min="15366" max="15366" width="13.5" style="267" customWidth="1"/>
    <col min="15367" max="15613" width="8.83203125" style="267"/>
    <col min="15614" max="15614" width="4.5" style="267" customWidth="1"/>
    <col min="15615" max="15615" width="12.5" style="267" customWidth="1"/>
    <col min="15616" max="15616" width="11.83203125" style="267" customWidth="1"/>
    <col min="15617" max="15617" width="12.83203125" style="267" customWidth="1"/>
    <col min="15618" max="15618" width="11" style="267" customWidth="1"/>
    <col min="15619" max="15619" width="11.5" style="267" customWidth="1"/>
    <col min="15620" max="15621" width="11.33203125" style="267" customWidth="1"/>
    <col min="15622" max="15622" width="13.5" style="267" customWidth="1"/>
    <col min="15623" max="15869" width="8.83203125" style="267"/>
    <col min="15870" max="15870" width="4.5" style="267" customWidth="1"/>
    <col min="15871" max="15871" width="12.5" style="267" customWidth="1"/>
    <col min="15872" max="15872" width="11.83203125" style="267" customWidth="1"/>
    <col min="15873" max="15873" width="12.83203125" style="267" customWidth="1"/>
    <col min="15874" max="15874" width="11" style="267" customWidth="1"/>
    <col min="15875" max="15875" width="11.5" style="267" customWidth="1"/>
    <col min="15876" max="15877" width="11.33203125" style="267" customWidth="1"/>
    <col min="15878" max="15878" width="13.5" style="267" customWidth="1"/>
    <col min="15879" max="16125" width="8.83203125" style="267"/>
    <col min="16126" max="16126" width="4.5" style="267" customWidth="1"/>
    <col min="16127" max="16127" width="12.5" style="267" customWidth="1"/>
    <col min="16128" max="16128" width="11.83203125" style="267" customWidth="1"/>
    <col min="16129" max="16129" width="12.83203125" style="267" customWidth="1"/>
    <col min="16130" max="16130" width="11" style="267" customWidth="1"/>
    <col min="16131" max="16131" width="11.5" style="267" customWidth="1"/>
    <col min="16132" max="16133" width="11.33203125" style="267" customWidth="1"/>
    <col min="16134" max="16134" width="13.5" style="267" customWidth="1"/>
    <col min="16135" max="16384" width="8.83203125" style="267"/>
  </cols>
  <sheetData>
    <row r="1" spans="1:16" ht="33" customHeight="1">
      <c r="A1" s="739" t="s">
        <v>104</v>
      </c>
      <c r="B1" s="740"/>
      <c r="C1" s="740"/>
      <c r="D1" s="740"/>
      <c r="E1" s="740"/>
      <c r="F1" s="740"/>
      <c r="G1" s="740"/>
      <c r="H1" s="740"/>
    </row>
    <row r="2" spans="1:16" ht="22" customHeight="1">
      <c r="A2" s="268" t="str">
        <f>'Amortization-HIDDEN-Q'!A2</f>
        <v>4.2.9.c</v>
      </c>
      <c r="B2" s="268" t="str">
        <f>'Amortization-HIDDEN-Q'!B2</f>
        <v>02112025</v>
      </c>
      <c r="C2" s="268"/>
      <c r="D2" s="268"/>
      <c r="E2" s="268"/>
      <c r="F2" s="268"/>
      <c r="G2" s="268"/>
      <c r="H2" s="268"/>
    </row>
    <row r="3" spans="1:16" ht="19.5" customHeight="1" thickBot="1">
      <c r="A3" s="269"/>
      <c r="B3" s="269"/>
      <c r="C3" s="269"/>
      <c r="D3" s="270" t="s">
        <v>92</v>
      </c>
      <c r="E3" s="270"/>
      <c r="F3" s="269"/>
      <c r="G3" s="269"/>
      <c r="H3" s="266"/>
      <c r="I3" s="271"/>
      <c r="J3" s="271"/>
      <c r="L3" s="271"/>
    </row>
    <row r="4" spans="1:16">
      <c r="A4" s="738" t="s">
        <v>93</v>
      </c>
      <c r="B4" s="738"/>
      <c r="C4" s="738"/>
      <c r="D4" s="272">
        <f>'Summary Schedule'!G26+'Summary Schedule'!G27+'Summary Schedule'!G28-'Summary Schedule'!G29</f>
        <v>0</v>
      </c>
      <c r="E4" s="269" t="s">
        <v>102</v>
      </c>
      <c r="F4" s="267"/>
      <c r="G4" s="267"/>
      <c r="H4" s="267"/>
      <c r="I4" s="267"/>
      <c r="L4" s="271"/>
    </row>
    <row r="5" spans="1:16">
      <c r="A5" s="738" t="s">
        <v>117</v>
      </c>
      <c r="B5" s="738"/>
      <c r="C5" s="738"/>
      <c r="D5" s="273">
        <f>'Summary Schedule'!C30/12</f>
        <v>0</v>
      </c>
      <c r="E5" s="269" t="s">
        <v>102</v>
      </c>
      <c r="F5" s="267"/>
      <c r="G5" s="267"/>
      <c r="H5" s="274"/>
      <c r="I5" s="267"/>
      <c r="L5" s="271"/>
    </row>
    <row r="6" spans="1:16">
      <c r="A6" s="738" t="s">
        <v>118</v>
      </c>
      <c r="B6" s="738"/>
      <c r="C6" s="738"/>
      <c r="D6" s="275">
        <v>480</v>
      </c>
      <c r="E6" s="269" t="s">
        <v>108</v>
      </c>
      <c r="F6" s="267"/>
      <c r="G6" s="276"/>
      <c r="H6" s="267"/>
      <c r="I6" s="277"/>
      <c r="L6" s="271"/>
    </row>
    <row r="7" spans="1:16" ht="13" thickBot="1">
      <c r="A7" s="738" t="s">
        <v>94</v>
      </c>
      <c r="B7" s="738"/>
      <c r="C7" s="738"/>
      <c r="D7" s="278">
        <f>IF('Summary Schedule'!G32="",1/1/1,'Summary Schedule'!G32)</f>
        <v>1</v>
      </c>
      <c r="E7" s="269" t="s">
        <v>102</v>
      </c>
      <c r="F7" s="267"/>
      <c r="G7" s="267"/>
      <c r="H7" s="267"/>
      <c r="I7" s="267"/>
      <c r="L7" s="271"/>
    </row>
    <row r="8" spans="1:16">
      <c r="A8" s="279"/>
      <c r="B8" s="279"/>
      <c r="C8" s="279"/>
      <c r="D8" s="280"/>
      <c r="E8" s="279"/>
      <c r="F8" s="267"/>
      <c r="G8" s="267"/>
      <c r="H8" s="267"/>
      <c r="I8" s="267"/>
      <c r="L8" s="271"/>
    </row>
    <row r="9" spans="1:16" ht="14.25" customHeight="1" thickBot="1">
      <c r="A9" s="269"/>
      <c r="B9" s="269"/>
      <c r="C9" s="269"/>
      <c r="D9" s="269"/>
      <c r="E9" s="269"/>
      <c r="F9" s="267"/>
      <c r="G9" s="267"/>
      <c r="H9" s="267"/>
      <c r="I9" s="267"/>
      <c r="L9" s="271"/>
      <c r="M9" s="274"/>
    </row>
    <row r="10" spans="1:16" ht="14.25" customHeight="1" thickBot="1">
      <c r="A10" s="738" t="s">
        <v>358</v>
      </c>
      <c r="B10" s="738"/>
      <c r="C10" s="738"/>
      <c r="D10" s="302">
        <f>IF('Summary Schedule'!C36="Beginning",1,0)</f>
        <v>0</v>
      </c>
      <c r="E10" s="269" t="s">
        <v>103</v>
      </c>
      <c r="F10" s="267"/>
      <c r="G10" s="267"/>
      <c r="H10" s="267"/>
      <c r="I10" s="267"/>
      <c r="L10" s="271"/>
    </row>
    <row r="11" spans="1:16" ht="14.25" customHeight="1">
      <c r="A11" s="738" t="s">
        <v>127</v>
      </c>
      <c r="B11" s="738"/>
      <c r="C11" s="738"/>
      <c r="D11" s="275">
        <f ca="1">M15</f>
        <v>0</v>
      </c>
      <c r="E11" s="269"/>
      <c r="F11" s="267"/>
      <c r="G11" s="282"/>
      <c r="H11" s="267"/>
      <c r="I11" s="267"/>
    </row>
    <row r="12" spans="1:16">
      <c r="A12" s="738" t="s">
        <v>125</v>
      </c>
      <c r="B12" s="738"/>
      <c r="C12" s="738"/>
      <c r="D12" s="283"/>
      <c r="E12" s="284"/>
      <c r="F12" s="83"/>
      <c r="G12" s="83"/>
      <c r="H12" s="267"/>
      <c r="I12" s="267"/>
    </row>
    <row r="13" spans="1:16">
      <c r="A13" s="738" t="s">
        <v>95</v>
      </c>
      <c r="B13" s="738"/>
      <c r="C13" s="738"/>
      <c r="D13" s="285"/>
      <c r="E13" s="284"/>
      <c r="F13" s="267"/>
      <c r="G13" s="267"/>
      <c r="H13" s="267"/>
      <c r="I13" s="267"/>
    </row>
    <row r="14" spans="1:16" ht="14.25" customHeight="1" thickBot="1">
      <c r="A14" s="738" t="s">
        <v>128</v>
      </c>
      <c r="B14" s="738"/>
      <c r="C14" s="738"/>
      <c r="D14" s="286"/>
      <c r="E14" s="269"/>
      <c r="F14" s="287"/>
      <c r="G14" s="287"/>
      <c r="H14" s="287"/>
      <c r="I14" s="267"/>
    </row>
    <row r="15" spans="1:16" ht="15.75" customHeight="1">
      <c r="A15" s="738"/>
      <c r="B15" s="738"/>
      <c r="C15" s="738"/>
      <c r="D15" s="288" t="s">
        <v>122</v>
      </c>
      <c r="E15" s="280"/>
      <c r="F15" s="267"/>
      <c r="G15" s="267"/>
      <c r="H15" s="287"/>
      <c r="I15" s="267"/>
      <c r="M15" s="267">
        <f ca="1">COUNTIF(M17:M56,"&gt;0")</f>
        <v>0</v>
      </c>
    </row>
    <row r="16" spans="1:16" s="294" customFormat="1" ht="28.5" customHeight="1">
      <c r="A16" s="289" t="s">
        <v>96</v>
      </c>
      <c r="B16" s="289" t="s">
        <v>97</v>
      </c>
      <c r="C16" s="289" t="s">
        <v>98</v>
      </c>
      <c r="D16" s="290"/>
      <c r="E16" s="289" t="s">
        <v>126</v>
      </c>
      <c r="F16" s="289" t="s">
        <v>99</v>
      </c>
      <c r="G16" s="289" t="s">
        <v>100</v>
      </c>
      <c r="H16" s="289" t="s">
        <v>101</v>
      </c>
      <c r="I16" s="291"/>
      <c r="J16" s="292" t="s">
        <v>115</v>
      </c>
      <c r="K16" s="292" t="s">
        <v>114</v>
      </c>
      <c r="L16" s="292" t="s">
        <v>124</v>
      </c>
      <c r="M16" s="292" t="s">
        <v>116</v>
      </c>
      <c r="N16" s="292" t="str">
        <f>F16</f>
        <v>Principal</v>
      </c>
      <c r="O16" s="292" t="str">
        <f>G16</f>
        <v>Interest</v>
      </c>
      <c r="P16" s="293"/>
    </row>
    <row r="17" spans="1:22">
      <c r="A17" s="295">
        <v>0</v>
      </c>
      <c r="B17" s="295"/>
      <c r="C17" s="296"/>
      <c r="D17" s="296">
        <f>IF(H17&lt;=0,0,0.5*(K17-L17))</f>
        <v>0</v>
      </c>
      <c r="E17" s="296"/>
      <c r="F17" s="296"/>
      <c r="G17" s="296"/>
      <c r="H17" s="296">
        <f>D4</f>
        <v>0</v>
      </c>
      <c r="I17" s="297">
        <f>ROUND((D17-H17),0)</f>
        <v>0</v>
      </c>
      <c r="J17" s="298">
        <v>1</v>
      </c>
      <c r="K17" s="299" cm="1">
        <f t="array" aca="1" ref="K17" ca="1">'Itemized Costs-HIDDEN'!N5-INDIRECT("'Sch3-Perf Period Cash Flow'!D"&amp;7&amp;"")</f>
        <v>-1</v>
      </c>
      <c r="L17" s="424" cm="1">
        <f t="array" ref="L17:L56">TRANSPOSE('Sch3-Perf Period Cash Flow'!D21:AQ21)</f>
        <v>0</v>
      </c>
      <c r="M17" s="299">
        <f ca="1">N17+O17</f>
        <v>0</v>
      </c>
      <c r="N17" s="299">
        <f ca="1">ROUND(SUM(INDIRECT(S17):INDIRECT(T17)),0)</f>
        <v>0</v>
      </c>
      <c r="O17" s="299">
        <f ca="1">IF(N17=0,0,ROUND(SUM(INDIRECT(U17):INDIRECT(V17)),0))</f>
        <v>0</v>
      </c>
      <c r="P17" s="461" t="str">
        <f ca="1">IF(N17&gt;0.005,J17,"")</f>
        <v/>
      </c>
      <c r="Q17" s="267">
        <v>18</v>
      </c>
      <c r="R17" s="267">
        <f t="shared" ref="R17:R34" si="0">Q17+11</f>
        <v>29</v>
      </c>
      <c r="S17" s="267" t="str">
        <f>CONCATENATE("f",Q17)</f>
        <v>f18</v>
      </c>
      <c r="T17" s="267" t="str">
        <f>CONCATENATE("f",R17)</f>
        <v>f29</v>
      </c>
      <c r="U17" s="267" t="str">
        <f t="shared" ref="U17:V32" si="1">CONCATENATE("G",Q17)</f>
        <v>G18</v>
      </c>
      <c r="V17" s="267" t="str">
        <f t="shared" si="1"/>
        <v>G29</v>
      </c>
    </row>
    <row r="18" spans="1:22">
      <c r="A18" s="295">
        <f>IF(A17="","",IF(A17=$D$6,"",A17+1))</f>
        <v>1</v>
      </c>
      <c r="B18" s="300">
        <f>D7</f>
        <v>1</v>
      </c>
      <c r="C18" s="296">
        <f>IF(H17=0,0,H17)</f>
        <v>0</v>
      </c>
      <c r="D18" s="295"/>
      <c r="E18" s="296">
        <f>IF($D$10=1,IF(OR(MONTH(B18)=MONTH(EDATE($D$7,0)),MONTH(B18)=MONTH(EDATE($D$7,6))),(MIN($D$17,H17)),0),IF($D$10=0,IF(OR(MONTH(B18)=MONTH(EDATE($D$7,5)),MONTH(B18)=MONTH(EDATE($D$7,11))),(MIN($D$17,H17)),0)))</f>
        <v>0</v>
      </c>
      <c r="F18" s="296">
        <f t="shared" ref="F18:F28" si="2">IF(E18="","",E18-G18)</f>
        <v>0</v>
      </c>
      <c r="G18" s="296">
        <f>ROUND((C18-E18)*$D$5,3)</f>
        <v>0</v>
      </c>
      <c r="H18" s="296">
        <f>IF(E18="","",ROUND(H17-F18,4))</f>
        <v>0</v>
      </c>
      <c r="I18" s="297">
        <f t="shared" ref="I18:I81" si="3">ROUND((D18-H18),0)</f>
        <v>0</v>
      </c>
      <c r="J18" s="298">
        <v>2</v>
      </c>
      <c r="K18" s="299" cm="1">
        <f t="array" aca="1" ref="K18" ca="1">'Itemized Costs-HIDDEN'!N6-INDIRECT("'Sch3-Perf Period Cash Flow'!D"&amp;7&amp;"")</f>
        <v>-1</v>
      </c>
      <c r="L18" s="425">
        <v>0</v>
      </c>
      <c r="M18" s="299">
        <f t="shared" ref="M18:M40" ca="1" si="4">N18+O18</f>
        <v>-1</v>
      </c>
      <c r="N18" s="299">
        <f ca="1">ROUND(SUM(INDIRECT(S18):INDIRECT(T18)),0)</f>
        <v>-1</v>
      </c>
      <c r="O18" s="299">
        <f ca="1">IF(N18=0,0,ROUND(SUM(INDIRECT(U18):INDIRECT(V18)),0))</f>
        <v>0</v>
      </c>
      <c r="P18" s="461" t="str">
        <f t="shared" ref="P18:P56" ca="1" si="5">IF(N18&gt;0.005,J18,"")</f>
        <v/>
      </c>
      <c r="Q18" s="267">
        <f>Q17+12</f>
        <v>30</v>
      </c>
      <c r="R18" s="267">
        <f t="shared" si="0"/>
        <v>41</v>
      </c>
      <c r="S18" s="267" t="str">
        <f t="shared" ref="S18:T56" si="6">CONCATENATE("f",Q18)</f>
        <v>f30</v>
      </c>
      <c r="T18" s="267" t="str">
        <f t="shared" si="6"/>
        <v>f41</v>
      </c>
      <c r="U18" s="267" t="str">
        <f t="shared" si="1"/>
        <v>G30</v>
      </c>
      <c r="V18" s="267" t="str">
        <f t="shared" si="1"/>
        <v>G41</v>
      </c>
    </row>
    <row r="19" spans="1:22">
      <c r="A19" s="295">
        <f t="shared" ref="A19:A82" si="7">IF(A18="","",IF(A18=$D$6,"",A18+1))</f>
        <v>2</v>
      </c>
      <c r="B19" s="300">
        <f>DATE(YEAR(B18),MONTH(B18)+1,1)</f>
        <v>32</v>
      </c>
      <c r="C19" s="296">
        <f t="shared" ref="C19:C82" si="8">IF(H18=0,0,H18)</f>
        <v>0</v>
      </c>
      <c r="D19" s="295"/>
      <c r="E19" s="296">
        <f t="shared" ref="E19:E29" si="9">IF($D$10=1,IF(OR(MONTH(B19)=MONTH(EDATE($D$7,0)),MONTH(B19)=MONTH(EDATE($D$7,6))),(MIN($D$17,H18)),0),IF($D$10=0,IF(OR(MONTH(B19)=MONTH(EDATE($D$7,5)),MONTH(B19)=MONTH(EDATE($D$7,11))),(MIN($D$17,H18)),0)))</f>
        <v>0</v>
      </c>
      <c r="F19" s="296">
        <f t="shared" si="2"/>
        <v>0</v>
      </c>
      <c r="G19" s="296">
        <f t="shared" ref="G19:G28" si="10">ROUND((C19-E19)*$D$5,3)</f>
        <v>0</v>
      </c>
      <c r="H19" s="296">
        <f t="shared" ref="H19:H27" si="11">IF(E19="","",ROUND(H18-F19,4))</f>
        <v>0</v>
      </c>
      <c r="I19" s="297">
        <f t="shared" si="3"/>
        <v>0</v>
      </c>
      <c r="J19" s="298">
        <v>3</v>
      </c>
      <c r="K19" s="299" cm="1">
        <f t="array" aca="1" ref="K19" ca="1">'Itemized Costs-HIDDEN'!N7-INDIRECT("'Sch3-Perf Period Cash Flow'!D"&amp;7&amp;"")</f>
        <v>-1</v>
      </c>
      <c r="L19" s="425">
        <v>0</v>
      </c>
      <c r="M19" s="299">
        <f t="shared" ca="1" si="4"/>
        <v>-1</v>
      </c>
      <c r="N19" s="299">
        <f ca="1">ROUND(SUM(INDIRECT(S19):INDIRECT(T19)),0)</f>
        <v>-1</v>
      </c>
      <c r="O19" s="299">
        <f ca="1">IF(N19=0,0,ROUND(SUM(INDIRECT(U19):INDIRECT(V19)),0))</f>
        <v>0</v>
      </c>
      <c r="P19" s="461" t="str">
        <f t="shared" ca="1" si="5"/>
        <v/>
      </c>
      <c r="Q19" s="267">
        <f t="shared" ref="Q19:Q56" si="12">Q18+12</f>
        <v>42</v>
      </c>
      <c r="R19" s="267">
        <f t="shared" si="0"/>
        <v>53</v>
      </c>
      <c r="S19" s="267" t="str">
        <f t="shared" si="6"/>
        <v>f42</v>
      </c>
      <c r="T19" s="267" t="str">
        <f t="shared" si="6"/>
        <v>f53</v>
      </c>
      <c r="U19" s="267" t="str">
        <f t="shared" si="1"/>
        <v>G42</v>
      </c>
      <c r="V19" s="267" t="str">
        <f t="shared" si="1"/>
        <v>G53</v>
      </c>
    </row>
    <row r="20" spans="1:22">
      <c r="A20" s="295">
        <f t="shared" si="7"/>
        <v>3</v>
      </c>
      <c r="B20" s="300">
        <f t="shared" ref="B20:B83" si="13">DATE(YEAR(B19),MONTH(B19)+1,1)</f>
        <v>61</v>
      </c>
      <c r="C20" s="296">
        <f t="shared" si="8"/>
        <v>0</v>
      </c>
      <c r="D20" s="295"/>
      <c r="E20" s="296">
        <f t="shared" si="9"/>
        <v>0</v>
      </c>
      <c r="F20" s="296">
        <f t="shared" si="2"/>
        <v>0</v>
      </c>
      <c r="G20" s="296">
        <f t="shared" si="10"/>
        <v>0</v>
      </c>
      <c r="H20" s="296">
        <f t="shared" si="11"/>
        <v>0</v>
      </c>
      <c r="I20" s="297">
        <f t="shared" si="3"/>
        <v>0</v>
      </c>
      <c r="J20" s="298">
        <v>4</v>
      </c>
      <c r="K20" s="299" cm="1">
        <f t="array" aca="1" ref="K20" ca="1">'Itemized Costs-HIDDEN'!N8-INDIRECT("'Sch3-Perf Period Cash Flow'!D"&amp;7&amp;"")</f>
        <v>-1</v>
      </c>
      <c r="L20" s="425">
        <v>0</v>
      </c>
      <c r="M20" s="299">
        <f t="shared" ca="1" si="4"/>
        <v>-1</v>
      </c>
      <c r="N20" s="299">
        <f ca="1">ROUND(SUM(INDIRECT(S20):INDIRECT(T20)),0)</f>
        <v>-1</v>
      </c>
      <c r="O20" s="299">
        <f ca="1">IF(N20=0,0,ROUND(SUM(INDIRECT(U20):INDIRECT(V20)),0))</f>
        <v>0</v>
      </c>
      <c r="P20" s="461" t="str">
        <f t="shared" ca="1" si="5"/>
        <v/>
      </c>
      <c r="Q20" s="267">
        <f t="shared" si="12"/>
        <v>54</v>
      </c>
      <c r="R20" s="267">
        <f t="shared" si="0"/>
        <v>65</v>
      </c>
      <c r="S20" s="267" t="str">
        <f t="shared" si="6"/>
        <v>f54</v>
      </c>
      <c r="T20" s="267" t="str">
        <f t="shared" si="6"/>
        <v>f65</v>
      </c>
      <c r="U20" s="267" t="str">
        <f t="shared" si="1"/>
        <v>G54</v>
      </c>
      <c r="V20" s="267" t="str">
        <f t="shared" si="1"/>
        <v>G65</v>
      </c>
    </row>
    <row r="21" spans="1:22">
      <c r="A21" s="295">
        <f t="shared" si="7"/>
        <v>4</v>
      </c>
      <c r="B21" s="300">
        <f t="shared" si="13"/>
        <v>92</v>
      </c>
      <c r="C21" s="296">
        <f t="shared" si="8"/>
        <v>0</v>
      </c>
      <c r="D21" s="295"/>
      <c r="E21" s="296">
        <f t="shared" si="9"/>
        <v>0</v>
      </c>
      <c r="F21" s="296">
        <f t="shared" si="2"/>
        <v>0</v>
      </c>
      <c r="G21" s="296">
        <f t="shared" si="10"/>
        <v>0</v>
      </c>
      <c r="H21" s="296">
        <f t="shared" si="11"/>
        <v>0</v>
      </c>
      <c r="I21" s="297">
        <f t="shared" si="3"/>
        <v>0</v>
      </c>
      <c r="J21" s="298">
        <v>5</v>
      </c>
      <c r="K21" s="299" cm="1">
        <f t="array" aca="1" ref="K21" ca="1">'Itemized Costs-HIDDEN'!N9-INDIRECT("'Sch3-Perf Period Cash Flow'!D"&amp;7&amp;"")</f>
        <v>-1</v>
      </c>
      <c r="L21" s="425">
        <v>0</v>
      </c>
      <c r="M21" s="299">
        <f t="shared" ca="1" si="4"/>
        <v>-1</v>
      </c>
      <c r="N21" s="299">
        <f ca="1">ROUND(SUM(INDIRECT(S21):INDIRECT(T21)),0)</f>
        <v>-1</v>
      </c>
      <c r="O21" s="299">
        <f ca="1">IF(N21=0,0,ROUND(SUM(INDIRECT(U21):INDIRECT(V21)),0))</f>
        <v>0</v>
      </c>
      <c r="P21" s="461" t="str">
        <f t="shared" ca="1" si="5"/>
        <v/>
      </c>
      <c r="Q21" s="267">
        <f t="shared" si="12"/>
        <v>66</v>
      </c>
      <c r="R21" s="267">
        <f t="shared" si="0"/>
        <v>77</v>
      </c>
      <c r="S21" s="267" t="str">
        <f t="shared" si="6"/>
        <v>f66</v>
      </c>
      <c r="T21" s="267" t="str">
        <f t="shared" si="6"/>
        <v>f77</v>
      </c>
      <c r="U21" s="267" t="str">
        <f t="shared" si="1"/>
        <v>G66</v>
      </c>
      <c r="V21" s="267" t="str">
        <f t="shared" si="1"/>
        <v>G77</v>
      </c>
    </row>
    <row r="22" spans="1:22">
      <c r="A22" s="295">
        <f t="shared" si="7"/>
        <v>5</v>
      </c>
      <c r="B22" s="300">
        <f t="shared" si="13"/>
        <v>122</v>
      </c>
      <c r="C22" s="296">
        <f t="shared" si="8"/>
        <v>0</v>
      </c>
      <c r="D22" s="295"/>
      <c r="E22" s="296">
        <f t="shared" si="9"/>
        <v>0</v>
      </c>
      <c r="F22" s="296">
        <f t="shared" si="2"/>
        <v>0</v>
      </c>
      <c r="G22" s="296">
        <f t="shared" si="10"/>
        <v>0</v>
      </c>
      <c r="H22" s="296">
        <f t="shared" si="11"/>
        <v>0</v>
      </c>
      <c r="I22" s="297">
        <f t="shared" si="3"/>
        <v>0</v>
      </c>
      <c r="J22" s="298">
        <v>6</v>
      </c>
      <c r="K22" s="299" cm="1">
        <f t="array" aca="1" ref="K22" ca="1">'Itemized Costs-HIDDEN'!N10-INDIRECT("'Sch3-Perf Period Cash Flow'!D"&amp;7&amp;"")</f>
        <v>-1</v>
      </c>
      <c r="L22" s="425">
        <v>0</v>
      </c>
      <c r="M22" s="299">
        <f t="shared" ca="1" si="4"/>
        <v>-1</v>
      </c>
      <c r="N22" s="299">
        <f ca="1">ROUND(SUM(INDIRECT(S22):INDIRECT(T22)),0)</f>
        <v>-1</v>
      </c>
      <c r="O22" s="299">
        <f ca="1">IF(N22=0,0,ROUND(SUM(INDIRECT(U22):INDIRECT(V22)),0))</f>
        <v>0</v>
      </c>
      <c r="P22" s="461" t="str">
        <f t="shared" ca="1" si="5"/>
        <v/>
      </c>
      <c r="Q22" s="267">
        <f t="shared" si="12"/>
        <v>78</v>
      </c>
      <c r="R22" s="267">
        <f t="shared" si="0"/>
        <v>89</v>
      </c>
      <c r="S22" s="267" t="str">
        <f t="shared" si="6"/>
        <v>f78</v>
      </c>
      <c r="T22" s="267" t="str">
        <f t="shared" si="6"/>
        <v>f89</v>
      </c>
      <c r="U22" s="267" t="str">
        <f t="shared" si="1"/>
        <v>G78</v>
      </c>
      <c r="V22" s="267" t="str">
        <f t="shared" si="1"/>
        <v>G89</v>
      </c>
    </row>
    <row r="23" spans="1:22">
      <c r="A23" s="295">
        <f t="shared" si="7"/>
        <v>6</v>
      </c>
      <c r="B23" s="300">
        <f t="shared" si="13"/>
        <v>153</v>
      </c>
      <c r="C23" s="296">
        <f t="shared" si="8"/>
        <v>0</v>
      </c>
      <c r="D23" s="295"/>
      <c r="E23" s="296">
        <f t="shared" si="9"/>
        <v>0</v>
      </c>
      <c r="F23" s="296">
        <f t="shared" si="2"/>
        <v>0</v>
      </c>
      <c r="G23" s="296">
        <f t="shared" si="10"/>
        <v>0</v>
      </c>
      <c r="H23" s="296">
        <f t="shared" si="11"/>
        <v>0</v>
      </c>
      <c r="I23" s="297">
        <f t="shared" si="3"/>
        <v>0</v>
      </c>
      <c r="J23" s="298">
        <v>7</v>
      </c>
      <c r="K23" s="299" cm="1">
        <f t="array" aca="1" ref="K23" ca="1">'Itemized Costs-HIDDEN'!N11-INDIRECT("'Sch3-Perf Period Cash Flow'!D"&amp;7&amp;"")</f>
        <v>-1</v>
      </c>
      <c r="L23" s="425">
        <v>0</v>
      </c>
      <c r="M23" s="299">
        <f t="shared" ca="1" si="4"/>
        <v>-1</v>
      </c>
      <c r="N23" s="299">
        <f ca="1">ROUND(SUM(INDIRECT(S23):INDIRECT(T23)),0)</f>
        <v>-1</v>
      </c>
      <c r="O23" s="299">
        <f ca="1">IF(N23=0,0,ROUND(SUM(INDIRECT(U23):INDIRECT(V23)),0))</f>
        <v>0</v>
      </c>
      <c r="P23" s="461" t="str">
        <f t="shared" ca="1" si="5"/>
        <v/>
      </c>
      <c r="Q23" s="267">
        <f t="shared" si="12"/>
        <v>90</v>
      </c>
      <c r="R23" s="267">
        <f t="shared" si="0"/>
        <v>101</v>
      </c>
      <c r="S23" s="267" t="str">
        <f t="shared" si="6"/>
        <v>f90</v>
      </c>
      <c r="T23" s="267" t="str">
        <f t="shared" si="6"/>
        <v>f101</v>
      </c>
      <c r="U23" s="267" t="str">
        <f t="shared" si="1"/>
        <v>G90</v>
      </c>
      <c r="V23" s="267" t="str">
        <f t="shared" si="1"/>
        <v>G101</v>
      </c>
    </row>
    <row r="24" spans="1:22">
      <c r="A24" s="295">
        <f t="shared" si="7"/>
        <v>7</v>
      </c>
      <c r="B24" s="300">
        <f t="shared" si="13"/>
        <v>183</v>
      </c>
      <c r="C24" s="296">
        <f t="shared" si="8"/>
        <v>0</v>
      </c>
      <c r="D24" s="295"/>
      <c r="E24" s="296">
        <f t="shared" si="9"/>
        <v>0</v>
      </c>
      <c r="F24" s="296">
        <f t="shared" si="2"/>
        <v>0</v>
      </c>
      <c r="G24" s="296">
        <f t="shared" si="10"/>
        <v>0</v>
      </c>
      <c r="H24" s="296">
        <f t="shared" si="11"/>
        <v>0</v>
      </c>
      <c r="I24" s="297">
        <f t="shared" si="3"/>
        <v>0</v>
      </c>
      <c r="J24" s="298">
        <v>8</v>
      </c>
      <c r="K24" s="299" cm="1">
        <f t="array" aca="1" ref="K24" ca="1">'Itemized Costs-HIDDEN'!N12-INDIRECT("'Sch3-Perf Period Cash Flow'!D"&amp;7&amp;"")</f>
        <v>-1</v>
      </c>
      <c r="L24" s="425">
        <v>0</v>
      </c>
      <c r="M24" s="299">
        <f t="shared" ca="1" si="4"/>
        <v>-1</v>
      </c>
      <c r="N24" s="299">
        <f ca="1">ROUND(SUM(INDIRECT(S24):INDIRECT(T24)),0)</f>
        <v>-1</v>
      </c>
      <c r="O24" s="299">
        <f ca="1">IF(N24=0,0,ROUND(SUM(INDIRECT(U24):INDIRECT(V24)),0))</f>
        <v>0</v>
      </c>
      <c r="P24" s="461" t="str">
        <f t="shared" ca="1" si="5"/>
        <v/>
      </c>
      <c r="Q24" s="267">
        <f t="shared" si="12"/>
        <v>102</v>
      </c>
      <c r="R24" s="267">
        <f t="shared" si="0"/>
        <v>113</v>
      </c>
      <c r="S24" s="267" t="str">
        <f t="shared" si="6"/>
        <v>f102</v>
      </c>
      <c r="T24" s="267" t="str">
        <f t="shared" si="6"/>
        <v>f113</v>
      </c>
      <c r="U24" s="267" t="str">
        <f t="shared" si="1"/>
        <v>G102</v>
      </c>
      <c r="V24" s="267" t="str">
        <f t="shared" si="1"/>
        <v>G113</v>
      </c>
    </row>
    <row r="25" spans="1:22">
      <c r="A25" s="295">
        <f t="shared" si="7"/>
        <v>8</v>
      </c>
      <c r="B25" s="300">
        <f t="shared" si="13"/>
        <v>214</v>
      </c>
      <c r="C25" s="296">
        <f t="shared" si="8"/>
        <v>0</v>
      </c>
      <c r="D25" s="295"/>
      <c r="E25" s="296">
        <f t="shared" si="9"/>
        <v>0</v>
      </c>
      <c r="F25" s="296">
        <f t="shared" si="2"/>
        <v>0</v>
      </c>
      <c r="G25" s="296">
        <f t="shared" si="10"/>
        <v>0</v>
      </c>
      <c r="H25" s="296">
        <f t="shared" si="11"/>
        <v>0</v>
      </c>
      <c r="I25" s="297">
        <f t="shared" si="3"/>
        <v>0</v>
      </c>
      <c r="J25" s="298">
        <v>9</v>
      </c>
      <c r="K25" s="299" cm="1">
        <f t="array" aca="1" ref="K25" ca="1">'Itemized Costs-HIDDEN'!N13-INDIRECT("'Sch3-Perf Period Cash Flow'!D"&amp;7&amp;"")</f>
        <v>-1</v>
      </c>
      <c r="L25" s="425">
        <v>0</v>
      </c>
      <c r="M25" s="299">
        <f t="shared" ca="1" si="4"/>
        <v>-1</v>
      </c>
      <c r="N25" s="299">
        <f ca="1">ROUND(SUM(INDIRECT(S25):INDIRECT(T25)),0)</f>
        <v>-1</v>
      </c>
      <c r="O25" s="299">
        <f ca="1">IF(N25=0,0,ROUND(SUM(INDIRECT(U25):INDIRECT(V25)),0))</f>
        <v>0</v>
      </c>
      <c r="P25" s="461" t="str">
        <f t="shared" ca="1" si="5"/>
        <v/>
      </c>
      <c r="Q25" s="267">
        <f t="shared" si="12"/>
        <v>114</v>
      </c>
      <c r="R25" s="267">
        <f t="shared" si="0"/>
        <v>125</v>
      </c>
      <c r="S25" s="267" t="str">
        <f t="shared" si="6"/>
        <v>f114</v>
      </c>
      <c r="T25" s="267" t="str">
        <f t="shared" si="6"/>
        <v>f125</v>
      </c>
      <c r="U25" s="267" t="str">
        <f t="shared" si="1"/>
        <v>G114</v>
      </c>
      <c r="V25" s="267" t="str">
        <f t="shared" si="1"/>
        <v>G125</v>
      </c>
    </row>
    <row r="26" spans="1:22">
      <c r="A26" s="295">
        <f t="shared" si="7"/>
        <v>9</v>
      </c>
      <c r="B26" s="300">
        <f t="shared" si="13"/>
        <v>245</v>
      </c>
      <c r="C26" s="296">
        <f t="shared" si="8"/>
        <v>0</v>
      </c>
      <c r="D26" s="295"/>
      <c r="E26" s="296">
        <f t="shared" si="9"/>
        <v>0</v>
      </c>
      <c r="F26" s="296">
        <f t="shared" si="2"/>
        <v>0</v>
      </c>
      <c r="G26" s="296">
        <f t="shared" si="10"/>
        <v>0</v>
      </c>
      <c r="H26" s="296">
        <f t="shared" si="11"/>
        <v>0</v>
      </c>
      <c r="I26" s="297">
        <f t="shared" si="3"/>
        <v>0</v>
      </c>
      <c r="J26" s="298">
        <v>10</v>
      </c>
      <c r="K26" s="299" cm="1">
        <f t="array" aca="1" ref="K26" ca="1">'Itemized Costs-HIDDEN'!N14-INDIRECT("'Sch3-Perf Period Cash Flow'!D"&amp;7&amp;"")</f>
        <v>-1</v>
      </c>
      <c r="L26" s="425">
        <v>0</v>
      </c>
      <c r="M26" s="299">
        <f t="shared" ca="1" si="4"/>
        <v>-1</v>
      </c>
      <c r="N26" s="299">
        <f ca="1">ROUND(SUM(INDIRECT(S26):INDIRECT(T26)),0)</f>
        <v>-1</v>
      </c>
      <c r="O26" s="299">
        <f ca="1">IF(N26=0,0,ROUND(SUM(INDIRECT(U26):INDIRECT(V26)),0))</f>
        <v>0</v>
      </c>
      <c r="P26" s="461" t="str">
        <f t="shared" ca="1" si="5"/>
        <v/>
      </c>
      <c r="Q26" s="267">
        <f t="shared" si="12"/>
        <v>126</v>
      </c>
      <c r="R26" s="267">
        <f t="shared" si="0"/>
        <v>137</v>
      </c>
      <c r="S26" s="267" t="str">
        <f t="shared" si="6"/>
        <v>f126</v>
      </c>
      <c r="T26" s="267" t="str">
        <f t="shared" si="6"/>
        <v>f137</v>
      </c>
      <c r="U26" s="267" t="str">
        <f t="shared" si="1"/>
        <v>G126</v>
      </c>
      <c r="V26" s="267" t="str">
        <f t="shared" si="1"/>
        <v>G137</v>
      </c>
    </row>
    <row r="27" spans="1:22">
      <c r="A27" s="295">
        <f t="shared" si="7"/>
        <v>10</v>
      </c>
      <c r="B27" s="300">
        <f t="shared" si="13"/>
        <v>275</v>
      </c>
      <c r="C27" s="296">
        <f t="shared" si="8"/>
        <v>0</v>
      </c>
      <c r="D27" s="295"/>
      <c r="E27" s="296">
        <f t="shared" si="9"/>
        <v>0</v>
      </c>
      <c r="F27" s="296">
        <f t="shared" si="2"/>
        <v>0</v>
      </c>
      <c r="G27" s="296">
        <f t="shared" si="10"/>
        <v>0</v>
      </c>
      <c r="H27" s="296">
        <f t="shared" si="11"/>
        <v>0</v>
      </c>
      <c r="I27" s="297">
        <f t="shared" si="3"/>
        <v>0</v>
      </c>
      <c r="J27" s="298">
        <v>11</v>
      </c>
      <c r="K27" s="299" cm="1">
        <f t="array" aca="1" ref="K27" ca="1">'Itemized Costs-HIDDEN'!N15-INDIRECT("'Sch3-Perf Period Cash Flow'!D"&amp;7&amp;"")</f>
        <v>-1</v>
      </c>
      <c r="L27" s="425">
        <v>0</v>
      </c>
      <c r="M27" s="299">
        <f t="shared" ca="1" si="4"/>
        <v>-1</v>
      </c>
      <c r="N27" s="299">
        <f ca="1">ROUND(SUM(INDIRECT(S27):INDIRECT(T27)),0)</f>
        <v>-1</v>
      </c>
      <c r="O27" s="299">
        <f ca="1">IF(N27=0,0,ROUND(SUM(INDIRECT(U27):INDIRECT(V27)),0))</f>
        <v>0</v>
      </c>
      <c r="P27" s="461" t="str">
        <f t="shared" ca="1" si="5"/>
        <v/>
      </c>
      <c r="Q27" s="267">
        <f t="shared" si="12"/>
        <v>138</v>
      </c>
      <c r="R27" s="267">
        <f t="shared" si="0"/>
        <v>149</v>
      </c>
      <c r="S27" s="267" t="str">
        <f t="shared" si="6"/>
        <v>f138</v>
      </c>
      <c r="T27" s="267" t="str">
        <f t="shared" si="6"/>
        <v>f149</v>
      </c>
      <c r="U27" s="267" t="str">
        <f t="shared" si="1"/>
        <v>G138</v>
      </c>
      <c r="V27" s="267" t="str">
        <f t="shared" si="1"/>
        <v>G149</v>
      </c>
    </row>
    <row r="28" spans="1:22">
      <c r="A28" s="295">
        <f t="shared" si="7"/>
        <v>11</v>
      </c>
      <c r="B28" s="300">
        <f t="shared" si="13"/>
        <v>306</v>
      </c>
      <c r="C28" s="296">
        <f t="shared" si="8"/>
        <v>0</v>
      </c>
      <c r="D28" s="295"/>
      <c r="E28" s="296">
        <f t="shared" si="9"/>
        <v>0</v>
      </c>
      <c r="F28" s="296">
        <f t="shared" si="2"/>
        <v>0</v>
      </c>
      <c r="G28" s="296">
        <f t="shared" si="10"/>
        <v>0</v>
      </c>
      <c r="H28" s="296">
        <f>IF(E28="","",ROUND(H27-F28,4))</f>
        <v>0</v>
      </c>
      <c r="I28" s="297">
        <f t="shared" si="3"/>
        <v>0</v>
      </c>
      <c r="J28" s="298">
        <v>12</v>
      </c>
      <c r="K28" s="299" cm="1">
        <f t="array" aca="1" ref="K28" ca="1">'Itemized Costs-HIDDEN'!N16-INDIRECT("'Sch3-Perf Period Cash Flow'!D"&amp;7&amp;"")</f>
        <v>-1</v>
      </c>
      <c r="L28" s="425">
        <v>0</v>
      </c>
      <c r="M28" s="299">
        <f t="shared" ca="1" si="4"/>
        <v>-1</v>
      </c>
      <c r="N28" s="299">
        <f ca="1">ROUND(SUM(INDIRECT(S28):INDIRECT(T28)),0)</f>
        <v>-1</v>
      </c>
      <c r="O28" s="299">
        <f ca="1">IF(N28=0,0,ROUND(SUM(INDIRECT(U28):INDIRECT(V28)),0))</f>
        <v>0</v>
      </c>
      <c r="P28" s="461" t="str">
        <f t="shared" ca="1" si="5"/>
        <v/>
      </c>
      <c r="Q28" s="267">
        <f t="shared" si="12"/>
        <v>150</v>
      </c>
      <c r="R28" s="267">
        <f t="shared" si="0"/>
        <v>161</v>
      </c>
      <c r="S28" s="267" t="str">
        <f t="shared" si="6"/>
        <v>f150</v>
      </c>
      <c r="T28" s="267" t="str">
        <f t="shared" si="6"/>
        <v>f161</v>
      </c>
      <c r="U28" s="267" t="str">
        <f t="shared" si="1"/>
        <v>G150</v>
      </c>
      <c r="V28" s="267" t="str">
        <f t="shared" si="1"/>
        <v>G161</v>
      </c>
    </row>
    <row r="29" spans="1:22">
      <c r="A29" s="295">
        <f t="shared" si="7"/>
        <v>12</v>
      </c>
      <c r="B29" s="300">
        <f t="shared" si="13"/>
        <v>336</v>
      </c>
      <c r="C29" s="296">
        <f t="shared" si="8"/>
        <v>0</v>
      </c>
      <c r="D29" s="296">
        <f ca="1">IF(H29&lt;0,0,0.5*(K18-L18))</f>
        <v>-0.5</v>
      </c>
      <c r="E29" s="296">
        <f t="shared" si="9"/>
        <v>0</v>
      </c>
      <c r="F29" s="296">
        <f>IF(E29="","",E29-G29)</f>
        <v>0</v>
      </c>
      <c r="G29" s="296">
        <f>ROUND((C29-E29)*$D$5,3)</f>
        <v>0</v>
      </c>
      <c r="H29" s="296">
        <f>IF(E29="","",ROUND(H28-F29,4))</f>
        <v>0</v>
      </c>
      <c r="I29" s="297">
        <f t="shared" ca="1" si="3"/>
        <v>-1</v>
      </c>
      <c r="J29" s="298">
        <v>13</v>
      </c>
      <c r="K29" s="299" cm="1">
        <f t="array" aca="1" ref="K29" ca="1">'Itemized Costs-HIDDEN'!N17-INDIRECT("'Sch3-Perf Period Cash Flow'!D"&amp;7&amp;"")</f>
        <v>-1</v>
      </c>
      <c r="L29" s="425">
        <v>0</v>
      </c>
      <c r="M29" s="299">
        <f t="shared" ca="1" si="4"/>
        <v>-1</v>
      </c>
      <c r="N29" s="299">
        <f ca="1">ROUND(SUM(INDIRECT(S29):INDIRECT(T29)),0)</f>
        <v>-1</v>
      </c>
      <c r="O29" s="299">
        <f ca="1">IF(N29=0,0,ROUND(SUM(INDIRECT(U29):INDIRECT(V29)),0))</f>
        <v>0</v>
      </c>
      <c r="P29" s="461" t="str">
        <f t="shared" ca="1" si="5"/>
        <v/>
      </c>
      <c r="Q29" s="267">
        <f t="shared" si="12"/>
        <v>162</v>
      </c>
      <c r="R29" s="267">
        <f t="shared" si="0"/>
        <v>173</v>
      </c>
      <c r="S29" s="267" t="str">
        <f t="shared" si="6"/>
        <v>f162</v>
      </c>
      <c r="T29" s="267" t="str">
        <f t="shared" si="6"/>
        <v>f173</v>
      </c>
      <c r="U29" s="267" t="str">
        <f t="shared" si="1"/>
        <v>G162</v>
      </c>
      <c r="V29" s="267" t="str">
        <f t="shared" si="1"/>
        <v>G173</v>
      </c>
    </row>
    <row r="30" spans="1:22">
      <c r="A30" s="295">
        <f t="shared" si="7"/>
        <v>13</v>
      </c>
      <c r="B30" s="300">
        <f t="shared" si="13"/>
        <v>367</v>
      </c>
      <c r="C30" s="296">
        <f t="shared" si="8"/>
        <v>0</v>
      </c>
      <c r="D30" s="295"/>
      <c r="E30" s="296">
        <f t="shared" ref="E30:E41" si="14">IF($D$10=1,IF(OR(MONTH(B30)=MONTH(EDATE($D$7,0)),MONTH(B30)=MONTH(EDATE($D$7,6))),(MIN($D$29,H29)),0),IF($D$10=0,IF(OR(MONTH(B30)=MONTH(EDATE($D$7,5)),MONTH(B30)=MONTH(EDATE($D$7,11))),(MIN($D$29,H29)),0)))</f>
        <v>0</v>
      </c>
      <c r="F30" s="296">
        <f t="shared" ref="F30:F93" si="15">IF(E30="","",E30-G30)</f>
        <v>0</v>
      </c>
      <c r="G30" s="296">
        <f t="shared" ref="G30:G93" si="16">ROUND((C30-E30)*$D$5,3)</f>
        <v>0</v>
      </c>
      <c r="H30" s="296">
        <f t="shared" ref="H30:H93" si="17">IF(E30="","",ROUND(H29-F30,4))</f>
        <v>0</v>
      </c>
      <c r="I30" s="297">
        <f t="shared" si="3"/>
        <v>0</v>
      </c>
      <c r="J30" s="298">
        <v>14</v>
      </c>
      <c r="K30" s="299" cm="1">
        <f t="array" aca="1" ref="K30" ca="1">'Itemized Costs-HIDDEN'!N18-INDIRECT("'Sch3-Perf Period Cash Flow'!D"&amp;7&amp;"")</f>
        <v>-1</v>
      </c>
      <c r="L30" s="425">
        <v>0</v>
      </c>
      <c r="M30" s="299">
        <f t="shared" ca="1" si="4"/>
        <v>-1</v>
      </c>
      <c r="N30" s="299">
        <f ca="1">ROUND(SUM(INDIRECT(S30):INDIRECT(T30)),0)</f>
        <v>-1</v>
      </c>
      <c r="O30" s="299">
        <f ca="1">IF(N30=0,0,ROUND(SUM(INDIRECT(U30):INDIRECT(V30)),0))</f>
        <v>0</v>
      </c>
      <c r="P30" s="461" t="str">
        <f t="shared" ca="1" si="5"/>
        <v/>
      </c>
      <c r="Q30" s="267">
        <f t="shared" si="12"/>
        <v>174</v>
      </c>
      <c r="R30" s="267">
        <f t="shared" si="0"/>
        <v>185</v>
      </c>
      <c r="S30" s="267" t="str">
        <f t="shared" si="6"/>
        <v>f174</v>
      </c>
      <c r="T30" s="267" t="str">
        <f t="shared" si="6"/>
        <v>f185</v>
      </c>
      <c r="U30" s="267" t="str">
        <f t="shared" si="1"/>
        <v>G174</v>
      </c>
      <c r="V30" s="267" t="str">
        <f t="shared" si="1"/>
        <v>G185</v>
      </c>
    </row>
    <row r="31" spans="1:22">
      <c r="A31" s="295">
        <f t="shared" si="7"/>
        <v>14</v>
      </c>
      <c r="B31" s="300">
        <f t="shared" si="13"/>
        <v>398</v>
      </c>
      <c r="C31" s="296">
        <f t="shared" si="8"/>
        <v>0</v>
      </c>
      <c r="D31" s="295"/>
      <c r="E31" s="296">
        <f t="shared" si="14"/>
        <v>0</v>
      </c>
      <c r="F31" s="296">
        <f t="shared" si="15"/>
        <v>0</v>
      </c>
      <c r="G31" s="296">
        <f t="shared" si="16"/>
        <v>0</v>
      </c>
      <c r="H31" s="296">
        <f t="shared" si="17"/>
        <v>0</v>
      </c>
      <c r="I31" s="297">
        <f t="shared" si="3"/>
        <v>0</v>
      </c>
      <c r="J31" s="298">
        <v>15</v>
      </c>
      <c r="K31" s="299" cm="1">
        <f t="array" aca="1" ref="K31" ca="1">'Itemized Costs-HIDDEN'!N19-INDIRECT("'Sch3-Perf Period Cash Flow'!D"&amp;7&amp;"")</f>
        <v>-1</v>
      </c>
      <c r="L31" s="425">
        <v>0</v>
      </c>
      <c r="M31" s="299">
        <f t="shared" ca="1" si="4"/>
        <v>-1</v>
      </c>
      <c r="N31" s="299">
        <f ca="1">ROUND(SUM(INDIRECT(S31):INDIRECT(T31)),0)</f>
        <v>-1</v>
      </c>
      <c r="O31" s="299">
        <f ca="1">IF(N31=0,0,ROUND(SUM(INDIRECT(U31):INDIRECT(V31)),0))</f>
        <v>0</v>
      </c>
      <c r="P31" s="461" t="str">
        <f t="shared" ca="1" si="5"/>
        <v/>
      </c>
      <c r="Q31" s="267">
        <f t="shared" si="12"/>
        <v>186</v>
      </c>
      <c r="R31" s="267">
        <f t="shared" si="0"/>
        <v>197</v>
      </c>
      <c r="S31" s="267" t="str">
        <f t="shared" si="6"/>
        <v>f186</v>
      </c>
      <c r="T31" s="267" t="str">
        <f t="shared" si="6"/>
        <v>f197</v>
      </c>
      <c r="U31" s="267" t="str">
        <f t="shared" si="1"/>
        <v>G186</v>
      </c>
      <c r="V31" s="267" t="str">
        <f t="shared" si="1"/>
        <v>G197</v>
      </c>
    </row>
    <row r="32" spans="1:22">
      <c r="A32" s="295">
        <f t="shared" si="7"/>
        <v>15</v>
      </c>
      <c r="B32" s="300">
        <f t="shared" si="13"/>
        <v>426</v>
      </c>
      <c r="C32" s="296">
        <f t="shared" si="8"/>
        <v>0</v>
      </c>
      <c r="D32" s="295"/>
      <c r="E32" s="296">
        <f t="shared" si="14"/>
        <v>0</v>
      </c>
      <c r="F32" s="296">
        <f t="shared" si="15"/>
        <v>0</v>
      </c>
      <c r="G32" s="296">
        <f t="shared" si="16"/>
        <v>0</v>
      </c>
      <c r="H32" s="296">
        <f t="shared" si="17"/>
        <v>0</v>
      </c>
      <c r="I32" s="297">
        <f t="shared" si="3"/>
        <v>0</v>
      </c>
      <c r="J32" s="298">
        <v>16</v>
      </c>
      <c r="K32" s="299" cm="1">
        <f t="array" aca="1" ref="K32" ca="1">'Itemized Costs-HIDDEN'!N20-INDIRECT("'Sch3-Perf Period Cash Flow'!D"&amp;7&amp;"")</f>
        <v>-1</v>
      </c>
      <c r="L32" s="425">
        <v>0</v>
      </c>
      <c r="M32" s="299">
        <f t="shared" ca="1" si="4"/>
        <v>-1</v>
      </c>
      <c r="N32" s="299">
        <f ca="1">ROUND(SUM(INDIRECT(S32):INDIRECT(T32)),0)</f>
        <v>-1</v>
      </c>
      <c r="O32" s="299">
        <f ca="1">IF(N32=0,0,ROUND(SUM(INDIRECT(U32):INDIRECT(V32)),0))</f>
        <v>0</v>
      </c>
      <c r="P32" s="461" t="str">
        <f t="shared" ca="1" si="5"/>
        <v/>
      </c>
      <c r="Q32" s="267">
        <f t="shared" si="12"/>
        <v>198</v>
      </c>
      <c r="R32" s="267">
        <f t="shared" si="0"/>
        <v>209</v>
      </c>
      <c r="S32" s="267" t="str">
        <f t="shared" si="6"/>
        <v>f198</v>
      </c>
      <c r="T32" s="267" t="str">
        <f t="shared" si="6"/>
        <v>f209</v>
      </c>
      <c r="U32" s="267" t="str">
        <f t="shared" si="1"/>
        <v>G198</v>
      </c>
      <c r="V32" s="267" t="str">
        <f t="shared" si="1"/>
        <v>G209</v>
      </c>
    </row>
    <row r="33" spans="1:22">
      <c r="A33" s="295">
        <f t="shared" si="7"/>
        <v>16</v>
      </c>
      <c r="B33" s="300">
        <f t="shared" si="13"/>
        <v>457</v>
      </c>
      <c r="C33" s="296">
        <f t="shared" si="8"/>
        <v>0</v>
      </c>
      <c r="D33" s="295"/>
      <c r="E33" s="296">
        <f t="shared" si="14"/>
        <v>0</v>
      </c>
      <c r="F33" s="296">
        <f t="shared" si="15"/>
        <v>0</v>
      </c>
      <c r="G33" s="296">
        <f t="shared" si="16"/>
        <v>0</v>
      </c>
      <c r="H33" s="296">
        <f t="shared" si="17"/>
        <v>0</v>
      </c>
      <c r="I33" s="297">
        <f t="shared" si="3"/>
        <v>0</v>
      </c>
      <c r="J33" s="298">
        <v>17</v>
      </c>
      <c r="K33" s="299" cm="1">
        <f t="array" aca="1" ref="K33" ca="1">'Itemized Costs-HIDDEN'!N21-INDIRECT("'Sch3-Perf Period Cash Flow'!D"&amp;7&amp;"")</f>
        <v>-1</v>
      </c>
      <c r="L33" s="425">
        <v>0</v>
      </c>
      <c r="M33" s="299">
        <f t="shared" ca="1" si="4"/>
        <v>-1</v>
      </c>
      <c r="N33" s="299">
        <f ca="1">ROUND(SUM(INDIRECT(S33):INDIRECT(T33)),0)</f>
        <v>-1</v>
      </c>
      <c r="O33" s="299">
        <f ca="1">IF(N33=0,0,ROUND(SUM(INDIRECT(U33):INDIRECT(V33)),0))</f>
        <v>0</v>
      </c>
      <c r="P33" s="461" t="str">
        <f t="shared" ca="1" si="5"/>
        <v/>
      </c>
      <c r="Q33" s="267">
        <f t="shared" si="12"/>
        <v>210</v>
      </c>
      <c r="R33" s="267">
        <f t="shared" si="0"/>
        <v>221</v>
      </c>
      <c r="S33" s="267" t="str">
        <f t="shared" si="6"/>
        <v>f210</v>
      </c>
      <c r="T33" s="267" t="str">
        <f t="shared" si="6"/>
        <v>f221</v>
      </c>
      <c r="U33" s="267" t="str">
        <f t="shared" ref="U33:V40" si="18">CONCATENATE("G",Q33)</f>
        <v>G210</v>
      </c>
      <c r="V33" s="267" t="str">
        <f t="shared" si="18"/>
        <v>G221</v>
      </c>
    </row>
    <row r="34" spans="1:22">
      <c r="A34" s="295">
        <f t="shared" si="7"/>
        <v>17</v>
      </c>
      <c r="B34" s="300">
        <f t="shared" si="13"/>
        <v>487</v>
      </c>
      <c r="C34" s="296">
        <f t="shared" si="8"/>
        <v>0</v>
      </c>
      <c r="D34" s="295"/>
      <c r="E34" s="296">
        <f t="shared" si="14"/>
        <v>0</v>
      </c>
      <c r="F34" s="296">
        <f t="shared" si="15"/>
        <v>0</v>
      </c>
      <c r="G34" s="296">
        <f t="shared" si="16"/>
        <v>0</v>
      </c>
      <c r="H34" s="296">
        <f t="shared" si="17"/>
        <v>0</v>
      </c>
      <c r="I34" s="297">
        <f t="shared" si="3"/>
        <v>0</v>
      </c>
      <c r="J34" s="298">
        <v>18</v>
      </c>
      <c r="K34" s="299" cm="1">
        <f t="array" aca="1" ref="K34" ca="1">'Itemized Costs-HIDDEN'!N22-INDIRECT("'Sch3-Perf Period Cash Flow'!D"&amp;7&amp;"")</f>
        <v>-1</v>
      </c>
      <c r="L34" s="425">
        <v>0</v>
      </c>
      <c r="M34" s="299">
        <f t="shared" ca="1" si="4"/>
        <v>-1</v>
      </c>
      <c r="N34" s="299">
        <f ca="1">ROUND(SUM(INDIRECT(S34):INDIRECT(T34)),0)</f>
        <v>-1</v>
      </c>
      <c r="O34" s="299">
        <f ca="1">IF(N34=0,0,ROUND(SUM(INDIRECT(U34):INDIRECT(V34)),0))</f>
        <v>0</v>
      </c>
      <c r="P34" s="461" t="str">
        <f t="shared" ca="1" si="5"/>
        <v/>
      </c>
      <c r="Q34" s="267">
        <f t="shared" si="12"/>
        <v>222</v>
      </c>
      <c r="R34" s="267">
        <f t="shared" si="0"/>
        <v>233</v>
      </c>
      <c r="S34" s="267" t="str">
        <f t="shared" si="6"/>
        <v>f222</v>
      </c>
      <c r="T34" s="267" t="str">
        <f t="shared" si="6"/>
        <v>f233</v>
      </c>
      <c r="U34" s="267" t="str">
        <f t="shared" si="18"/>
        <v>G222</v>
      </c>
      <c r="V34" s="267" t="str">
        <f t="shared" si="18"/>
        <v>G233</v>
      </c>
    </row>
    <row r="35" spans="1:22">
      <c r="A35" s="295">
        <f t="shared" si="7"/>
        <v>18</v>
      </c>
      <c r="B35" s="300">
        <f t="shared" si="13"/>
        <v>518</v>
      </c>
      <c r="C35" s="296">
        <f t="shared" si="8"/>
        <v>0</v>
      </c>
      <c r="D35" s="295"/>
      <c r="E35" s="296">
        <f t="shared" ca="1" si="14"/>
        <v>-0.5</v>
      </c>
      <c r="F35" s="296">
        <f t="shared" ca="1" si="15"/>
        <v>-0.5</v>
      </c>
      <c r="G35" s="296">
        <f t="shared" ca="1" si="16"/>
        <v>0</v>
      </c>
      <c r="H35" s="296">
        <f t="shared" ca="1" si="17"/>
        <v>0.5</v>
      </c>
      <c r="I35" s="297">
        <f t="shared" ca="1" si="3"/>
        <v>-1</v>
      </c>
      <c r="J35" s="298">
        <v>19</v>
      </c>
      <c r="K35" s="299" cm="1">
        <f t="array" aca="1" ref="K35" ca="1">'Itemized Costs-HIDDEN'!N23-INDIRECT("'Sch3-Perf Period Cash Flow'!D"&amp;7&amp;"")</f>
        <v>-1</v>
      </c>
      <c r="L35" s="425">
        <v>0</v>
      </c>
      <c r="M35" s="299">
        <f t="shared" ca="1" si="4"/>
        <v>-1</v>
      </c>
      <c r="N35" s="299">
        <f ca="1">ROUND(SUM(INDIRECT(S35):INDIRECT(T35)),0)</f>
        <v>-1</v>
      </c>
      <c r="O35" s="299">
        <f ca="1">IF(N35=0,0,ROUND(SUM(INDIRECT(U35):INDIRECT(V35)),0))</f>
        <v>0</v>
      </c>
      <c r="P35" s="461" t="str">
        <f t="shared" ca="1" si="5"/>
        <v/>
      </c>
      <c r="Q35" s="267">
        <f t="shared" si="12"/>
        <v>234</v>
      </c>
      <c r="R35" s="267">
        <f>Q35+11</f>
        <v>245</v>
      </c>
      <c r="S35" s="267" t="str">
        <f t="shared" si="6"/>
        <v>f234</v>
      </c>
      <c r="T35" s="267" t="str">
        <f t="shared" si="6"/>
        <v>f245</v>
      </c>
      <c r="U35" s="267" t="str">
        <f t="shared" si="18"/>
        <v>G234</v>
      </c>
      <c r="V35" s="267" t="str">
        <f t="shared" si="18"/>
        <v>G245</v>
      </c>
    </row>
    <row r="36" spans="1:22">
      <c r="A36" s="295">
        <f t="shared" si="7"/>
        <v>19</v>
      </c>
      <c r="B36" s="300">
        <f t="shared" si="13"/>
        <v>548</v>
      </c>
      <c r="C36" s="296">
        <f t="shared" ca="1" si="8"/>
        <v>0.5</v>
      </c>
      <c r="D36" s="295"/>
      <c r="E36" s="296">
        <f t="shared" si="14"/>
        <v>0</v>
      </c>
      <c r="F36" s="296">
        <f t="shared" ca="1" si="15"/>
        <v>0</v>
      </c>
      <c r="G36" s="296">
        <f t="shared" ca="1" si="16"/>
        <v>0</v>
      </c>
      <c r="H36" s="296">
        <f t="shared" ca="1" si="17"/>
        <v>0.5</v>
      </c>
      <c r="I36" s="297">
        <f t="shared" ca="1" si="3"/>
        <v>-1</v>
      </c>
      <c r="J36" s="298">
        <v>20</v>
      </c>
      <c r="K36" s="299" cm="1">
        <f t="array" aca="1" ref="K36" ca="1">'Itemized Costs-HIDDEN'!N24-INDIRECT("'Sch3-Perf Period Cash Flow'!D"&amp;7&amp;"")</f>
        <v>-1</v>
      </c>
      <c r="L36" s="425">
        <v>0</v>
      </c>
      <c r="M36" s="299">
        <f t="shared" ca="1" si="4"/>
        <v>-1</v>
      </c>
      <c r="N36" s="299">
        <f ca="1">ROUND(SUM(INDIRECT(S36):INDIRECT(T36)),0)</f>
        <v>-1</v>
      </c>
      <c r="O36" s="299">
        <f ca="1">IF(N36=0,0,ROUND(SUM(INDIRECT(U36):INDIRECT(V36)),0))</f>
        <v>0</v>
      </c>
      <c r="P36" s="461" t="str">
        <f t="shared" ca="1" si="5"/>
        <v/>
      </c>
      <c r="Q36" s="267">
        <f t="shared" si="12"/>
        <v>246</v>
      </c>
      <c r="R36" s="267">
        <f t="shared" ref="R36:R56" si="19">Q36+11</f>
        <v>257</v>
      </c>
      <c r="S36" s="267" t="str">
        <f t="shared" si="6"/>
        <v>f246</v>
      </c>
      <c r="T36" s="267" t="str">
        <f t="shared" si="6"/>
        <v>f257</v>
      </c>
      <c r="U36" s="267" t="str">
        <f t="shared" si="18"/>
        <v>G246</v>
      </c>
      <c r="V36" s="267" t="str">
        <f t="shared" si="18"/>
        <v>G257</v>
      </c>
    </row>
    <row r="37" spans="1:22">
      <c r="A37" s="295">
        <f t="shared" si="7"/>
        <v>20</v>
      </c>
      <c r="B37" s="300">
        <f t="shared" si="13"/>
        <v>579</v>
      </c>
      <c r="C37" s="296">
        <f t="shared" ca="1" si="8"/>
        <v>0.5</v>
      </c>
      <c r="D37" s="295"/>
      <c r="E37" s="296">
        <f t="shared" si="14"/>
        <v>0</v>
      </c>
      <c r="F37" s="296">
        <f t="shared" ca="1" si="15"/>
        <v>0</v>
      </c>
      <c r="G37" s="296">
        <f t="shared" ca="1" si="16"/>
        <v>0</v>
      </c>
      <c r="H37" s="296">
        <f t="shared" ca="1" si="17"/>
        <v>0.5</v>
      </c>
      <c r="I37" s="297">
        <f t="shared" ca="1" si="3"/>
        <v>-1</v>
      </c>
      <c r="J37" s="298">
        <v>21</v>
      </c>
      <c r="K37" s="299" cm="1">
        <f t="array" aca="1" ref="K37" ca="1">'Itemized Costs-HIDDEN'!N25-INDIRECT("'Sch3-Perf Period Cash Flow'!D"&amp;7&amp;"")</f>
        <v>-1</v>
      </c>
      <c r="L37" s="425">
        <v>0</v>
      </c>
      <c r="M37" s="299">
        <f t="shared" ca="1" si="4"/>
        <v>-1</v>
      </c>
      <c r="N37" s="299">
        <f ca="1">ROUND(SUM(INDIRECT(S37):INDIRECT(T37)),0)</f>
        <v>-1</v>
      </c>
      <c r="O37" s="299">
        <f ca="1">IF(N37=0,0,ROUND(SUM(INDIRECT(U37):INDIRECT(V37)),0))</f>
        <v>0</v>
      </c>
      <c r="P37" s="461" t="str">
        <f t="shared" ca="1" si="5"/>
        <v/>
      </c>
      <c r="Q37" s="267">
        <f t="shared" si="12"/>
        <v>258</v>
      </c>
      <c r="R37" s="267">
        <f t="shared" si="19"/>
        <v>269</v>
      </c>
      <c r="S37" s="267" t="str">
        <f t="shared" si="6"/>
        <v>f258</v>
      </c>
      <c r="T37" s="267" t="str">
        <f t="shared" si="6"/>
        <v>f269</v>
      </c>
      <c r="U37" s="267" t="str">
        <f t="shared" si="18"/>
        <v>G258</v>
      </c>
      <c r="V37" s="267" t="str">
        <f t="shared" si="18"/>
        <v>G269</v>
      </c>
    </row>
    <row r="38" spans="1:22">
      <c r="A38" s="295">
        <f t="shared" si="7"/>
        <v>21</v>
      </c>
      <c r="B38" s="300">
        <f t="shared" si="13"/>
        <v>610</v>
      </c>
      <c r="C38" s="296">
        <f t="shared" ca="1" si="8"/>
        <v>0.5</v>
      </c>
      <c r="D38" s="295"/>
      <c r="E38" s="296">
        <f t="shared" si="14"/>
        <v>0</v>
      </c>
      <c r="F38" s="296">
        <f t="shared" ca="1" si="15"/>
        <v>0</v>
      </c>
      <c r="G38" s="296">
        <f t="shared" ca="1" si="16"/>
        <v>0</v>
      </c>
      <c r="H38" s="296">
        <f t="shared" ca="1" si="17"/>
        <v>0.5</v>
      </c>
      <c r="I38" s="297">
        <f t="shared" ca="1" si="3"/>
        <v>-1</v>
      </c>
      <c r="J38" s="298">
        <v>22</v>
      </c>
      <c r="K38" s="299" cm="1">
        <f t="array" aca="1" ref="K38" ca="1">'Itemized Costs-HIDDEN'!N26-INDIRECT("'Sch3-Perf Period Cash Flow'!D"&amp;7&amp;"")</f>
        <v>-1</v>
      </c>
      <c r="L38" s="425">
        <v>0</v>
      </c>
      <c r="M38" s="299">
        <f t="shared" ca="1" si="4"/>
        <v>-1</v>
      </c>
      <c r="N38" s="299">
        <f ca="1">ROUND(SUM(INDIRECT(S38):INDIRECT(T38)),0)</f>
        <v>-1</v>
      </c>
      <c r="O38" s="299">
        <f ca="1">IF(N38=0,0,ROUND(SUM(INDIRECT(U38):INDIRECT(V38)),0))</f>
        <v>0</v>
      </c>
      <c r="P38" s="461" t="str">
        <f t="shared" ca="1" si="5"/>
        <v/>
      </c>
      <c r="Q38" s="267">
        <f t="shared" si="12"/>
        <v>270</v>
      </c>
      <c r="R38" s="267">
        <f t="shared" si="19"/>
        <v>281</v>
      </c>
      <c r="S38" s="267" t="str">
        <f t="shared" si="6"/>
        <v>f270</v>
      </c>
      <c r="T38" s="267" t="str">
        <f t="shared" si="6"/>
        <v>f281</v>
      </c>
      <c r="U38" s="267" t="str">
        <f t="shared" si="18"/>
        <v>G270</v>
      </c>
      <c r="V38" s="267" t="str">
        <f t="shared" si="18"/>
        <v>G281</v>
      </c>
    </row>
    <row r="39" spans="1:22">
      <c r="A39" s="295">
        <f t="shared" si="7"/>
        <v>22</v>
      </c>
      <c r="B39" s="300">
        <f t="shared" si="13"/>
        <v>640</v>
      </c>
      <c r="C39" s="296">
        <f t="shared" ca="1" si="8"/>
        <v>0.5</v>
      </c>
      <c r="D39" s="295"/>
      <c r="E39" s="296">
        <f t="shared" si="14"/>
        <v>0</v>
      </c>
      <c r="F39" s="296">
        <f t="shared" ca="1" si="15"/>
        <v>0</v>
      </c>
      <c r="G39" s="296">
        <f t="shared" ca="1" si="16"/>
        <v>0</v>
      </c>
      <c r="H39" s="296">
        <f t="shared" ca="1" si="17"/>
        <v>0.5</v>
      </c>
      <c r="I39" s="297">
        <f t="shared" ca="1" si="3"/>
        <v>-1</v>
      </c>
      <c r="J39" s="298">
        <v>23</v>
      </c>
      <c r="K39" s="299" cm="1">
        <f t="array" aca="1" ref="K39" ca="1">'Itemized Costs-HIDDEN'!N27-INDIRECT("'Sch3-Perf Period Cash Flow'!D"&amp;7&amp;"")</f>
        <v>-1</v>
      </c>
      <c r="L39" s="425">
        <v>0</v>
      </c>
      <c r="M39" s="299">
        <f t="shared" ca="1" si="4"/>
        <v>-1</v>
      </c>
      <c r="N39" s="299">
        <f ca="1">ROUND(SUM(INDIRECT(S39):INDIRECT(T39)),0)</f>
        <v>-1</v>
      </c>
      <c r="O39" s="299">
        <f ca="1">IF(N39=0,0,ROUND(SUM(INDIRECT(U39):INDIRECT(V39)),0))</f>
        <v>0</v>
      </c>
      <c r="P39" s="461" t="str">
        <f t="shared" ca="1" si="5"/>
        <v/>
      </c>
      <c r="Q39" s="267">
        <f t="shared" si="12"/>
        <v>282</v>
      </c>
      <c r="R39" s="267">
        <f t="shared" si="19"/>
        <v>293</v>
      </c>
      <c r="S39" s="267" t="str">
        <f t="shared" si="6"/>
        <v>f282</v>
      </c>
      <c r="T39" s="267" t="str">
        <f t="shared" si="6"/>
        <v>f293</v>
      </c>
      <c r="U39" s="267" t="str">
        <f t="shared" si="18"/>
        <v>G282</v>
      </c>
      <c r="V39" s="267" t="str">
        <f t="shared" si="18"/>
        <v>G293</v>
      </c>
    </row>
    <row r="40" spans="1:22">
      <c r="A40" s="295">
        <f t="shared" si="7"/>
        <v>23</v>
      </c>
      <c r="B40" s="300">
        <f t="shared" si="13"/>
        <v>671</v>
      </c>
      <c r="C40" s="296">
        <f t="shared" ca="1" si="8"/>
        <v>0.5</v>
      </c>
      <c r="D40" s="295"/>
      <c r="E40" s="296">
        <f t="shared" si="14"/>
        <v>0</v>
      </c>
      <c r="F40" s="296">
        <f t="shared" ca="1" si="15"/>
        <v>0</v>
      </c>
      <c r="G40" s="296">
        <f t="shared" ca="1" si="16"/>
        <v>0</v>
      </c>
      <c r="H40" s="296">
        <f t="shared" ca="1" si="17"/>
        <v>0.5</v>
      </c>
      <c r="I40" s="297">
        <f t="shared" ca="1" si="3"/>
        <v>-1</v>
      </c>
      <c r="J40" s="298">
        <v>24</v>
      </c>
      <c r="K40" s="299" cm="1">
        <f t="array" aca="1" ref="K40" ca="1">'Itemized Costs-HIDDEN'!N28-INDIRECT("'Sch3-Perf Period Cash Flow'!D"&amp;7&amp;"")</f>
        <v>-1</v>
      </c>
      <c r="L40" s="425">
        <v>0</v>
      </c>
      <c r="M40" s="299">
        <f t="shared" ca="1" si="4"/>
        <v>-1</v>
      </c>
      <c r="N40" s="299">
        <f ca="1">ROUND(SUM(INDIRECT(S40):INDIRECT(T40)),0)</f>
        <v>-1</v>
      </c>
      <c r="O40" s="299">
        <f ca="1">IF(N40=0,0,ROUND(SUM(INDIRECT(U40):INDIRECT(V40)),0))</f>
        <v>0</v>
      </c>
      <c r="P40" s="461" t="str">
        <f t="shared" ca="1" si="5"/>
        <v/>
      </c>
      <c r="Q40" s="267">
        <f t="shared" si="12"/>
        <v>294</v>
      </c>
      <c r="R40" s="267">
        <f t="shared" si="19"/>
        <v>305</v>
      </c>
      <c r="S40" s="267" t="str">
        <f t="shared" si="6"/>
        <v>f294</v>
      </c>
      <c r="T40" s="267" t="str">
        <f t="shared" si="6"/>
        <v>f305</v>
      </c>
      <c r="U40" s="267" t="str">
        <f t="shared" si="18"/>
        <v>G294</v>
      </c>
      <c r="V40" s="267" t="str">
        <f t="shared" si="18"/>
        <v>G305</v>
      </c>
    </row>
    <row r="41" spans="1:22">
      <c r="A41" s="295">
        <f t="shared" si="7"/>
        <v>24</v>
      </c>
      <c r="B41" s="300">
        <f t="shared" si="13"/>
        <v>701</v>
      </c>
      <c r="C41" s="296">
        <f t="shared" ca="1" si="8"/>
        <v>0.5</v>
      </c>
      <c r="D41" s="296">
        <f ca="1">IF(H41&lt;0,0,0.5*(K19-L19))</f>
        <v>-0.5</v>
      </c>
      <c r="E41" s="296">
        <f t="shared" ca="1" si="14"/>
        <v>-0.5</v>
      </c>
      <c r="F41" s="296">
        <f t="shared" ca="1" si="15"/>
        <v>-0.5</v>
      </c>
      <c r="G41" s="296">
        <f t="shared" ca="1" si="16"/>
        <v>0</v>
      </c>
      <c r="H41" s="296">
        <f t="shared" ca="1" si="17"/>
        <v>1</v>
      </c>
      <c r="I41" s="297">
        <f t="shared" ca="1" si="3"/>
        <v>-2</v>
      </c>
      <c r="J41" s="298">
        <v>25</v>
      </c>
      <c r="K41" s="299" cm="1">
        <f t="array" aca="1" ref="K41" ca="1">'Itemized Costs-HIDDEN'!N29-INDIRECT("'Sch3-Perf Period Cash Flow'!D"&amp;7&amp;"")</f>
        <v>-1</v>
      </c>
      <c r="L41" s="425">
        <v>0</v>
      </c>
      <c r="M41" s="299">
        <f ca="1">N41+O41</f>
        <v>-1</v>
      </c>
      <c r="N41" s="299">
        <f ca="1">ROUND(SUM(INDIRECT(S41):INDIRECT(T41)),0)</f>
        <v>-1</v>
      </c>
      <c r="O41" s="299">
        <f ca="1">IF(N41=0,0,ROUND(SUM(INDIRECT(U41):INDIRECT(V41)),0))</f>
        <v>0</v>
      </c>
      <c r="P41" s="461" t="str">
        <f t="shared" ca="1" si="5"/>
        <v/>
      </c>
      <c r="Q41" s="267">
        <f t="shared" si="12"/>
        <v>306</v>
      </c>
      <c r="R41" s="267">
        <f t="shared" si="19"/>
        <v>317</v>
      </c>
      <c r="S41" s="267" t="str">
        <f t="shared" si="6"/>
        <v>f306</v>
      </c>
      <c r="T41" s="267" t="str">
        <f t="shared" si="6"/>
        <v>f317</v>
      </c>
      <c r="U41" s="267" t="str">
        <f>CONCATENATE("G",Q41)</f>
        <v>G306</v>
      </c>
      <c r="V41" s="267" t="str">
        <f>CONCATENATE("G",R41)</f>
        <v>G317</v>
      </c>
    </row>
    <row r="42" spans="1:22">
      <c r="A42" s="295">
        <f t="shared" si="7"/>
        <v>25</v>
      </c>
      <c r="B42" s="300">
        <f t="shared" si="13"/>
        <v>732</v>
      </c>
      <c r="C42" s="296">
        <f t="shared" ca="1" si="8"/>
        <v>1</v>
      </c>
      <c r="D42" s="296"/>
      <c r="E42" s="296">
        <f t="shared" ref="E42:E53" si="20">IF($D$10=1,IF(OR(MONTH(B42)=MONTH(EDATE($D$7,0)),MONTH(B42)=MONTH(EDATE($D$7,6))),(MIN($D$41,H41)),0),IF($D$10=0,IF(OR(MONTH(B42)=MONTH(EDATE($D$7,5)),MONTH(B42)=MONTH(EDATE($D$7,11))),(MIN($D$41,H41)),0)))</f>
        <v>0</v>
      </c>
      <c r="F42" s="296">
        <f t="shared" ca="1" si="15"/>
        <v>0</v>
      </c>
      <c r="G42" s="296">
        <f t="shared" ca="1" si="16"/>
        <v>0</v>
      </c>
      <c r="H42" s="296">
        <f t="shared" ca="1" si="17"/>
        <v>1</v>
      </c>
      <c r="I42" s="297">
        <f t="shared" ca="1" si="3"/>
        <v>-1</v>
      </c>
      <c r="J42" s="298">
        <v>26</v>
      </c>
      <c r="K42" s="299" cm="1">
        <f t="array" aca="1" ref="K42" ca="1">'Itemized Costs-HIDDEN'!N30-INDIRECT("'Sch3-Perf Period Cash Flow'!D"&amp;7&amp;"")</f>
        <v>-1</v>
      </c>
      <c r="L42" s="299">
        <v>0</v>
      </c>
      <c r="M42" s="299">
        <f t="shared" ref="M42:M56" ca="1" si="21">N42+O42</f>
        <v>-1</v>
      </c>
      <c r="N42" s="299">
        <f ca="1">ROUND(SUM(INDIRECT(S42):INDIRECT(T42)),0)</f>
        <v>-1</v>
      </c>
      <c r="O42" s="299">
        <f ca="1">IF(N42=0,0,ROUND(SUM(INDIRECT(U42):INDIRECT(V42)),0))</f>
        <v>0</v>
      </c>
      <c r="P42" s="461" t="str">
        <f t="shared" ca="1" si="5"/>
        <v/>
      </c>
      <c r="Q42" s="267">
        <f t="shared" si="12"/>
        <v>318</v>
      </c>
      <c r="R42" s="267">
        <f t="shared" si="19"/>
        <v>329</v>
      </c>
      <c r="S42" s="267" t="str">
        <f t="shared" si="6"/>
        <v>f318</v>
      </c>
      <c r="T42" s="267" t="str">
        <f t="shared" si="6"/>
        <v>f329</v>
      </c>
      <c r="U42" s="267" t="str">
        <f>CONCATENATE("G",Q42)</f>
        <v>G318</v>
      </c>
      <c r="V42" s="267" t="str">
        <f>CONCATENATE("G",R42)</f>
        <v>G329</v>
      </c>
    </row>
    <row r="43" spans="1:22">
      <c r="A43" s="295">
        <f t="shared" si="7"/>
        <v>26</v>
      </c>
      <c r="B43" s="300">
        <f t="shared" si="13"/>
        <v>763</v>
      </c>
      <c r="C43" s="296">
        <f t="shared" ca="1" si="8"/>
        <v>1</v>
      </c>
      <c r="D43" s="295"/>
      <c r="E43" s="296">
        <f t="shared" si="20"/>
        <v>0</v>
      </c>
      <c r="F43" s="296">
        <f t="shared" ca="1" si="15"/>
        <v>0</v>
      </c>
      <c r="G43" s="296">
        <f t="shared" ca="1" si="16"/>
        <v>0</v>
      </c>
      <c r="H43" s="296">
        <f t="shared" ca="1" si="17"/>
        <v>1</v>
      </c>
      <c r="I43" s="297">
        <f t="shared" ca="1" si="3"/>
        <v>-1</v>
      </c>
      <c r="J43" s="298">
        <v>27</v>
      </c>
      <c r="K43" s="299" cm="1">
        <f t="array" aca="1" ref="K43" ca="1">'Itemized Costs-HIDDEN'!N31-INDIRECT("'Sch3-Perf Period Cash Flow'!D"&amp;7&amp;"")</f>
        <v>-1</v>
      </c>
      <c r="L43" s="299">
        <v>0</v>
      </c>
      <c r="M43" s="299">
        <f t="shared" ca="1" si="21"/>
        <v>-1</v>
      </c>
      <c r="N43" s="299">
        <f ca="1">ROUND(SUM(INDIRECT(S43):INDIRECT(T43)),0)</f>
        <v>-1</v>
      </c>
      <c r="O43" s="299">
        <f ca="1">IF(N43=0,0,ROUND(SUM(INDIRECT(U43):INDIRECT(V43)),0))</f>
        <v>0</v>
      </c>
      <c r="P43" s="461" t="str">
        <f t="shared" ca="1" si="5"/>
        <v/>
      </c>
      <c r="Q43" s="267">
        <f t="shared" si="12"/>
        <v>330</v>
      </c>
      <c r="R43" s="267">
        <f t="shared" si="19"/>
        <v>341</v>
      </c>
      <c r="S43" s="267" t="str">
        <f t="shared" si="6"/>
        <v>f330</v>
      </c>
      <c r="T43" s="267" t="str">
        <f t="shared" si="6"/>
        <v>f341</v>
      </c>
      <c r="U43" s="267" t="str">
        <f t="shared" ref="U43:V56" si="22">CONCATENATE("G",Q43)</f>
        <v>G330</v>
      </c>
      <c r="V43" s="267" t="str">
        <f t="shared" si="22"/>
        <v>G341</v>
      </c>
    </row>
    <row r="44" spans="1:22">
      <c r="A44" s="295">
        <f t="shared" si="7"/>
        <v>27</v>
      </c>
      <c r="B44" s="300">
        <f t="shared" si="13"/>
        <v>791</v>
      </c>
      <c r="C44" s="296">
        <f t="shared" ca="1" si="8"/>
        <v>1</v>
      </c>
      <c r="D44" s="295"/>
      <c r="E44" s="296">
        <f t="shared" si="20"/>
        <v>0</v>
      </c>
      <c r="F44" s="296">
        <f t="shared" ca="1" si="15"/>
        <v>0</v>
      </c>
      <c r="G44" s="296">
        <f t="shared" ca="1" si="16"/>
        <v>0</v>
      </c>
      <c r="H44" s="296">
        <f t="shared" ca="1" si="17"/>
        <v>1</v>
      </c>
      <c r="I44" s="297">
        <f t="shared" ca="1" si="3"/>
        <v>-1</v>
      </c>
      <c r="J44" s="298">
        <v>28</v>
      </c>
      <c r="K44" s="299" cm="1">
        <f t="array" aca="1" ref="K44" ca="1">'Itemized Costs-HIDDEN'!N32-INDIRECT("'Sch3-Perf Period Cash Flow'!D"&amp;7&amp;"")</f>
        <v>-1</v>
      </c>
      <c r="L44" s="299">
        <v>0</v>
      </c>
      <c r="M44" s="299">
        <f t="shared" ca="1" si="21"/>
        <v>-1</v>
      </c>
      <c r="N44" s="299">
        <f ca="1">ROUND(SUM(INDIRECT(S44):INDIRECT(T44)),0)</f>
        <v>-1</v>
      </c>
      <c r="O44" s="299">
        <f ca="1">IF(N44=0,0,ROUND(SUM(INDIRECT(U44):INDIRECT(V44)),0))</f>
        <v>0</v>
      </c>
      <c r="P44" s="461" t="str">
        <f t="shared" ca="1" si="5"/>
        <v/>
      </c>
      <c r="Q44" s="267">
        <f t="shared" si="12"/>
        <v>342</v>
      </c>
      <c r="R44" s="267">
        <f t="shared" si="19"/>
        <v>353</v>
      </c>
      <c r="S44" s="267" t="str">
        <f t="shared" si="6"/>
        <v>f342</v>
      </c>
      <c r="T44" s="267" t="str">
        <f t="shared" si="6"/>
        <v>f353</v>
      </c>
      <c r="U44" s="267" t="str">
        <f t="shared" si="22"/>
        <v>G342</v>
      </c>
      <c r="V44" s="267" t="str">
        <f t="shared" si="22"/>
        <v>G353</v>
      </c>
    </row>
    <row r="45" spans="1:22">
      <c r="A45" s="295">
        <f t="shared" si="7"/>
        <v>28</v>
      </c>
      <c r="B45" s="300">
        <f t="shared" si="13"/>
        <v>822</v>
      </c>
      <c r="C45" s="296">
        <f t="shared" ca="1" si="8"/>
        <v>1</v>
      </c>
      <c r="D45" s="295"/>
      <c r="E45" s="296">
        <f t="shared" si="20"/>
        <v>0</v>
      </c>
      <c r="F45" s="296">
        <f t="shared" ca="1" si="15"/>
        <v>0</v>
      </c>
      <c r="G45" s="296">
        <f t="shared" ca="1" si="16"/>
        <v>0</v>
      </c>
      <c r="H45" s="296">
        <f t="shared" ca="1" si="17"/>
        <v>1</v>
      </c>
      <c r="I45" s="297">
        <f t="shared" ca="1" si="3"/>
        <v>-1</v>
      </c>
      <c r="J45" s="298">
        <v>29</v>
      </c>
      <c r="K45" s="299" cm="1">
        <f t="array" aca="1" ref="K45" ca="1">'Itemized Costs-HIDDEN'!N33-INDIRECT("'Sch3-Perf Period Cash Flow'!D"&amp;7&amp;"")</f>
        <v>-1</v>
      </c>
      <c r="L45" s="299">
        <v>0</v>
      </c>
      <c r="M45" s="299">
        <f t="shared" ca="1" si="21"/>
        <v>-1</v>
      </c>
      <c r="N45" s="299">
        <f ca="1">ROUND(SUM(INDIRECT(S45):INDIRECT(T45)),0)</f>
        <v>-1</v>
      </c>
      <c r="O45" s="299">
        <f ca="1">IF(N45=0,0,ROUND(SUM(INDIRECT(U45):INDIRECT(V45)),0))</f>
        <v>0</v>
      </c>
      <c r="P45" s="461" t="str">
        <f t="shared" ca="1" si="5"/>
        <v/>
      </c>
      <c r="Q45" s="267">
        <f t="shared" si="12"/>
        <v>354</v>
      </c>
      <c r="R45" s="267">
        <f t="shared" si="19"/>
        <v>365</v>
      </c>
      <c r="S45" s="267" t="str">
        <f t="shared" si="6"/>
        <v>f354</v>
      </c>
      <c r="T45" s="267" t="str">
        <f t="shared" si="6"/>
        <v>f365</v>
      </c>
      <c r="U45" s="267" t="str">
        <f t="shared" si="22"/>
        <v>G354</v>
      </c>
      <c r="V45" s="267" t="str">
        <f t="shared" si="22"/>
        <v>G365</v>
      </c>
    </row>
    <row r="46" spans="1:22">
      <c r="A46" s="295">
        <f t="shared" si="7"/>
        <v>29</v>
      </c>
      <c r="B46" s="300">
        <f t="shared" si="13"/>
        <v>852</v>
      </c>
      <c r="C46" s="296">
        <f t="shared" ca="1" si="8"/>
        <v>1</v>
      </c>
      <c r="D46" s="295"/>
      <c r="E46" s="296">
        <f t="shared" si="20"/>
        <v>0</v>
      </c>
      <c r="F46" s="296">
        <f t="shared" ca="1" si="15"/>
        <v>0</v>
      </c>
      <c r="G46" s="296">
        <f t="shared" ca="1" si="16"/>
        <v>0</v>
      </c>
      <c r="H46" s="296">
        <f t="shared" ca="1" si="17"/>
        <v>1</v>
      </c>
      <c r="I46" s="297">
        <f t="shared" ca="1" si="3"/>
        <v>-1</v>
      </c>
      <c r="J46" s="298">
        <v>30</v>
      </c>
      <c r="K46" s="299" cm="1">
        <f t="array" aca="1" ref="K46" ca="1">'Itemized Costs-HIDDEN'!N34-INDIRECT("'Sch3-Perf Period Cash Flow'!D"&amp;7&amp;"")</f>
        <v>-1</v>
      </c>
      <c r="L46" s="299">
        <v>0</v>
      </c>
      <c r="M46" s="299">
        <f t="shared" ca="1" si="21"/>
        <v>-1</v>
      </c>
      <c r="N46" s="299">
        <f ca="1">ROUND(SUM(INDIRECT(S46):INDIRECT(T46)),0)</f>
        <v>-1</v>
      </c>
      <c r="O46" s="299">
        <f ca="1">IF(N46=0,0,ROUND(SUM(INDIRECT(U46):INDIRECT(V46)),0))</f>
        <v>0</v>
      </c>
      <c r="P46" s="461" t="str">
        <f t="shared" ca="1" si="5"/>
        <v/>
      </c>
      <c r="Q46" s="267">
        <f t="shared" si="12"/>
        <v>366</v>
      </c>
      <c r="R46" s="267">
        <f t="shared" si="19"/>
        <v>377</v>
      </c>
      <c r="S46" s="267" t="str">
        <f t="shared" si="6"/>
        <v>f366</v>
      </c>
      <c r="T46" s="267" t="str">
        <f t="shared" si="6"/>
        <v>f377</v>
      </c>
      <c r="U46" s="267" t="str">
        <f t="shared" si="22"/>
        <v>G366</v>
      </c>
      <c r="V46" s="267" t="str">
        <f t="shared" si="22"/>
        <v>G377</v>
      </c>
    </row>
    <row r="47" spans="1:22">
      <c r="A47" s="295">
        <f t="shared" si="7"/>
        <v>30</v>
      </c>
      <c r="B47" s="300">
        <f t="shared" si="13"/>
        <v>883</v>
      </c>
      <c r="C47" s="296">
        <f t="shared" ca="1" si="8"/>
        <v>1</v>
      </c>
      <c r="D47" s="295"/>
      <c r="E47" s="296">
        <f t="shared" ca="1" si="20"/>
        <v>-0.5</v>
      </c>
      <c r="F47" s="296">
        <f t="shared" ca="1" si="15"/>
        <v>-0.5</v>
      </c>
      <c r="G47" s="296">
        <f t="shared" ca="1" si="16"/>
        <v>0</v>
      </c>
      <c r="H47" s="296">
        <f t="shared" ca="1" si="17"/>
        <v>1.5</v>
      </c>
      <c r="I47" s="297">
        <f t="shared" ca="1" si="3"/>
        <v>-2</v>
      </c>
      <c r="J47" s="298">
        <v>31</v>
      </c>
      <c r="K47" s="299" cm="1">
        <f t="array" aca="1" ref="K47" ca="1">'Itemized Costs-HIDDEN'!N35-INDIRECT("'Sch3-Perf Period Cash Flow'!D"&amp;7&amp;"")</f>
        <v>-1</v>
      </c>
      <c r="L47" s="299">
        <v>0</v>
      </c>
      <c r="M47" s="299">
        <f t="shared" ca="1" si="21"/>
        <v>-1</v>
      </c>
      <c r="N47" s="299">
        <f ca="1">ROUND(SUM(INDIRECT(S47):INDIRECT(T47)),0)</f>
        <v>-1</v>
      </c>
      <c r="O47" s="299">
        <f ca="1">IF(N47=0,0,ROUND(SUM(INDIRECT(U47):INDIRECT(V47)),0))</f>
        <v>0</v>
      </c>
      <c r="P47" s="461" t="str">
        <f t="shared" ca="1" si="5"/>
        <v/>
      </c>
      <c r="Q47" s="267">
        <f t="shared" si="12"/>
        <v>378</v>
      </c>
      <c r="R47" s="267">
        <f t="shared" si="19"/>
        <v>389</v>
      </c>
      <c r="S47" s="267" t="str">
        <f t="shared" si="6"/>
        <v>f378</v>
      </c>
      <c r="T47" s="267" t="str">
        <f t="shared" si="6"/>
        <v>f389</v>
      </c>
      <c r="U47" s="267" t="str">
        <f t="shared" si="22"/>
        <v>G378</v>
      </c>
      <c r="V47" s="267" t="str">
        <f t="shared" si="22"/>
        <v>G389</v>
      </c>
    </row>
    <row r="48" spans="1:22">
      <c r="A48" s="295">
        <f t="shared" si="7"/>
        <v>31</v>
      </c>
      <c r="B48" s="300">
        <f t="shared" si="13"/>
        <v>913</v>
      </c>
      <c r="C48" s="296">
        <f t="shared" ca="1" si="8"/>
        <v>1.5</v>
      </c>
      <c r="D48" s="295"/>
      <c r="E48" s="296">
        <f t="shared" si="20"/>
        <v>0</v>
      </c>
      <c r="F48" s="296">
        <f t="shared" ca="1" si="15"/>
        <v>0</v>
      </c>
      <c r="G48" s="296">
        <f t="shared" ca="1" si="16"/>
        <v>0</v>
      </c>
      <c r="H48" s="296">
        <f t="shared" ca="1" si="17"/>
        <v>1.5</v>
      </c>
      <c r="I48" s="297">
        <f t="shared" ca="1" si="3"/>
        <v>-2</v>
      </c>
      <c r="J48" s="298">
        <v>32</v>
      </c>
      <c r="K48" s="299" cm="1">
        <f t="array" aca="1" ref="K48" ca="1">'Itemized Costs-HIDDEN'!N36-INDIRECT("'Sch3-Perf Period Cash Flow'!D"&amp;7&amp;"")</f>
        <v>-1</v>
      </c>
      <c r="L48" s="299">
        <v>0</v>
      </c>
      <c r="M48" s="299">
        <f t="shared" ca="1" si="21"/>
        <v>-1</v>
      </c>
      <c r="N48" s="299">
        <f ca="1">ROUND(SUM(INDIRECT(S48):INDIRECT(T48)),0)</f>
        <v>-1</v>
      </c>
      <c r="O48" s="299">
        <f ca="1">IF(N48=0,0,ROUND(SUM(INDIRECT(U48):INDIRECT(V48)),0))</f>
        <v>0</v>
      </c>
      <c r="P48" s="461" t="str">
        <f t="shared" ca="1" si="5"/>
        <v/>
      </c>
      <c r="Q48" s="267">
        <f t="shared" si="12"/>
        <v>390</v>
      </c>
      <c r="R48" s="267">
        <f t="shared" si="19"/>
        <v>401</v>
      </c>
      <c r="S48" s="267" t="str">
        <f t="shared" si="6"/>
        <v>f390</v>
      </c>
      <c r="T48" s="267" t="str">
        <f t="shared" si="6"/>
        <v>f401</v>
      </c>
      <c r="U48" s="267" t="str">
        <f t="shared" si="22"/>
        <v>G390</v>
      </c>
      <c r="V48" s="267" t="str">
        <f t="shared" si="22"/>
        <v>G401</v>
      </c>
    </row>
    <row r="49" spans="1:22">
      <c r="A49" s="295">
        <f t="shared" si="7"/>
        <v>32</v>
      </c>
      <c r="B49" s="300">
        <f t="shared" si="13"/>
        <v>944</v>
      </c>
      <c r="C49" s="296">
        <f t="shared" ca="1" si="8"/>
        <v>1.5</v>
      </c>
      <c r="D49" s="295"/>
      <c r="E49" s="296">
        <f t="shared" si="20"/>
        <v>0</v>
      </c>
      <c r="F49" s="296">
        <f t="shared" ca="1" si="15"/>
        <v>0</v>
      </c>
      <c r="G49" s="296">
        <f t="shared" ca="1" si="16"/>
        <v>0</v>
      </c>
      <c r="H49" s="296">
        <f t="shared" ca="1" si="17"/>
        <v>1.5</v>
      </c>
      <c r="I49" s="297">
        <f t="shared" ca="1" si="3"/>
        <v>-2</v>
      </c>
      <c r="J49" s="298">
        <v>33</v>
      </c>
      <c r="K49" s="299" cm="1">
        <f t="array" aca="1" ref="K49" ca="1">'Itemized Costs-HIDDEN'!N37-INDIRECT("'Sch3-Perf Period Cash Flow'!D"&amp;7&amp;"")</f>
        <v>-1</v>
      </c>
      <c r="L49" s="299">
        <v>0</v>
      </c>
      <c r="M49" s="299">
        <f t="shared" ca="1" si="21"/>
        <v>-1</v>
      </c>
      <c r="N49" s="299">
        <f ca="1">ROUND(SUM(INDIRECT(S49):INDIRECT(T49)),0)</f>
        <v>-1</v>
      </c>
      <c r="O49" s="299">
        <f ca="1">IF(N49=0,0,ROUND(SUM(INDIRECT(U49):INDIRECT(V49)),0))</f>
        <v>0</v>
      </c>
      <c r="P49" s="461" t="str">
        <f t="shared" ca="1" si="5"/>
        <v/>
      </c>
      <c r="Q49" s="267">
        <f t="shared" si="12"/>
        <v>402</v>
      </c>
      <c r="R49" s="267">
        <f t="shared" si="19"/>
        <v>413</v>
      </c>
      <c r="S49" s="267" t="str">
        <f t="shared" si="6"/>
        <v>f402</v>
      </c>
      <c r="T49" s="267" t="str">
        <f t="shared" si="6"/>
        <v>f413</v>
      </c>
      <c r="U49" s="267" t="str">
        <f t="shared" si="22"/>
        <v>G402</v>
      </c>
      <c r="V49" s="267" t="str">
        <f t="shared" si="22"/>
        <v>G413</v>
      </c>
    </row>
    <row r="50" spans="1:22">
      <c r="A50" s="295">
        <f t="shared" si="7"/>
        <v>33</v>
      </c>
      <c r="B50" s="300">
        <f t="shared" si="13"/>
        <v>975</v>
      </c>
      <c r="C50" s="296">
        <f t="shared" ca="1" si="8"/>
        <v>1.5</v>
      </c>
      <c r="D50" s="295"/>
      <c r="E50" s="296">
        <f t="shared" si="20"/>
        <v>0</v>
      </c>
      <c r="F50" s="296">
        <f t="shared" ca="1" si="15"/>
        <v>0</v>
      </c>
      <c r="G50" s="296">
        <f t="shared" ca="1" si="16"/>
        <v>0</v>
      </c>
      <c r="H50" s="296">
        <f t="shared" ca="1" si="17"/>
        <v>1.5</v>
      </c>
      <c r="I50" s="297">
        <f t="shared" ca="1" si="3"/>
        <v>-2</v>
      </c>
      <c r="J50" s="298">
        <v>34</v>
      </c>
      <c r="K50" s="299" cm="1">
        <f t="array" aca="1" ref="K50" ca="1">'Itemized Costs-HIDDEN'!N38-INDIRECT("'Sch3-Perf Period Cash Flow'!D"&amp;7&amp;"")</f>
        <v>-1</v>
      </c>
      <c r="L50" s="299">
        <v>0</v>
      </c>
      <c r="M50" s="299">
        <f t="shared" ca="1" si="21"/>
        <v>-1</v>
      </c>
      <c r="N50" s="299">
        <f ca="1">ROUND(SUM(INDIRECT(S50):INDIRECT(T50)),0)</f>
        <v>-1</v>
      </c>
      <c r="O50" s="299">
        <f ca="1">IF(N50=0,0,ROUND(SUM(INDIRECT(U50):INDIRECT(V50)),0))</f>
        <v>0</v>
      </c>
      <c r="P50" s="461" t="str">
        <f t="shared" ca="1" si="5"/>
        <v/>
      </c>
      <c r="Q50" s="267">
        <f t="shared" si="12"/>
        <v>414</v>
      </c>
      <c r="R50" s="267">
        <f t="shared" si="19"/>
        <v>425</v>
      </c>
      <c r="S50" s="267" t="str">
        <f t="shared" si="6"/>
        <v>f414</v>
      </c>
      <c r="T50" s="267" t="str">
        <f t="shared" si="6"/>
        <v>f425</v>
      </c>
      <c r="U50" s="267" t="str">
        <f t="shared" si="22"/>
        <v>G414</v>
      </c>
      <c r="V50" s="267" t="str">
        <f t="shared" si="22"/>
        <v>G425</v>
      </c>
    </row>
    <row r="51" spans="1:22">
      <c r="A51" s="295">
        <f t="shared" si="7"/>
        <v>34</v>
      </c>
      <c r="B51" s="300">
        <f t="shared" si="13"/>
        <v>1005</v>
      </c>
      <c r="C51" s="296">
        <f t="shared" ca="1" si="8"/>
        <v>1.5</v>
      </c>
      <c r="D51" s="295"/>
      <c r="E51" s="296">
        <f t="shared" si="20"/>
        <v>0</v>
      </c>
      <c r="F51" s="296">
        <f t="shared" ca="1" si="15"/>
        <v>0</v>
      </c>
      <c r="G51" s="296">
        <f t="shared" ca="1" si="16"/>
        <v>0</v>
      </c>
      <c r="H51" s="296">
        <f t="shared" ca="1" si="17"/>
        <v>1.5</v>
      </c>
      <c r="I51" s="297">
        <f t="shared" ca="1" si="3"/>
        <v>-2</v>
      </c>
      <c r="J51" s="298">
        <v>35</v>
      </c>
      <c r="K51" s="299" cm="1">
        <f t="array" aca="1" ref="K51" ca="1">'Itemized Costs-HIDDEN'!N39-INDIRECT("'Sch3-Perf Period Cash Flow'!D"&amp;7&amp;"")</f>
        <v>-1</v>
      </c>
      <c r="L51" s="299">
        <v>0</v>
      </c>
      <c r="M51" s="299">
        <f t="shared" ca="1" si="21"/>
        <v>-1</v>
      </c>
      <c r="N51" s="299">
        <f ca="1">ROUND(SUM(INDIRECT(S51):INDIRECT(T51)),0)</f>
        <v>-1</v>
      </c>
      <c r="O51" s="299">
        <f ca="1">IF(N51=0,0,ROUND(SUM(INDIRECT(U51):INDIRECT(V51)),0))</f>
        <v>0</v>
      </c>
      <c r="P51" s="461" t="str">
        <f t="shared" ca="1" si="5"/>
        <v/>
      </c>
      <c r="Q51" s="267">
        <f t="shared" si="12"/>
        <v>426</v>
      </c>
      <c r="R51" s="267">
        <f t="shared" si="19"/>
        <v>437</v>
      </c>
      <c r="S51" s="267" t="str">
        <f t="shared" si="6"/>
        <v>f426</v>
      </c>
      <c r="T51" s="267" t="str">
        <f t="shared" si="6"/>
        <v>f437</v>
      </c>
      <c r="U51" s="267" t="str">
        <f t="shared" si="22"/>
        <v>G426</v>
      </c>
      <c r="V51" s="267" t="str">
        <f t="shared" si="22"/>
        <v>G437</v>
      </c>
    </row>
    <row r="52" spans="1:22">
      <c r="A52" s="295">
        <f t="shared" si="7"/>
        <v>35</v>
      </c>
      <c r="B52" s="300">
        <f t="shared" si="13"/>
        <v>1036</v>
      </c>
      <c r="C52" s="296">
        <f t="shared" ca="1" si="8"/>
        <v>1.5</v>
      </c>
      <c r="D52" s="295"/>
      <c r="E52" s="296">
        <f t="shared" si="20"/>
        <v>0</v>
      </c>
      <c r="F52" s="296">
        <f t="shared" ca="1" si="15"/>
        <v>0</v>
      </c>
      <c r="G52" s="296">
        <f t="shared" ca="1" si="16"/>
        <v>0</v>
      </c>
      <c r="H52" s="296">
        <f t="shared" ca="1" si="17"/>
        <v>1.5</v>
      </c>
      <c r="I52" s="297">
        <f t="shared" ca="1" si="3"/>
        <v>-2</v>
      </c>
      <c r="J52" s="298">
        <v>36</v>
      </c>
      <c r="K52" s="299" cm="1">
        <f t="array" aca="1" ref="K52" ca="1">'Itemized Costs-HIDDEN'!N40-INDIRECT("'Sch3-Perf Period Cash Flow'!D"&amp;7&amp;"")</f>
        <v>-1</v>
      </c>
      <c r="L52" s="299">
        <v>0</v>
      </c>
      <c r="M52" s="299">
        <f t="shared" ca="1" si="21"/>
        <v>-1</v>
      </c>
      <c r="N52" s="299">
        <f ca="1">ROUND(SUM(INDIRECT(S52):INDIRECT(T52)),0)</f>
        <v>-1</v>
      </c>
      <c r="O52" s="299">
        <f ca="1">IF(N52=0,0,ROUND(SUM(INDIRECT(U52):INDIRECT(V52)),0))</f>
        <v>0</v>
      </c>
      <c r="P52" s="461" t="str">
        <f t="shared" ca="1" si="5"/>
        <v/>
      </c>
      <c r="Q52" s="267">
        <f t="shared" si="12"/>
        <v>438</v>
      </c>
      <c r="R52" s="267">
        <f t="shared" si="19"/>
        <v>449</v>
      </c>
      <c r="S52" s="267" t="str">
        <f t="shared" si="6"/>
        <v>f438</v>
      </c>
      <c r="T52" s="267" t="str">
        <f t="shared" si="6"/>
        <v>f449</v>
      </c>
      <c r="U52" s="267" t="str">
        <f t="shared" si="22"/>
        <v>G438</v>
      </c>
      <c r="V52" s="267" t="str">
        <f t="shared" si="22"/>
        <v>G449</v>
      </c>
    </row>
    <row r="53" spans="1:22">
      <c r="A53" s="295">
        <f t="shared" si="7"/>
        <v>36</v>
      </c>
      <c r="B53" s="300">
        <f t="shared" si="13"/>
        <v>1066</v>
      </c>
      <c r="C53" s="296">
        <f t="shared" ca="1" si="8"/>
        <v>1.5</v>
      </c>
      <c r="D53" s="296">
        <f ca="1">IF(H53&lt;0,0,0.5*(K20-L20))</f>
        <v>-0.5</v>
      </c>
      <c r="E53" s="296">
        <f t="shared" ca="1" si="20"/>
        <v>-0.5</v>
      </c>
      <c r="F53" s="296">
        <f t="shared" ca="1" si="15"/>
        <v>-0.5</v>
      </c>
      <c r="G53" s="296">
        <f t="shared" ca="1" si="16"/>
        <v>0</v>
      </c>
      <c r="H53" s="296">
        <f t="shared" ca="1" si="17"/>
        <v>2</v>
      </c>
      <c r="I53" s="297">
        <f t="shared" ca="1" si="3"/>
        <v>-3</v>
      </c>
      <c r="J53" s="298">
        <v>37</v>
      </c>
      <c r="K53" s="299" cm="1">
        <f t="array" aca="1" ref="K53" ca="1">'Itemized Costs-HIDDEN'!N41-INDIRECT("'Sch3-Perf Period Cash Flow'!D"&amp;7&amp;"")</f>
        <v>-1</v>
      </c>
      <c r="L53" s="299">
        <v>0</v>
      </c>
      <c r="M53" s="299">
        <f t="shared" ca="1" si="21"/>
        <v>-1</v>
      </c>
      <c r="N53" s="299">
        <f ca="1">ROUND(SUM(INDIRECT(S53):INDIRECT(T53)),0)</f>
        <v>-1</v>
      </c>
      <c r="O53" s="299">
        <f ca="1">IF(N53=0,0,ROUND(SUM(INDIRECT(U53):INDIRECT(V53)),0))</f>
        <v>0</v>
      </c>
      <c r="P53" s="461" t="str">
        <f t="shared" ca="1" si="5"/>
        <v/>
      </c>
      <c r="Q53" s="267">
        <f t="shared" si="12"/>
        <v>450</v>
      </c>
      <c r="R53" s="267">
        <f t="shared" si="19"/>
        <v>461</v>
      </c>
      <c r="S53" s="267" t="str">
        <f t="shared" si="6"/>
        <v>f450</v>
      </c>
      <c r="T53" s="267" t="str">
        <f t="shared" si="6"/>
        <v>f461</v>
      </c>
      <c r="U53" s="267" t="str">
        <f t="shared" si="22"/>
        <v>G450</v>
      </c>
      <c r="V53" s="267" t="str">
        <f t="shared" si="22"/>
        <v>G461</v>
      </c>
    </row>
    <row r="54" spans="1:22">
      <c r="A54" s="295">
        <f t="shared" si="7"/>
        <v>37</v>
      </c>
      <c r="B54" s="300">
        <f t="shared" si="13"/>
        <v>1097</v>
      </c>
      <c r="C54" s="296">
        <f t="shared" ca="1" si="8"/>
        <v>2</v>
      </c>
      <c r="D54" s="296"/>
      <c r="E54" s="296">
        <f t="shared" ref="E54:E65" si="23">IF($D$10=1,IF(OR(MONTH(B54)=MONTH(EDATE($D$7,0)),MONTH(B54)=MONTH(EDATE($D$7,6))),(MIN($D$53,H53)),0),IF($D$10=0,IF(OR(MONTH(B54)=MONTH(EDATE($D$7,5)),MONTH(B54)=MONTH(EDATE($D$7,11))),(MIN($D$53,H53)),0)))</f>
        <v>0</v>
      </c>
      <c r="F54" s="296">
        <f t="shared" ca="1" si="15"/>
        <v>0</v>
      </c>
      <c r="G54" s="296">
        <f t="shared" ca="1" si="16"/>
        <v>0</v>
      </c>
      <c r="H54" s="296">
        <f t="shared" ca="1" si="17"/>
        <v>2</v>
      </c>
      <c r="I54" s="297">
        <f t="shared" ca="1" si="3"/>
        <v>-2</v>
      </c>
      <c r="J54" s="298">
        <v>38</v>
      </c>
      <c r="K54" s="299" cm="1">
        <f t="array" aca="1" ref="K54" ca="1">'Itemized Costs-HIDDEN'!N42-INDIRECT("'Sch3-Perf Period Cash Flow'!D"&amp;7&amp;"")</f>
        <v>-1</v>
      </c>
      <c r="L54" s="299">
        <v>0</v>
      </c>
      <c r="M54" s="299">
        <f t="shared" ca="1" si="21"/>
        <v>-1</v>
      </c>
      <c r="N54" s="299">
        <f ca="1">ROUND(SUM(INDIRECT(S54):INDIRECT(T54)),0)</f>
        <v>-1</v>
      </c>
      <c r="O54" s="299">
        <f ca="1">IF(N54=0,0,ROUND(SUM(INDIRECT(U54):INDIRECT(V54)),0))</f>
        <v>0</v>
      </c>
      <c r="P54" s="461" t="str">
        <f t="shared" ca="1" si="5"/>
        <v/>
      </c>
      <c r="Q54" s="267">
        <f t="shared" si="12"/>
        <v>462</v>
      </c>
      <c r="R54" s="267">
        <f t="shared" si="19"/>
        <v>473</v>
      </c>
      <c r="S54" s="267" t="str">
        <f t="shared" si="6"/>
        <v>f462</v>
      </c>
      <c r="T54" s="267" t="str">
        <f t="shared" si="6"/>
        <v>f473</v>
      </c>
      <c r="U54" s="267" t="str">
        <f t="shared" si="22"/>
        <v>G462</v>
      </c>
      <c r="V54" s="267" t="str">
        <f t="shared" si="22"/>
        <v>G473</v>
      </c>
    </row>
    <row r="55" spans="1:22">
      <c r="A55" s="295">
        <f t="shared" si="7"/>
        <v>38</v>
      </c>
      <c r="B55" s="300">
        <f t="shared" si="13"/>
        <v>1128</v>
      </c>
      <c r="C55" s="296">
        <f t="shared" ca="1" si="8"/>
        <v>2</v>
      </c>
      <c r="D55" s="295"/>
      <c r="E55" s="296">
        <f t="shared" si="23"/>
        <v>0</v>
      </c>
      <c r="F55" s="296">
        <f t="shared" ca="1" si="15"/>
        <v>0</v>
      </c>
      <c r="G55" s="296">
        <f t="shared" ca="1" si="16"/>
        <v>0</v>
      </c>
      <c r="H55" s="296">
        <f t="shared" ca="1" si="17"/>
        <v>2</v>
      </c>
      <c r="I55" s="297">
        <f t="shared" ca="1" si="3"/>
        <v>-2</v>
      </c>
      <c r="J55" s="298">
        <v>39</v>
      </c>
      <c r="K55" s="299" cm="1">
        <f t="array" aca="1" ref="K55" ca="1">'Itemized Costs-HIDDEN'!N43-INDIRECT("'Sch3-Perf Period Cash Flow'!D"&amp;7&amp;"")</f>
        <v>-1</v>
      </c>
      <c r="L55" s="299">
        <v>0</v>
      </c>
      <c r="M55" s="299">
        <f t="shared" ca="1" si="21"/>
        <v>-1</v>
      </c>
      <c r="N55" s="299">
        <f ca="1">ROUND(SUM(INDIRECT(S55):INDIRECT(T55)),0)</f>
        <v>-1</v>
      </c>
      <c r="O55" s="299">
        <f ca="1">IF(N55=0,0,ROUND(SUM(INDIRECT(U55):INDIRECT(V55)),0))</f>
        <v>0</v>
      </c>
      <c r="P55" s="461" t="str">
        <f t="shared" ca="1" si="5"/>
        <v/>
      </c>
      <c r="Q55" s="267">
        <f t="shared" si="12"/>
        <v>474</v>
      </c>
      <c r="R55" s="267">
        <f t="shared" si="19"/>
        <v>485</v>
      </c>
      <c r="S55" s="267" t="str">
        <f t="shared" si="6"/>
        <v>f474</v>
      </c>
      <c r="T55" s="267" t="str">
        <f t="shared" si="6"/>
        <v>f485</v>
      </c>
      <c r="U55" s="267" t="str">
        <f t="shared" si="22"/>
        <v>G474</v>
      </c>
      <c r="V55" s="267" t="str">
        <f t="shared" si="22"/>
        <v>G485</v>
      </c>
    </row>
    <row r="56" spans="1:22">
      <c r="A56" s="295">
        <f t="shared" si="7"/>
        <v>39</v>
      </c>
      <c r="B56" s="300">
        <f t="shared" si="13"/>
        <v>1156</v>
      </c>
      <c r="C56" s="296">
        <f t="shared" ca="1" si="8"/>
        <v>2</v>
      </c>
      <c r="D56" s="295"/>
      <c r="E56" s="296">
        <f t="shared" si="23"/>
        <v>0</v>
      </c>
      <c r="F56" s="296">
        <f t="shared" ca="1" si="15"/>
        <v>0</v>
      </c>
      <c r="G56" s="296">
        <f t="shared" ca="1" si="16"/>
        <v>0</v>
      </c>
      <c r="H56" s="296">
        <f t="shared" ca="1" si="17"/>
        <v>2</v>
      </c>
      <c r="I56" s="297">
        <f t="shared" ca="1" si="3"/>
        <v>-2</v>
      </c>
      <c r="J56" s="298">
        <v>40</v>
      </c>
      <c r="K56" s="299" cm="1">
        <f t="array" aca="1" ref="K56" ca="1">'Itemized Costs-HIDDEN'!N44-INDIRECT("'Sch3-Perf Period Cash Flow'!D"&amp;7&amp;"")</f>
        <v>-1</v>
      </c>
      <c r="L56" s="299">
        <v>0</v>
      </c>
      <c r="M56" s="299">
        <f t="shared" ca="1" si="21"/>
        <v>-1</v>
      </c>
      <c r="N56" s="299">
        <f ca="1">ROUND(SUM(INDIRECT(S56):INDIRECT(T56)),0)</f>
        <v>-1</v>
      </c>
      <c r="O56" s="299">
        <f ca="1">IF(N56=0,0,ROUND(SUM(INDIRECT(U56):INDIRECT(V56)),0))</f>
        <v>0</v>
      </c>
      <c r="P56" s="461" t="str">
        <f t="shared" ca="1" si="5"/>
        <v/>
      </c>
      <c r="Q56" s="267">
        <f t="shared" si="12"/>
        <v>486</v>
      </c>
      <c r="R56" s="267">
        <f t="shared" si="19"/>
        <v>497</v>
      </c>
      <c r="S56" s="267" t="str">
        <f t="shared" si="6"/>
        <v>f486</v>
      </c>
      <c r="T56" s="267" t="str">
        <f t="shared" si="6"/>
        <v>f497</v>
      </c>
      <c r="U56" s="267" t="str">
        <f t="shared" si="22"/>
        <v>G486</v>
      </c>
      <c r="V56" s="267" t="str">
        <f t="shared" si="22"/>
        <v>G497</v>
      </c>
    </row>
    <row r="57" spans="1:22">
      <c r="A57" s="295">
        <f t="shared" si="7"/>
        <v>40</v>
      </c>
      <c r="B57" s="300">
        <f t="shared" si="13"/>
        <v>1187</v>
      </c>
      <c r="C57" s="296">
        <f t="shared" ca="1" si="8"/>
        <v>2</v>
      </c>
      <c r="D57" s="295"/>
      <c r="E57" s="296">
        <f t="shared" si="23"/>
        <v>0</v>
      </c>
      <c r="F57" s="296">
        <f t="shared" ca="1" si="15"/>
        <v>0</v>
      </c>
      <c r="G57" s="296">
        <f t="shared" ca="1" si="16"/>
        <v>0</v>
      </c>
      <c r="H57" s="296">
        <f t="shared" ca="1" si="17"/>
        <v>2</v>
      </c>
      <c r="I57" s="297">
        <f t="shared" ca="1" si="3"/>
        <v>-2</v>
      </c>
    </row>
    <row r="58" spans="1:22">
      <c r="A58" s="295">
        <f t="shared" si="7"/>
        <v>41</v>
      </c>
      <c r="B58" s="300">
        <f t="shared" si="13"/>
        <v>1217</v>
      </c>
      <c r="C58" s="296">
        <f t="shared" ca="1" si="8"/>
        <v>2</v>
      </c>
      <c r="D58" s="295"/>
      <c r="E58" s="296">
        <f t="shared" si="23"/>
        <v>0</v>
      </c>
      <c r="F58" s="296">
        <f t="shared" ca="1" si="15"/>
        <v>0</v>
      </c>
      <c r="G58" s="296">
        <f t="shared" ca="1" si="16"/>
        <v>0</v>
      </c>
      <c r="H58" s="296">
        <f t="shared" ca="1" si="17"/>
        <v>2</v>
      </c>
      <c r="I58" s="297">
        <f t="shared" ca="1" si="3"/>
        <v>-2</v>
      </c>
    </row>
    <row r="59" spans="1:22">
      <c r="A59" s="295">
        <f t="shared" si="7"/>
        <v>42</v>
      </c>
      <c r="B59" s="300">
        <f t="shared" si="13"/>
        <v>1248</v>
      </c>
      <c r="C59" s="296">
        <f t="shared" ca="1" si="8"/>
        <v>2</v>
      </c>
      <c r="D59" s="295"/>
      <c r="E59" s="296">
        <f t="shared" ca="1" si="23"/>
        <v>-0.5</v>
      </c>
      <c r="F59" s="296">
        <f t="shared" ca="1" si="15"/>
        <v>-0.5</v>
      </c>
      <c r="G59" s="296">
        <f t="shared" ca="1" si="16"/>
        <v>0</v>
      </c>
      <c r="H59" s="296">
        <f t="shared" ca="1" si="17"/>
        <v>2.5</v>
      </c>
      <c r="I59" s="297">
        <f t="shared" ca="1" si="3"/>
        <v>-3</v>
      </c>
    </row>
    <row r="60" spans="1:22">
      <c r="A60" s="295">
        <f t="shared" si="7"/>
        <v>43</v>
      </c>
      <c r="B60" s="300">
        <f t="shared" si="13"/>
        <v>1278</v>
      </c>
      <c r="C60" s="296">
        <f t="shared" ca="1" si="8"/>
        <v>2.5</v>
      </c>
      <c r="D60" s="295"/>
      <c r="E60" s="296">
        <f t="shared" si="23"/>
        <v>0</v>
      </c>
      <c r="F60" s="296">
        <f t="shared" ca="1" si="15"/>
        <v>0</v>
      </c>
      <c r="G60" s="296">
        <f t="shared" ca="1" si="16"/>
        <v>0</v>
      </c>
      <c r="H60" s="296">
        <f t="shared" ca="1" si="17"/>
        <v>2.5</v>
      </c>
      <c r="I60" s="297">
        <f t="shared" ca="1" si="3"/>
        <v>-3</v>
      </c>
    </row>
    <row r="61" spans="1:22">
      <c r="A61" s="295">
        <f t="shared" si="7"/>
        <v>44</v>
      </c>
      <c r="B61" s="300">
        <f t="shared" si="13"/>
        <v>1309</v>
      </c>
      <c r="C61" s="296">
        <f t="shared" ca="1" si="8"/>
        <v>2.5</v>
      </c>
      <c r="D61" s="295"/>
      <c r="E61" s="296">
        <f t="shared" si="23"/>
        <v>0</v>
      </c>
      <c r="F61" s="296">
        <f t="shared" ca="1" si="15"/>
        <v>0</v>
      </c>
      <c r="G61" s="296">
        <f t="shared" ca="1" si="16"/>
        <v>0</v>
      </c>
      <c r="H61" s="296">
        <f t="shared" ca="1" si="17"/>
        <v>2.5</v>
      </c>
      <c r="I61" s="297">
        <f t="shared" ca="1" si="3"/>
        <v>-3</v>
      </c>
    </row>
    <row r="62" spans="1:22">
      <c r="A62" s="295">
        <f t="shared" si="7"/>
        <v>45</v>
      </c>
      <c r="B62" s="300">
        <f t="shared" si="13"/>
        <v>1340</v>
      </c>
      <c r="C62" s="296">
        <f t="shared" ca="1" si="8"/>
        <v>2.5</v>
      </c>
      <c r="D62" s="295"/>
      <c r="E62" s="296">
        <f t="shared" si="23"/>
        <v>0</v>
      </c>
      <c r="F62" s="296">
        <f t="shared" ca="1" si="15"/>
        <v>0</v>
      </c>
      <c r="G62" s="296">
        <f t="shared" ca="1" si="16"/>
        <v>0</v>
      </c>
      <c r="H62" s="296">
        <f t="shared" ca="1" si="17"/>
        <v>2.5</v>
      </c>
      <c r="I62" s="297">
        <f t="shared" ca="1" si="3"/>
        <v>-3</v>
      </c>
    </row>
    <row r="63" spans="1:22">
      <c r="A63" s="295">
        <f t="shared" si="7"/>
        <v>46</v>
      </c>
      <c r="B63" s="300">
        <f t="shared" si="13"/>
        <v>1370</v>
      </c>
      <c r="C63" s="296">
        <f t="shared" ca="1" si="8"/>
        <v>2.5</v>
      </c>
      <c r="D63" s="295"/>
      <c r="E63" s="296">
        <f t="shared" si="23"/>
        <v>0</v>
      </c>
      <c r="F63" s="296">
        <f t="shared" ca="1" si="15"/>
        <v>0</v>
      </c>
      <c r="G63" s="296">
        <f t="shared" ca="1" si="16"/>
        <v>0</v>
      </c>
      <c r="H63" s="296">
        <f t="shared" ca="1" si="17"/>
        <v>2.5</v>
      </c>
      <c r="I63" s="297">
        <f t="shared" ca="1" si="3"/>
        <v>-3</v>
      </c>
    </row>
    <row r="64" spans="1:22">
      <c r="A64" s="295">
        <f t="shared" si="7"/>
        <v>47</v>
      </c>
      <c r="B64" s="300">
        <f t="shared" si="13"/>
        <v>1401</v>
      </c>
      <c r="C64" s="296">
        <f t="shared" ca="1" si="8"/>
        <v>2.5</v>
      </c>
      <c r="D64" s="295"/>
      <c r="E64" s="296">
        <f t="shared" si="23"/>
        <v>0</v>
      </c>
      <c r="F64" s="296">
        <f t="shared" ca="1" si="15"/>
        <v>0</v>
      </c>
      <c r="G64" s="296">
        <f t="shared" ca="1" si="16"/>
        <v>0</v>
      </c>
      <c r="H64" s="296">
        <f t="shared" ca="1" si="17"/>
        <v>2.5</v>
      </c>
      <c r="I64" s="297">
        <f t="shared" ca="1" si="3"/>
        <v>-3</v>
      </c>
    </row>
    <row r="65" spans="1:9">
      <c r="A65" s="295">
        <f t="shared" si="7"/>
        <v>48</v>
      </c>
      <c r="B65" s="300">
        <f t="shared" si="13"/>
        <v>1431</v>
      </c>
      <c r="C65" s="296">
        <f t="shared" ca="1" si="8"/>
        <v>2.5</v>
      </c>
      <c r="D65" s="296">
        <f ca="1">IF(H65&lt;0,0,0.5*(K21-L21))</f>
        <v>-0.5</v>
      </c>
      <c r="E65" s="296">
        <f t="shared" ca="1" si="23"/>
        <v>-0.5</v>
      </c>
      <c r="F65" s="296">
        <f t="shared" ca="1" si="15"/>
        <v>-0.5</v>
      </c>
      <c r="G65" s="296">
        <f t="shared" ca="1" si="16"/>
        <v>0</v>
      </c>
      <c r="H65" s="296">
        <f t="shared" ca="1" si="17"/>
        <v>3</v>
      </c>
      <c r="I65" s="297">
        <f t="shared" ca="1" si="3"/>
        <v>-4</v>
      </c>
    </row>
    <row r="66" spans="1:9">
      <c r="A66" s="295">
        <f t="shared" si="7"/>
        <v>49</v>
      </c>
      <c r="B66" s="300">
        <f t="shared" si="13"/>
        <v>1462</v>
      </c>
      <c r="C66" s="296">
        <f t="shared" ca="1" si="8"/>
        <v>3</v>
      </c>
      <c r="D66" s="295"/>
      <c r="E66" s="296">
        <f t="shared" ref="E66:E77" si="24">IF($D$10=1,IF(OR(MONTH(B66)=MONTH(EDATE($D$7,0)),MONTH(B66)=MONTH(EDATE($D$7,6))),(MIN($D$65,H65)),0),IF($D$10=0,IF(OR(MONTH(B66)=MONTH(EDATE($D$7,5)),MONTH(B66)=MONTH(EDATE($D$7,11))),(MIN($D$65,H65)),0)))</f>
        <v>0</v>
      </c>
      <c r="F66" s="296">
        <f t="shared" ca="1" si="15"/>
        <v>0</v>
      </c>
      <c r="G66" s="296">
        <f t="shared" ca="1" si="16"/>
        <v>0</v>
      </c>
      <c r="H66" s="296">
        <f t="shared" ca="1" si="17"/>
        <v>3</v>
      </c>
      <c r="I66" s="297">
        <f t="shared" ca="1" si="3"/>
        <v>-3</v>
      </c>
    </row>
    <row r="67" spans="1:9">
      <c r="A67" s="295">
        <f t="shared" si="7"/>
        <v>50</v>
      </c>
      <c r="B67" s="300">
        <f t="shared" si="13"/>
        <v>1493</v>
      </c>
      <c r="C67" s="296">
        <f t="shared" ca="1" si="8"/>
        <v>3</v>
      </c>
      <c r="D67" s="296"/>
      <c r="E67" s="296">
        <f t="shared" si="24"/>
        <v>0</v>
      </c>
      <c r="F67" s="296">
        <f t="shared" ca="1" si="15"/>
        <v>0</v>
      </c>
      <c r="G67" s="296">
        <f t="shared" ca="1" si="16"/>
        <v>0</v>
      </c>
      <c r="H67" s="296">
        <f t="shared" ca="1" si="17"/>
        <v>3</v>
      </c>
      <c r="I67" s="297">
        <f t="shared" ca="1" si="3"/>
        <v>-3</v>
      </c>
    </row>
    <row r="68" spans="1:9">
      <c r="A68" s="295">
        <f t="shared" si="7"/>
        <v>51</v>
      </c>
      <c r="B68" s="300">
        <f t="shared" si="13"/>
        <v>1522</v>
      </c>
      <c r="C68" s="296">
        <f t="shared" ca="1" si="8"/>
        <v>3</v>
      </c>
      <c r="D68" s="295"/>
      <c r="E68" s="296">
        <f t="shared" si="24"/>
        <v>0</v>
      </c>
      <c r="F68" s="296">
        <f t="shared" ca="1" si="15"/>
        <v>0</v>
      </c>
      <c r="G68" s="296">
        <f t="shared" ca="1" si="16"/>
        <v>0</v>
      </c>
      <c r="H68" s="296">
        <f t="shared" ca="1" si="17"/>
        <v>3</v>
      </c>
      <c r="I68" s="297">
        <f t="shared" ca="1" si="3"/>
        <v>-3</v>
      </c>
    </row>
    <row r="69" spans="1:9">
      <c r="A69" s="295">
        <f t="shared" si="7"/>
        <v>52</v>
      </c>
      <c r="B69" s="300">
        <f t="shared" si="13"/>
        <v>1553</v>
      </c>
      <c r="C69" s="296">
        <f t="shared" ca="1" si="8"/>
        <v>3</v>
      </c>
      <c r="D69" s="295"/>
      <c r="E69" s="296">
        <f t="shared" si="24"/>
        <v>0</v>
      </c>
      <c r="F69" s="296">
        <f t="shared" ca="1" si="15"/>
        <v>0</v>
      </c>
      <c r="G69" s="296">
        <f t="shared" ca="1" si="16"/>
        <v>0</v>
      </c>
      <c r="H69" s="296">
        <f t="shared" ca="1" si="17"/>
        <v>3</v>
      </c>
      <c r="I69" s="297">
        <f t="shared" ca="1" si="3"/>
        <v>-3</v>
      </c>
    </row>
    <row r="70" spans="1:9">
      <c r="A70" s="295">
        <f t="shared" si="7"/>
        <v>53</v>
      </c>
      <c r="B70" s="300">
        <f t="shared" si="13"/>
        <v>1583</v>
      </c>
      <c r="C70" s="296">
        <f t="shared" ca="1" si="8"/>
        <v>3</v>
      </c>
      <c r="D70" s="295"/>
      <c r="E70" s="296">
        <f t="shared" si="24"/>
        <v>0</v>
      </c>
      <c r="F70" s="296">
        <f t="shared" ca="1" si="15"/>
        <v>0</v>
      </c>
      <c r="G70" s="296">
        <f t="shared" ca="1" si="16"/>
        <v>0</v>
      </c>
      <c r="H70" s="296">
        <f t="shared" ca="1" si="17"/>
        <v>3</v>
      </c>
      <c r="I70" s="297">
        <f t="shared" ca="1" si="3"/>
        <v>-3</v>
      </c>
    </row>
    <row r="71" spans="1:9">
      <c r="A71" s="295">
        <f t="shared" si="7"/>
        <v>54</v>
      </c>
      <c r="B71" s="300">
        <f t="shared" si="13"/>
        <v>1614</v>
      </c>
      <c r="C71" s="296">
        <f t="shared" ca="1" si="8"/>
        <v>3</v>
      </c>
      <c r="D71" s="295"/>
      <c r="E71" s="296">
        <f t="shared" ca="1" si="24"/>
        <v>-0.5</v>
      </c>
      <c r="F71" s="296">
        <f t="shared" ca="1" si="15"/>
        <v>-0.5</v>
      </c>
      <c r="G71" s="296">
        <f t="shared" ca="1" si="16"/>
        <v>0</v>
      </c>
      <c r="H71" s="296">
        <f t="shared" ca="1" si="17"/>
        <v>3.5</v>
      </c>
      <c r="I71" s="297">
        <f t="shared" ca="1" si="3"/>
        <v>-4</v>
      </c>
    </row>
    <row r="72" spans="1:9">
      <c r="A72" s="295">
        <f t="shared" si="7"/>
        <v>55</v>
      </c>
      <c r="B72" s="300">
        <f t="shared" si="13"/>
        <v>1644</v>
      </c>
      <c r="C72" s="296">
        <f t="shared" ca="1" si="8"/>
        <v>3.5</v>
      </c>
      <c r="D72" s="295"/>
      <c r="E72" s="296">
        <f t="shared" si="24"/>
        <v>0</v>
      </c>
      <c r="F72" s="296">
        <f t="shared" ca="1" si="15"/>
        <v>0</v>
      </c>
      <c r="G72" s="296">
        <f t="shared" ca="1" si="16"/>
        <v>0</v>
      </c>
      <c r="H72" s="296">
        <f t="shared" ca="1" si="17"/>
        <v>3.5</v>
      </c>
      <c r="I72" s="297">
        <f t="shared" ca="1" si="3"/>
        <v>-4</v>
      </c>
    </row>
    <row r="73" spans="1:9">
      <c r="A73" s="295">
        <f t="shared" si="7"/>
        <v>56</v>
      </c>
      <c r="B73" s="300">
        <f t="shared" si="13"/>
        <v>1675</v>
      </c>
      <c r="C73" s="296">
        <f t="shared" ca="1" si="8"/>
        <v>3.5</v>
      </c>
      <c r="D73" s="295"/>
      <c r="E73" s="296">
        <f t="shared" si="24"/>
        <v>0</v>
      </c>
      <c r="F73" s="296">
        <f t="shared" ca="1" si="15"/>
        <v>0</v>
      </c>
      <c r="G73" s="296">
        <f t="shared" ca="1" si="16"/>
        <v>0</v>
      </c>
      <c r="H73" s="296">
        <f t="shared" ca="1" si="17"/>
        <v>3.5</v>
      </c>
      <c r="I73" s="297">
        <f t="shared" ca="1" si="3"/>
        <v>-4</v>
      </c>
    </row>
    <row r="74" spans="1:9">
      <c r="A74" s="295">
        <f t="shared" si="7"/>
        <v>57</v>
      </c>
      <c r="B74" s="300">
        <f t="shared" si="13"/>
        <v>1706</v>
      </c>
      <c r="C74" s="296">
        <f t="shared" ca="1" si="8"/>
        <v>3.5</v>
      </c>
      <c r="D74" s="295"/>
      <c r="E74" s="296">
        <f t="shared" si="24"/>
        <v>0</v>
      </c>
      <c r="F74" s="296">
        <f t="shared" ca="1" si="15"/>
        <v>0</v>
      </c>
      <c r="G74" s="296">
        <f t="shared" ca="1" si="16"/>
        <v>0</v>
      </c>
      <c r="H74" s="296">
        <f t="shared" ca="1" si="17"/>
        <v>3.5</v>
      </c>
      <c r="I74" s="297">
        <f t="shared" ca="1" si="3"/>
        <v>-4</v>
      </c>
    </row>
    <row r="75" spans="1:9">
      <c r="A75" s="295">
        <f t="shared" si="7"/>
        <v>58</v>
      </c>
      <c r="B75" s="300">
        <f t="shared" si="13"/>
        <v>1736</v>
      </c>
      <c r="C75" s="296">
        <f t="shared" ca="1" si="8"/>
        <v>3.5</v>
      </c>
      <c r="D75" s="295"/>
      <c r="E75" s="296">
        <f t="shared" si="24"/>
        <v>0</v>
      </c>
      <c r="F75" s="296">
        <f t="shared" ca="1" si="15"/>
        <v>0</v>
      </c>
      <c r="G75" s="296">
        <f t="shared" ca="1" si="16"/>
        <v>0</v>
      </c>
      <c r="H75" s="296">
        <f t="shared" ca="1" si="17"/>
        <v>3.5</v>
      </c>
      <c r="I75" s="297">
        <f t="shared" ca="1" si="3"/>
        <v>-4</v>
      </c>
    </row>
    <row r="76" spans="1:9">
      <c r="A76" s="295">
        <f t="shared" si="7"/>
        <v>59</v>
      </c>
      <c r="B76" s="300">
        <f t="shared" si="13"/>
        <v>1767</v>
      </c>
      <c r="C76" s="296">
        <f t="shared" ca="1" si="8"/>
        <v>3.5</v>
      </c>
      <c r="D76" s="295"/>
      <c r="E76" s="296">
        <f t="shared" si="24"/>
        <v>0</v>
      </c>
      <c r="F76" s="296">
        <f t="shared" ca="1" si="15"/>
        <v>0</v>
      </c>
      <c r="G76" s="296">
        <f t="shared" ca="1" si="16"/>
        <v>0</v>
      </c>
      <c r="H76" s="296">
        <f t="shared" ca="1" si="17"/>
        <v>3.5</v>
      </c>
      <c r="I76" s="297">
        <f t="shared" ca="1" si="3"/>
        <v>-4</v>
      </c>
    </row>
    <row r="77" spans="1:9">
      <c r="A77" s="295">
        <f t="shared" si="7"/>
        <v>60</v>
      </c>
      <c r="B77" s="300">
        <f t="shared" si="13"/>
        <v>1797</v>
      </c>
      <c r="C77" s="296">
        <f t="shared" ca="1" si="8"/>
        <v>3.5</v>
      </c>
      <c r="D77" s="296">
        <f ca="1">IF(H77&lt;0,0,0.5*(K22-L22))</f>
        <v>-0.5</v>
      </c>
      <c r="E77" s="296">
        <f t="shared" ca="1" si="24"/>
        <v>-0.5</v>
      </c>
      <c r="F77" s="296">
        <f t="shared" ca="1" si="15"/>
        <v>-0.5</v>
      </c>
      <c r="G77" s="296">
        <f t="shared" ca="1" si="16"/>
        <v>0</v>
      </c>
      <c r="H77" s="296">
        <f t="shared" ca="1" si="17"/>
        <v>4</v>
      </c>
      <c r="I77" s="297">
        <f t="shared" ca="1" si="3"/>
        <v>-5</v>
      </c>
    </row>
    <row r="78" spans="1:9">
      <c r="A78" s="295">
        <f t="shared" si="7"/>
        <v>61</v>
      </c>
      <c r="B78" s="300">
        <f t="shared" si="13"/>
        <v>1828</v>
      </c>
      <c r="C78" s="296">
        <f t="shared" ca="1" si="8"/>
        <v>4</v>
      </c>
      <c r="D78" s="296"/>
      <c r="E78" s="296">
        <f t="shared" ref="E78:E89" si="25">IF($D$10=1,IF(OR(MONTH(B78)=MONTH(EDATE($D$7,0)),MONTH(B78)=MONTH(EDATE($D$7,6))),(MIN($D$77,H77)),0),IF($D$10=0,IF(OR(MONTH(B78)=MONTH(EDATE($D$7,5)),MONTH(B78)=MONTH(EDATE($D$7,11))),(MIN($D$77,H77)),0)))</f>
        <v>0</v>
      </c>
      <c r="F78" s="296">
        <f t="shared" ca="1" si="15"/>
        <v>0</v>
      </c>
      <c r="G78" s="296">
        <f t="shared" ca="1" si="16"/>
        <v>0</v>
      </c>
      <c r="H78" s="296">
        <f t="shared" ca="1" si="17"/>
        <v>4</v>
      </c>
      <c r="I78" s="297">
        <f t="shared" ca="1" si="3"/>
        <v>-4</v>
      </c>
    </row>
    <row r="79" spans="1:9">
      <c r="A79" s="295">
        <f t="shared" si="7"/>
        <v>62</v>
      </c>
      <c r="B79" s="300">
        <f t="shared" si="13"/>
        <v>1859</v>
      </c>
      <c r="C79" s="296">
        <f t="shared" ca="1" si="8"/>
        <v>4</v>
      </c>
      <c r="D79" s="296"/>
      <c r="E79" s="296">
        <f t="shared" si="25"/>
        <v>0</v>
      </c>
      <c r="F79" s="296">
        <f t="shared" ca="1" si="15"/>
        <v>0</v>
      </c>
      <c r="G79" s="296">
        <f t="shared" ca="1" si="16"/>
        <v>0</v>
      </c>
      <c r="H79" s="296">
        <f t="shared" ca="1" si="17"/>
        <v>4</v>
      </c>
      <c r="I79" s="297">
        <f t="shared" ca="1" si="3"/>
        <v>-4</v>
      </c>
    </row>
    <row r="80" spans="1:9">
      <c r="A80" s="295">
        <f t="shared" si="7"/>
        <v>63</v>
      </c>
      <c r="B80" s="300">
        <f t="shared" si="13"/>
        <v>1887</v>
      </c>
      <c r="C80" s="296">
        <f t="shared" ca="1" si="8"/>
        <v>4</v>
      </c>
      <c r="D80" s="295"/>
      <c r="E80" s="296">
        <f t="shared" si="25"/>
        <v>0</v>
      </c>
      <c r="F80" s="296">
        <f t="shared" ca="1" si="15"/>
        <v>0</v>
      </c>
      <c r="G80" s="296">
        <f t="shared" ca="1" si="16"/>
        <v>0</v>
      </c>
      <c r="H80" s="296">
        <f t="shared" ca="1" si="17"/>
        <v>4</v>
      </c>
      <c r="I80" s="297">
        <f t="shared" ca="1" si="3"/>
        <v>-4</v>
      </c>
    </row>
    <row r="81" spans="1:9">
      <c r="A81" s="295">
        <f t="shared" si="7"/>
        <v>64</v>
      </c>
      <c r="B81" s="300">
        <f t="shared" si="13"/>
        <v>1918</v>
      </c>
      <c r="C81" s="296">
        <f t="shared" ca="1" si="8"/>
        <v>4</v>
      </c>
      <c r="D81" s="295"/>
      <c r="E81" s="296">
        <f t="shared" si="25"/>
        <v>0</v>
      </c>
      <c r="F81" s="296">
        <f t="shared" ca="1" si="15"/>
        <v>0</v>
      </c>
      <c r="G81" s="296">
        <f t="shared" ca="1" si="16"/>
        <v>0</v>
      </c>
      <c r="H81" s="296">
        <f t="shared" ca="1" si="17"/>
        <v>4</v>
      </c>
      <c r="I81" s="297">
        <f t="shared" ca="1" si="3"/>
        <v>-4</v>
      </c>
    </row>
    <row r="82" spans="1:9">
      <c r="A82" s="295">
        <f t="shared" si="7"/>
        <v>65</v>
      </c>
      <c r="B82" s="300">
        <f t="shared" si="13"/>
        <v>1948</v>
      </c>
      <c r="C82" s="296">
        <f t="shared" ca="1" si="8"/>
        <v>4</v>
      </c>
      <c r="D82" s="295"/>
      <c r="E82" s="296">
        <f t="shared" si="25"/>
        <v>0</v>
      </c>
      <c r="F82" s="296">
        <f t="shared" ca="1" si="15"/>
        <v>0</v>
      </c>
      <c r="G82" s="296">
        <f t="shared" ca="1" si="16"/>
        <v>0</v>
      </c>
      <c r="H82" s="296">
        <f t="shared" ca="1" si="17"/>
        <v>4</v>
      </c>
      <c r="I82" s="297">
        <f t="shared" ref="I82:I145" ca="1" si="26">ROUND((D82-H82),0)</f>
        <v>-4</v>
      </c>
    </row>
    <row r="83" spans="1:9">
      <c r="A83" s="295">
        <f t="shared" ref="A83:A146" si="27">IF(A82="","",IF(A82=$D$6,"",A82+1))</f>
        <v>66</v>
      </c>
      <c r="B83" s="300">
        <f t="shared" si="13"/>
        <v>1979</v>
      </c>
      <c r="C83" s="296">
        <f t="shared" ref="C83:C146" ca="1" si="28">IF(H82=0,0,H82)</f>
        <v>4</v>
      </c>
      <c r="D83" s="295"/>
      <c r="E83" s="296">
        <f t="shared" ca="1" si="25"/>
        <v>-0.5</v>
      </c>
      <c r="F83" s="296">
        <f t="shared" ca="1" si="15"/>
        <v>-0.5</v>
      </c>
      <c r="G83" s="296">
        <f t="shared" ca="1" si="16"/>
        <v>0</v>
      </c>
      <c r="H83" s="296">
        <f t="shared" ca="1" si="17"/>
        <v>4.5</v>
      </c>
      <c r="I83" s="297">
        <f t="shared" ca="1" si="26"/>
        <v>-5</v>
      </c>
    </row>
    <row r="84" spans="1:9">
      <c r="A84" s="295">
        <f t="shared" si="27"/>
        <v>67</v>
      </c>
      <c r="B84" s="300">
        <f t="shared" ref="B84:B147" si="29">DATE(YEAR(B83),MONTH(B83)+1,1)</f>
        <v>2009</v>
      </c>
      <c r="C84" s="296">
        <f t="shared" ca="1" si="28"/>
        <v>4.5</v>
      </c>
      <c r="D84" s="295"/>
      <c r="E84" s="296">
        <f t="shared" si="25"/>
        <v>0</v>
      </c>
      <c r="F84" s="296">
        <f t="shared" ca="1" si="15"/>
        <v>0</v>
      </c>
      <c r="G84" s="296">
        <f t="shared" ca="1" si="16"/>
        <v>0</v>
      </c>
      <c r="H84" s="296">
        <f t="shared" ca="1" si="17"/>
        <v>4.5</v>
      </c>
      <c r="I84" s="297">
        <f t="shared" ca="1" si="26"/>
        <v>-5</v>
      </c>
    </row>
    <row r="85" spans="1:9">
      <c r="A85" s="295">
        <f t="shared" si="27"/>
        <v>68</v>
      </c>
      <c r="B85" s="300">
        <f t="shared" si="29"/>
        <v>2040</v>
      </c>
      <c r="C85" s="296">
        <f t="shared" ca="1" si="28"/>
        <v>4.5</v>
      </c>
      <c r="D85" s="295"/>
      <c r="E85" s="296">
        <f t="shared" si="25"/>
        <v>0</v>
      </c>
      <c r="F85" s="296">
        <f t="shared" ca="1" si="15"/>
        <v>0</v>
      </c>
      <c r="G85" s="296">
        <f t="shared" ca="1" si="16"/>
        <v>0</v>
      </c>
      <c r="H85" s="296">
        <f t="shared" ca="1" si="17"/>
        <v>4.5</v>
      </c>
      <c r="I85" s="297">
        <f t="shared" ca="1" si="26"/>
        <v>-5</v>
      </c>
    </row>
    <row r="86" spans="1:9">
      <c r="A86" s="295">
        <f t="shared" si="27"/>
        <v>69</v>
      </c>
      <c r="B86" s="300">
        <f t="shared" si="29"/>
        <v>2071</v>
      </c>
      <c r="C86" s="296">
        <f t="shared" ca="1" si="28"/>
        <v>4.5</v>
      </c>
      <c r="D86" s="295"/>
      <c r="E86" s="296">
        <f t="shared" si="25"/>
        <v>0</v>
      </c>
      <c r="F86" s="296">
        <f t="shared" ca="1" si="15"/>
        <v>0</v>
      </c>
      <c r="G86" s="296">
        <f t="shared" ca="1" si="16"/>
        <v>0</v>
      </c>
      <c r="H86" s="296">
        <f t="shared" ca="1" si="17"/>
        <v>4.5</v>
      </c>
      <c r="I86" s="297">
        <f t="shared" ca="1" si="26"/>
        <v>-5</v>
      </c>
    </row>
    <row r="87" spans="1:9">
      <c r="A87" s="295">
        <f t="shared" si="27"/>
        <v>70</v>
      </c>
      <c r="B87" s="300">
        <f t="shared" si="29"/>
        <v>2101</v>
      </c>
      <c r="C87" s="296">
        <f t="shared" ca="1" si="28"/>
        <v>4.5</v>
      </c>
      <c r="D87" s="295"/>
      <c r="E87" s="296">
        <f t="shared" si="25"/>
        <v>0</v>
      </c>
      <c r="F87" s="296">
        <f t="shared" ca="1" si="15"/>
        <v>0</v>
      </c>
      <c r="G87" s="296">
        <f t="shared" ca="1" si="16"/>
        <v>0</v>
      </c>
      <c r="H87" s="296">
        <f t="shared" ca="1" si="17"/>
        <v>4.5</v>
      </c>
      <c r="I87" s="297">
        <f t="shared" ca="1" si="26"/>
        <v>-5</v>
      </c>
    </row>
    <row r="88" spans="1:9">
      <c r="A88" s="295">
        <f t="shared" si="27"/>
        <v>71</v>
      </c>
      <c r="B88" s="300">
        <f t="shared" si="29"/>
        <v>2132</v>
      </c>
      <c r="C88" s="296">
        <f t="shared" ca="1" si="28"/>
        <v>4.5</v>
      </c>
      <c r="D88" s="295"/>
      <c r="E88" s="296">
        <f t="shared" si="25"/>
        <v>0</v>
      </c>
      <c r="F88" s="296">
        <f t="shared" ca="1" si="15"/>
        <v>0</v>
      </c>
      <c r="G88" s="296">
        <f t="shared" ca="1" si="16"/>
        <v>0</v>
      </c>
      <c r="H88" s="296">
        <f t="shared" ca="1" si="17"/>
        <v>4.5</v>
      </c>
      <c r="I88" s="297">
        <f t="shared" ca="1" si="26"/>
        <v>-5</v>
      </c>
    </row>
    <row r="89" spans="1:9">
      <c r="A89" s="295">
        <f t="shared" si="27"/>
        <v>72</v>
      </c>
      <c r="B89" s="300">
        <f t="shared" si="29"/>
        <v>2162</v>
      </c>
      <c r="C89" s="296">
        <f t="shared" ca="1" si="28"/>
        <v>4.5</v>
      </c>
      <c r="D89" s="296">
        <f ca="1">IF(H89&lt;0,0,0.5*(K23-L23))</f>
        <v>-0.5</v>
      </c>
      <c r="E89" s="296">
        <f t="shared" ca="1" si="25"/>
        <v>-0.5</v>
      </c>
      <c r="F89" s="296">
        <f t="shared" ca="1" si="15"/>
        <v>-0.5</v>
      </c>
      <c r="G89" s="296">
        <f t="shared" ca="1" si="16"/>
        <v>0</v>
      </c>
      <c r="H89" s="296">
        <f t="shared" ca="1" si="17"/>
        <v>5</v>
      </c>
      <c r="I89" s="297">
        <f t="shared" ca="1" si="26"/>
        <v>-6</v>
      </c>
    </row>
    <row r="90" spans="1:9">
      <c r="A90" s="295">
        <f t="shared" si="27"/>
        <v>73</v>
      </c>
      <c r="B90" s="300">
        <f t="shared" si="29"/>
        <v>2193</v>
      </c>
      <c r="C90" s="296">
        <f t="shared" ca="1" si="28"/>
        <v>5</v>
      </c>
      <c r="D90" s="296"/>
      <c r="E90" s="296">
        <f t="shared" ref="E90:E101" si="30">IF($D$10=1,IF(OR(MONTH(B90)=MONTH(EDATE($D$7,0)),MONTH(B90)=MONTH(EDATE($D$7,6))),(MIN($D$89,H89)),0),IF($D$10=0,IF(OR(MONTH(B90)=MONTH(EDATE($D$7,5)),MONTH(B90)=MONTH(EDATE($D$7,11))),(MIN($D$89,H89)),0)))</f>
        <v>0</v>
      </c>
      <c r="F90" s="296">
        <f t="shared" ca="1" si="15"/>
        <v>0</v>
      </c>
      <c r="G90" s="296">
        <f t="shared" ca="1" si="16"/>
        <v>0</v>
      </c>
      <c r="H90" s="296">
        <f t="shared" ca="1" si="17"/>
        <v>5</v>
      </c>
      <c r="I90" s="297">
        <f t="shared" ca="1" si="26"/>
        <v>-5</v>
      </c>
    </row>
    <row r="91" spans="1:9">
      <c r="A91" s="295">
        <f t="shared" si="27"/>
        <v>74</v>
      </c>
      <c r="B91" s="300">
        <f t="shared" si="29"/>
        <v>2224</v>
      </c>
      <c r="C91" s="296">
        <f t="shared" ca="1" si="28"/>
        <v>5</v>
      </c>
      <c r="D91" s="296"/>
      <c r="E91" s="296">
        <f t="shared" si="30"/>
        <v>0</v>
      </c>
      <c r="F91" s="296">
        <f t="shared" ca="1" si="15"/>
        <v>0</v>
      </c>
      <c r="G91" s="296">
        <f t="shared" ca="1" si="16"/>
        <v>0</v>
      </c>
      <c r="H91" s="296">
        <f t="shared" ca="1" si="17"/>
        <v>5</v>
      </c>
      <c r="I91" s="297">
        <f t="shared" ca="1" si="26"/>
        <v>-5</v>
      </c>
    </row>
    <row r="92" spans="1:9">
      <c r="A92" s="295">
        <f t="shared" si="27"/>
        <v>75</v>
      </c>
      <c r="B92" s="300">
        <f t="shared" si="29"/>
        <v>2252</v>
      </c>
      <c r="C92" s="296">
        <f t="shared" ca="1" si="28"/>
        <v>5</v>
      </c>
      <c r="D92" s="295"/>
      <c r="E92" s="296">
        <f t="shared" si="30"/>
        <v>0</v>
      </c>
      <c r="F92" s="296">
        <f t="shared" ca="1" si="15"/>
        <v>0</v>
      </c>
      <c r="G92" s="296">
        <f t="shared" ca="1" si="16"/>
        <v>0</v>
      </c>
      <c r="H92" s="296">
        <f t="shared" ca="1" si="17"/>
        <v>5</v>
      </c>
      <c r="I92" s="297">
        <f t="shared" ca="1" si="26"/>
        <v>-5</v>
      </c>
    </row>
    <row r="93" spans="1:9">
      <c r="A93" s="295">
        <f t="shared" si="27"/>
        <v>76</v>
      </c>
      <c r="B93" s="300">
        <f t="shared" si="29"/>
        <v>2283</v>
      </c>
      <c r="C93" s="296">
        <f t="shared" ca="1" si="28"/>
        <v>5</v>
      </c>
      <c r="D93" s="295"/>
      <c r="E93" s="296">
        <f t="shared" si="30"/>
        <v>0</v>
      </c>
      <c r="F93" s="296">
        <f t="shared" ca="1" si="15"/>
        <v>0</v>
      </c>
      <c r="G93" s="296">
        <f t="shared" ca="1" si="16"/>
        <v>0</v>
      </c>
      <c r="H93" s="296">
        <f t="shared" ca="1" si="17"/>
        <v>5</v>
      </c>
      <c r="I93" s="297">
        <f t="shared" ca="1" si="26"/>
        <v>-5</v>
      </c>
    </row>
    <row r="94" spans="1:9">
      <c r="A94" s="295">
        <f t="shared" si="27"/>
        <v>77</v>
      </c>
      <c r="B94" s="300">
        <f t="shared" si="29"/>
        <v>2313</v>
      </c>
      <c r="C94" s="296">
        <f t="shared" ca="1" si="28"/>
        <v>5</v>
      </c>
      <c r="D94" s="295"/>
      <c r="E94" s="296">
        <f t="shared" si="30"/>
        <v>0</v>
      </c>
      <c r="F94" s="296">
        <f t="shared" ref="F94:F157" ca="1" si="31">IF(E94="","",E94-G94)</f>
        <v>0</v>
      </c>
      <c r="G94" s="296">
        <f t="shared" ref="G94:G157" ca="1" si="32">ROUND((C94-E94)*$D$5,3)</f>
        <v>0</v>
      </c>
      <c r="H94" s="296">
        <f t="shared" ref="H94:H157" ca="1" si="33">IF(E94="","",ROUND(H93-F94,4))</f>
        <v>5</v>
      </c>
      <c r="I94" s="297">
        <f t="shared" ca="1" si="26"/>
        <v>-5</v>
      </c>
    </row>
    <row r="95" spans="1:9">
      <c r="A95" s="295">
        <f t="shared" si="27"/>
        <v>78</v>
      </c>
      <c r="B95" s="300">
        <f t="shared" si="29"/>
        <v>2344</v>
      </c>
      <c r="C95" s="296">
        <f t="shared" ca="1" si="28"/>
        <v>5</v>
      </c>
      <c r="D95" s="295"/>
      <c r="E95" s="296">
        <f t="shared" ca="1" si="30"/>
        <v>-0.5</v>
      </c>
      <c r="F95" s="296">
        <f t="shared" ca="1" si="31"/>
        <v>-0.5</v>
      </c>
      <c r="G95" s="296">
        <f t="shared" ca="1" si="32"/>
        <v>0</v>
      </c>
      <c r="H95" s="296">
        <f t="shared" ca="1" si="33"/>
        <v>5.5</v>
      </c>
      <c r="I95" s="297">
        <f t="shared" ca="1" si="26"/>
        <v>-6</v>
      </c>
    </row>
    <row r="96" spans="1:9">
      <c r="A96" s="295">
        <f t="shared" si="27"/>
        <v>79</v>
      </c>
      <c r="B96" s="300">
        <f t="shared" si="29"/>
        <v>2374</v>
      </c>
      <c r="C96" s="296">
        <f t="shared" ca="1" si="28"/>
        <v>5.5</v>
      </c>
      <c r="D96" s="295"/>
      <c r="E96" s="296">
        <f t="shared" si="30"/>
        <v>0</v>
      </c>
      <c r="F96" s="296">
        <f t="shared" ca="1" si="31"/>
        <v>0</v>
      </c>
      <c r="G96" s="296">
        <f t="shared" ca="1" si="32"/>
        <v>0</v>
      </c>
      <c r="H96" s="296">
        <f t="shared" ca="1" si="33"/>
        <v>5.5</v>
      </c>
      <c r="I96" s="297">
        <f t="shared" ca="1" si="26"/>
        <v>-6</v>
      </c>
    </row>
    <row r="97" spans="1:9">
      <c r="A97" s="295">
        <f t="shared" si="27"/>
        <v>80</v>
      </c>
      <c r="B97" s="300">
        <f t="shared" si="29"/>
        <v>2405</v>
      </c>
      <c r="C97" s="296">
        <f t="shared" ca="1" si="28"/>
        <v>5.5</v>
      </c>
      <c r="D97" s="295"/>
      <c r="E97" s="296">
        <f t="shared" si="30"/>
        <v>0</v>
      </c>
      <c r="F97" s="296">
        <f t="shared" ca="1" si="31"/>
        <v>0</v>
      </c>
      <c r="G97" s="296">
        <f t="shared" ca="1" si="32"/>
        <v>0</v>
      </c>
      <c r="H97" s="296">
        <f t="shared" ca="1" si="33"/>
        <v>5.5</v>
      </c>
      <c r="I97" s="297">
        <f t="shared" ca="1" si="26"/>
        <v>-6</v>
      </c>
    </row>
    <row r="98" spans="1:9">
      <c r="A98" s="295">
        <f t="shared" si="27"/>
        <v>81</v>
      </c>
      <c r="B98" s="300">
        <f t="shared" si="29"/>
        <v>2436</v>
      </c>
      <c r="C98" s="296">
        <f t="shared" ca="1" si="28"/>
        <v>5.5</v>
      </c>
      <c r="D98" s="295"/>
      <c r="E98" s="296">
        <f t="shared" si="30"/>
        <v>0</v>
      </c>
      <c r="F98" s="296">
        <f t="shared" ca="1" si="31"/>
        <v>0</v>
      </c>
      <c r="G98" s="296">
        <f t="shared" ca="1" si="32"/>
        <v>0</v>
      </c>
      <c r="H98" s="296">
        <f t="shared" ca="1" si="33"/>
        <v>5.5</v>
      </c>
      <c r="I98" s="297">
        <f t="shared" ca="1" si="26"/>
        <v>-6</v>
      </c>
    </row>
    <row r="99" spans="1:9">
      <c r="A99" s="295">
        <f t="shared" si="27"/>
        <v>82</v>
      </c>
      <c r="B99" s="300">
        <f t="shared" si="29"/>
        <v>2466</v>
      </c>
      <c r="C99" s="296">
        <f t="shared" ca="1" si="28"/>
        <v>5.5</v>
      </c>
      <c r="D99" s="295"/>
      <c r="E99" s="296">
        <f t="shared" si="30"/>
        <v>0</v>
      </c>
      <c r="F99" s="296">
        <f t="shared" ca="1" si="31"/>
        <v>0</v>
      </c>
      <c r="G99" s="296">
        <f t="shared" ca="1" si="32"/>
        <v>0</v>
      </c>
      <c r="H99" s="296">
        <f t="shared" ca="1" si="33"/>
        <v>5.5</v>
      </c>
      <c r="I99" s="297">
        <f t="shared" ca="1" si="26"/>
        <v>-6</v>
      </c>
    </row>
    <row r="100" spans="1:9">
      <c r="A100" s="295">
        <f t="shared" si="27"/>
        <v>83</v>
      </c>
      <c r="B100" s="300">
        <f t="shared" si="29"/>
        <v>2497</v>
      </c>
      <c r="C100" s="296">
        <f t="shared" ca="1" si="28"/>
        <v>5.5</v>
      </c>
      <c r="D100" s="295"/>
      <c r="E100" s="296">
        <f t="shared" si="30"/>
        <v>0</v>
      </c>
      <c r="F100" s="296">
        <f t="shared" ca="1" si="31"/>
        <v>0</v>
      </c>
      <c r="G100" s="296">
        <f t="shared" ca="1" si="32"/>
        <v>0</v>
      </c>
      <c r="H100" s="296">
        <f t="shared" ca="1" si="33"/>
        <v>5.5</v>
      </c>
      <c r="I100" s="297">
        <f t="shared" ca="1" si="26"/>
        <v>-6</v>
      </c>
    </row>
    <row r="101" spans="1:9">
      <c r="A101" s="295">
        <f t="shared" si="27"/>
        <v>84</v>
      </c>
      <c r="B101" s="300">
        <f t="shared" si="29"/>
        <v>2527</v>
      </c>
      <c r="C101" s="296">
        <f t="shared" ca="1" si="28"/>
        <v>5.5</v>
      </c>
      <c r="D101" s="296">
        <f ca="1">IF(H101&lt;0,0,0.5*(K24-L24))</f>
        <v>-0.5</v>
      </c>
      <c r="E101" s="296">
        <f t="shared" ca="1" si="30"/>
        <v>-0.5</v>
      </c>
      <c r="F101" s="296">
        <f t="shared" ca="1" si="31"/>
        <v>-0.5</v>
      </c>
      <c r="G101" s="296">
        <f t="shared" ca="1" si="32"/>
        <v>0</v>
      </c>
      <c r="H101" s="296">
        <f t="shared" ca="1" si="33"/>
        <v>6</v>
      </c>
      <c r="I101" s="297">
        <f t="shared" ca="1" si="26"/>
        <v>-7</v>
      </c>
    </row>
    <row r="102" spans="1:9">
      <c r="A102" s="295">
        <f t="shared" si="27"/>
        <v>85</v>
      </c>
      <c r="B102" s="300">
        <f t="shared" si="29"/>
        <v>2558</v>
      </c>
      <c r="C102" s="296">
        <f t="shared" ca="1" si="28"/>
        <v>6</v>
      </c>
      <c r="D102" s="296"/>
      <c r="E102" s="296">
        <f t="shared" ref="E102:E113" si="34">IF($D$10=1,IF(OR(MONTH(B102)=MONTH(EDATE($D$7,0)),MONTH(B102)=MONTH(EDATE($D$7,6))),(MIN($D$101,H101)),0),IF($D$10=0,IF(OR(MONTH(B102)=MONTH(EDATE($D$7,5)),MONTH(B102)=MONTH(EDATE($D$7,11))),(MIN($D$101,H101)),0)))</f>
        <v>0</v>
      </c>
      <c r="F102" s="296">
        <f t="shared" ca="1" si="31"/>
        <v>0</v>
      </c>
      <c r="G102" s="296">
        <f t="shared" ca="1" si="32"/>
        <v>0</v>
      </c>
      <c r="H102" s="296">
        <f t="shared" ca="1" si="33"/>
        <v>6</v>
      </c>
      <c r="I102" s="297">
        <f t="shared" ca="1" si="26"/>
        <v>-6</v>
      </c>
    </row>
    <row r="103" spans="1:9">
      <c r="A103" s="295">
        <f t="shared" si="27"/>
        <v>86</v>
      </c>
      <c r="B103" s="300">
        <f t="shared" si="29"/>
        <v>2589</v>
      </c>
      <c r="C103" s="296">
        <f t="shared" ca="1" si="28"/>
        <v>6</v>
      </c>
      <c r="D103" s="295"/>
      <c r="E103" s="296">
        <f t="shared" si="34"/>
        <v>0</v>
      </c>
      <c r="F103" s="296">
        <f t="shared" ca="1" si="31"/>
        <v>0</v>
      </c>
      <c r="G103" s="296">
        <f t="shared" ca="1" si="32"/>
        <v>0</v>
      </c>
      <c r="H103" s="296">
        <f t="shared" ca="1" si="33"/>
        <v>6</v>
      </c>
      <c r="I103" s="297">
        <f t="shared" ca="1" si="26"/>
        <v>-6</v>
      </c>
    </row>
    <row r="104" spans="1:9">
      <c r="A104" s="295">
        <f t="shared" si="27"/>
        <v>87</v>
      </c>
      <c r="B104" s="300">
        <f t="shared" si="29"/>
        <v>2617</v>
      </c>
      <c r="C104" s="296">
        <f t="shared" ca="1" si="28"/>
        <v>6</v>
      </c>
      <c r="D104" s="295"/>
      <c r="E104" s="296">
        <f t="shared" si="34"/>
        <v>0</v>
      </c>
      <c r="F104" s="296">
        <f t="shared" ca="1" si="31"/>
        <v>0</v>
      </c>
      <c r="G104" s="296">
        <f t="shared" ca="1" si="32"/>
        <v>0</v>
      </c>
      <c r="H104" s="296">
        <f t="shared" ca="1" si="33"/>
        <v>6</v>
      </c>
      <c r="I104" s="297">
        <f t="shared" ca="1" si="26"/>
        <v>-6</v>
      </c>
    </row>
    <row r="105" spans="1:9">
      <c r="A105" s="295">
        <f t="shared" si="27"/>
        <v>88</v>
      </c>
      <c r="B105" s="300">
        <f t="shared" si="29"/>
        <v>2648</v>
      </c>
      <c r="C105" s="296">
        <f t="shared" ca="1" si="28"/>
        <v>6</v>
      </c>
      <c r="D105" s="295"/>
      <c r="E105" s="296">
        <f t="shared" si="34"/>
        <v>0</v>
      </c>
      <c r="F105" s="296">
        <f t="shared" ca="1" si="31"/>
        <v>0</v>
      </c>
      <c r="G105" s="296">
        <f t="shared" ca="1" si="32"/>
        <v>0</v>
      </c>
      <c r="H105" s="296">
        <f t="shared" ca="1" si="33"/>
        <v>6</v>
      </c>
      <c r="I105" s="297">
        <f t="shared" ca="1" si="26"/>
        <v>-6</v>
      </c>
    </row>
    <row r="106" spans="1:9">
      <c r="A106" s="295">
        <f t="shared" si="27"/>
        <v>89</v>
      </c>
      <c r="B106" s="300">
        <f t="shared" si="29"/>
        <v>2678</v>
      </c>
      <c r="C106" s="296">
        <f t="shared" ca="1" si="28"/>
        <v>6</v>
      </c>
      <c r="D106" s="295"/>
      <c r="E106" s="296">
        <f t="shared" si="34"/>
        <v>0</v>
      </c>
      <c r="F106" s="296">
        <f t="shared" ca="1" si="31"/>
        <v>0</v>
      </c>
      <c r="G106" s="296">
        <f t="shared" ca="1" si="32"/>
        <v>0</v>
      </c>
      <c r="H106" s="296">
        <f t="shared" ca="1" si="33"/>
        <v>6</v>
      </c>
      <c r="I106" s="297">
        <f t="shared" ca="1" si="26"/>
        <v>-6</v>
      </c>
    </row>
    <row r="107" spans="1:9">
      <c r="A107" s="295">
        <f t="shared" si="27"/>
        <v>90</v>
      </c>
      <c r="B107" s="300">
        <f t="shared" si="29"/>
        <v>2709</v>
      </c>
      <c r="C107" s="296">
        <f t="shared" ca="1" si="28"/>
        <v>6</v>
      </c>
      <c r="D107" s="295"/>
      <c r="E107" s="296">
        <f t="shared" ca="1" si="34"/>
        <v>-0.5</v>
      </c>
      <c r="F107" s="296">
        <f t="shared" ca="1" si="31"/>
        <v>-0.5</v>
      </c>
      <c r="G107" s="296">
        <f t="shared" ca="1" si="32"/>
        <v>0</v>
      </c>
      <c r="H107" s="296">
        <f t="shared" ca="1" si="33"/>
        <v>6.5</v>
      </c>
      <c r="I107" s="297">
        <f t="shared" ca="1" si="26"/>
        <v>-7</v>
      </c>
    </row>
    <row r="108" spans="1:9">
      <c r="A108" s="295">
        <f t="shared" si="27"/>
        <v>91</v>
      </c>
      <c r="B108" s="300">
        <f t="shared" si="29"/>
        <v>2739</v>
      </c>
      <c r="C108" s="296">
        <f t="shared" ca="1" si="28"/>
        <v>6.5</v>
      </c>
      <c r="D108" s="295"/>
      <c r="E108" s="296">
        <f t="shared" si="34"/>
        <v>0</v>
      </c>
      <c r="F108" s="296">
        <f t="shared" ca="1" si="31"/>
        <v>0</v>
      </c>
      <c r="G108" s="296">
        <f t="shared" ca="1" si="32"/>
        <v>0</v>
      </c>
      <c r="H108" s="296">
        <f t="shared" ca="1" si="33"/>
        <v>6.5</v>
      </c>
      <c r="I108" s="297">
        <f t="shared" ca="1" si="26"/>
        <v>-7</v>
      </c>
    </row>
    <row r="109" spans="1:9">
      <c r="A109" s="295">
        <f t="shared" si="27"/>
        <v>92</v>
      </c>
      <c r="B109" s="300">
        <f t="shared" si="29"/>
        <v>2770</v>
      </c>
      <c r="C109" s="296">
        <f t="shared" ca="1" si="28"/>
        <v>6.5</v>
      </c>
      <c r="D109" s="295"/>
      <c r="E109" s="296">
        <f t="shared" si="34"/>
        <v>0</v>
      </c>
      <c r="F109" s="296">
        <f t="shared" ca="1" si="31"/>
        <v>0</v>
      </c>
      <c r="G109" s="296">
        <f t="shared" ca="1" si="32"/>
        <v>0</v>
      </c>
      <c r="H109" s="296">
        <f t="shared" ca="1" si="33"/>
        <v>6.5</v>
      </c>
      <c r="I109" s="297">
        <f t="shared" ca="1" si="26"/>
        <v>-7</v>
      </c>
    </row>
    <row r="110" spans="1:9">
      <c r="A110" s="295">
        <f t="shared" si="27"/>
        <v>93</v>
      </c>
      <c r="B110" s="300">
        <f t="shared" si="29"/>
        <v>2801</v>
      </c>
      <c r="C110" s="296">
        <f t="shared" ca="1" si="28"/>
        <v>6.5</v>
      </c>
      <c r="D110" s="295"/>
      <c r="E110" s="296">
        <f t="shared" si="34"/>
        <v>0</v>
      </c>
      <c r="F110" s="296">
        <f t="shared" ca="1" si="31"/>
        <v>0</v>
      </c>
      <c r="G110" s="296">
        <f t="shared" ca="1" si="32"/>
        <v>0</v>
      </c>
      <c r="H110" s="296">
        <f t="shared" ca="1" si="33"/>
        <v>6.5</v>
      </c>
      <c r="I110" s="297">
        <f t="shared" ca="1" si="26"/>
        <v>-7</v>
      </c>
    </row>
    <row r="111" spans="1:9">
      <c r="A111" s="295">
        <f t="shared" si="27"/>
        <v>94</v>
      </c>
      <c r="B111" s="300">
        <f t="shared" si="29"/>
        <v>2831</v>
      </c>
      <c r="C111" s="296">
        <f t="shared" ca="1" si="28"/>
        <v>6.5</v>
      </c>
      <c r="D111" s="295"/>
      <c r="E111" s="296">
        <f t="shared" si="34"/>
        <v>0</v>
      </c>
      <c r="F111" s="296">
        <f t="shared" ca="1" si="31"/>
        <v>0</v>
      </c>
      <c r="G111" s="296">
        <f t="shared" ca="1" si="32"/>
        <v>0</v>
      </c>
      <c r="H111" s="296">
        <f t="shared" ca="1" si="33"/>
        <v>6.5</v>
      </c>
      <c r="I111" s="297">
        <f t="shared" ca="1" si="26"/>
        <v>-7</v>
      </c>
    </row>
    <row r="112" spans="1:9">
      <c r="A112" s="295">
        <f t="shared" si="27"/>
        <v>95</v>
      </c>
      <c r="B112" s="300">
        <f t="shared" si="29"/>
        <v>2862</v>
      </c>
      <c r="C112" s="296">
        <f t="shared" ca="1" si="28"/>
        <v>6.5</v>
      </c>
      <c r="D112" s="295"/>
      <c r="E112" s="296">
        <f t="shared" si="34"/>
        <v>0</v>
      </c>
      <c r="F112" s="296">
        <f t="shared" ca="1" si="31"/>
        <v>0</v>
      </c>
      <c r="G112" s="296">
        <f t="shared" ca="1" si="32"/>
        <v>0</v>
      </c>
      <c r="H112" s="296">
        <f t="shared" ca="1" si="33"/>
        <v>6.5</v>
      </c>
      <c r="I112" s="297">
        <f t="shared" ca="1" si="26"/>
        <v>-7</v>
      </c>
    </row>
    <row r="113" spans="1:9">
      <c r="A113" s="295">
        <f t="shared" si="27"/>
        <v>96</v>
      </c>
      <c r="B113" s="300">
        <f t="shared" si="29"/>
        <v>2892</v>
      </c>
      <c r="C113" s="296">
        <f t="shared" ca="1" si="28"/>
        <v>6.5</v>
      </c>
      <c r="D113" s="296">
        <f ca="1">IF(H113&lt;0,0,0.5*(K25-L25))</f>
        <v>-0.5</v>
      </c>
      <c r="E113" s="296">
        <f t="shared" ca="1" si="34"/>
        <v>-0.5</v>
      </c>
      <c r="F113" s="296">
        <f t="shared" ca="1" si="31"/>
        <v>-0.5</v>
      </c>
      <c r="G113" s="296">
        <f t="shared" ca="1" si="32"/>
        <v>0</v>
      </c>
      <c r="H113" s="296">
        <f ca="1">IF(E113="","",ROUND(H112-F113,4))</f>
        <v>7</v>
      </c>
      <c r="I113" s="297">
        <f t="shared" ca="1" si="26"/>
        <v>-8</v>
      </c>
    </row>
    <row r="114" spans="1:9">
      <c r="A114" s="295">
        <f t="shared" si="27"/>
        <v>97</v>
      </c>
      <c r="B114" s="300">
        <f t="shared" si="29"/>
        <v>2923</v>
      </c>
      <c r="C114" s="296">
        <f t="shared" ca="1" si="28"/>
        <v>7</v>
      </c>
      <c r="D114" s="296"/>
      <c r="E114" s="296">
        <f t="shared" ref="E114:E125" si="35">IF($D$10=1,IF(OR(MONTH(B114)=MONTH(EDATE($D$7,0)),MONTH(B114)=MONTH(EDATE($D$7,6))),(MIN($D$113,H113)),0),IF($D$10=0,IF(OR(MONTH(B114)=MONTH(EDATE($D$7,5)),MONTH(B114)=MONTH(EDATE($D$7,11))),(MIN($D$113,H113)),0)))</f>
        <v>0</v>
      </c>
      <c r="F114" s="296">
        <f t="shared" ca="1" si="31"/>
        <v>0</v>
      </c>
      <c r="G114" s="296">
        <f t="shared" ca="1" si="32"/>
        <v>0</v>
      </c>
      <c r="H114" s="296">
        <f ca="1">IF(E114="","",ROUND(H113-F114,4))</f>
        <v>7</v>
      </c>
      <c r="I114" s="297">
        <f t="shared" ca="1" si="26"/>
        <v>-7</v>
      </c>
    </row>
    <row r="115" spans="1:9">
      <c r="A115" s="295">
        <f t="shared" si="27"/>
        <v>98</v>
      </c>
      <c r="B115" s="300">
        <f t="shared" si="29"/>
        <v>2954</v>
      </c>
      <c r="C115" s="296">
        <f t="shared" ca="1" si="28"/>
        <v>7</v>
      </c>
      <c r="D115" s="295"/>
      <c r="E115" s="296">
        <f t="shared" si="35"/>
        <v>0</v>
      </c>
      <c r="F115" s="296">
        <f t="shared" ca="1" si="31"/>
        <v>0</v>
      </c>
      <c r="G115" s="296">
        <f t="shared" ca="1" si="32"/>
        <v>0</v>
      </c>
      <c r="H115" s="296">
        <f t="shared" ca="1" si="33"/>
        <v>7</v>
      </c>
      <c r="I115" s="297">
        <f t="shared" ca="1" si="26"/>
        <v>-7</v>
      </c>
    </row>
    <row r="116" spans="1:9">
      <c r="A116" s="295">
        <f t="shared" si="27"/>
        <v>99</v>
      </c>
      <c r="B116" s="300">
        <f t="shared" si="29"/>
        <v>2983</v>
      </c>
      <c r="C116" s="296">
        <f t="shared" ca="1" si="28"/>
        <v>7</v>
      </c>
      <c r="D116" s="295"/>
      <c r="E116" s="296">
        <f t="shared" si="35"/>
        <v>0</v>
      </c>
      <c r="F116" s="296">
        <f t="shared" ca="1" si="31"/>
        <v>0</v>
      </c>
      <c r="G116" s="296">
        <f t="shared" ca="1" si="32"/>
        <v>0</v>
      </c>
      <c r="H116" s="296">
        <f t="shared" ca="1" si="33"/>
        <v>7</v>
      </c>
      <c r="I116" s="297">
        <f t="shared" ca="1" si="26"/>
        <v>-7</v>
      </c>
    </row>
    <row r="117" spans="1:9">
      <c r="A117" s="295">
        <f t="shared" si="27"/>
        <v>100</v>
      </c>
      <c r="B117" s="300">
        <f t="shared" si="29"/>
        <v>3014</v>
      </c>
      <c r="C117" s="296">
        <f t="shared" ca="1" si="28"/>
        <v>7</v>
      </c>
      <c r="D117" s="295"/>
      <c r="E117" s="296">
        <f t="shared" si="35"/>
        <v>0</v>
      </c>
      <c r="F117" s="296">
        <f t="shared" ca="1" si="31"/>
        <v>0</v>
      </c>
      <c r="G117" s="296">
        <f t="shared" ca="1" si="32"/>
        <v>0</v>
      </c>
      <c r="H117" s="296">
        <f t="shared" ca="1" si="33"/>
        <v>7</v>
      </c>
      <c r="I117" s="297">
        <f t="shared" ca="1" si="26"/>
        <v>-7</v>
      </c>
    </row>
    <row r="118" spans="1:9">
      <c r="A118" s="295">
        <f t="shared" si="27"/>
        <v>101</v>
      </c>
      <c r="B118" s="300">
        <f t="shared" si="29"/>
        <v>3044</v>
      </c>
      <c r="C118" s="296">
        <f t="shared" ca="1" si="28"/>
        <v>7</v>
      </c>
      <c r="D118" s="295"/>
      <c r="E118" s="296">
        <f t="shared" si="35"/>
        <v>0</v>
      </c>
      <c r="F118" s="296">
        <f t="shared" ca="1" si="31"/>
        <v>0</v>
      </c>
      <c r="G118" s="296">
        <f t="shared" ca="1" si="32"/>
        <v>0</v>
      </c>
      <c r="H118" s="296">
        <f t="shared" ca="1" si="33"/>
        <v>7</v>
      </c>
      <c r="I118" s="297">
        <f t="shared" ca="1" si="26"/>
        <v>-7</v>
      </c>
    </row>
    <row r="119" spans="1:9">
      <c r="A119" s="295">
        <f t="shared" si="27"/>
        <v>102</v>
      </c>
      <c r="B119" s="300">
        <f t="shared" si="29"/>
        <v>3075</v>
      </c>
      <c r="C119" s="296">
        <f t="shared" ca="1" si="28"/>
        <v>7</v>
      </c>
      <c r="D119" s="295"/>
      <c r="E119" s="296">
        <f t="shared" ca="1" si="35"/>
        <v>-0.5</v>
      </c>
      <c r="F119" s="296">
        <f t="shared" ca="1" si="31"/>
        <v>-0.5</v>
      </c>
      <c r="G119" s="296">
        <f t="shared" ca="1" si="32"/>
        <v>0</v>
      </c>
      <c r="H119" s="296">
        <f t="shared" ca="1" si="33"/>
        <v>7.5</v>
      </c>
      <c r="I119" s="297">
        <f t="shared" ca="1" si="26"/>
        <v>-8</v>
      </c>
    </row>
    <row r="120" spans="1:9">
      <c r="A120" s="295">
        <f t="shared" si="27"/>
        <v>103</v>
      </c>
      <c r="B120" s="300">
        <f t="shared" si="29"/>
        <v>3105</v>
      </c>
      <c r="C120" s="296">
        <f t="shared" ca="1" si="28"/>
        <v>7.5</v>
      </c>
      <c r="D120" s="295"/>
      <c r="E120" s="296">
        <f t="shared" si="35"/>
        <v>0</v>
      </c>
      <c r="F120" s="296">
        <f t="shared" ca="1" si="31"/>
        <v>0</v>
      </c>
      <c r="G120" s="296">
        <f t="shared" ca="1" si="32"/>
        <v>0</v>
      </c>
      <c r="H120" s="296">
        <f t="shared" ca="1" si="33"/>
        <v>7.5</v>
      </c>
      <c r="I120" s="297">
        <f t="shared" ca="1" si="26"/>
        <v>-8</v>
      </c>
    </row>
    <row r="121" spans="1:9">
      <c r="A121" s="295">
        <f t="shared" si="27"/>
        <v>104</v>
      </c>
      <c r="B121" s="300">
        <f t="shared" si="29"/>
        <v>3136</v>
      </c>
      <c r="C121" s="296">
        <f t="shared" ca="1" si="28"/>
        <v>7.5</v>
      </c>
      <c r="D121" s="295"/>
      <c r="E121" s="296">
        <f t="shared" si="35"/>
        <v>0</v>
      </c>
      <c r="F121" s="296">
        <f t="shared" ca="1" si="31"/>
        <v>0</v>
      </c>
      <c r="G121" s="296">
        <f t="shared" ca="1" si="32"/>
        <v>0</v>
      </c>
      <c r="H121" s="296">
        <f t="shared" ca="1" si="33"/>
        <v>7.5</v>
      </c>
      <c r="I121" s="297">
        <f t="shared" ca="1" si="26"/>
        <v>-8</v>
      </c>
    </row>
    <row r="122" spans="1:9">
      <c r="A122" s="295">
        <f t="shared" si="27"/>
        <v>105</v>
      </c>
      <c r="B122" s="300">
        <f t="shared" si="29"/>
        <v>3167</v>
      </c>
      <c r="C122" s="296">
        <f t="shared" ca="1" si="28"/>
        <v>7.5</v>
      </c>
      <c r="D122" s="295"/>
      <c r="E122" s="296">
        <f t="shared" si="35"/>
        <v>0</v>
      </c>
      <c r="F122" s="296">
        <f t="shared" ca="1" si="31"/>
        <v>0</v>
      </c>
      <c r="G122" s="296">
        <f t="shared" ca="1" si="32"/>
        <v>0</v>
      </c>
      <c r="H122" s="296">
        <f t="shared" ca="1" si="33"/>
        <v>7.5</v>
      </c>
      <c r="I122" s="297">
        <f t="shared" ca="1" si="26"/>
        <v>-8</v>
      </c>
    </row>
    <row r="123" spans="1:9">
      <c r="A123" s="295">
        <f t="shared" si="27"/>
        <v>106</v>
      </c>
      <c r="B123" s="300">
        <f t="shared" si="29"/>
        <v>3197</v>
      </c>
      <c r="C123" s="296">
        <f t="shared" ca="1" si="28"/>
        <v>7.5</v>
      </c>
      <c r="D123" s="295"/>
      <c r="E123" s="296">
        <f t="shared" si="35"/>
        <v>0</v>
      </c>
      <c r="F123" s="296">
        <f t="shared" ca="1" si="31"/>
        <v>0</v>
      </c>
      <c r="G123" s="296">
        <f t="shared" ca="1" si="32"/>
        <v>0</v>
      </c>
      <c r="H123" s="296">
        <f t="shared" ca="1" si="33"/>
        <v>7.5</v>
      </c>
      <c r="I123" s="297">
        <f t="shared" ca="1" si="26"/>
        <v>-8</v>
      </c>
    </row>
    <row r="124" spans="1:9">
      <c r="A124" s="295">
        <f t="shared" si="27"/>
        <v>107</v>
      </c>
      <c r="B124" s="300">
        <f t="shared" si="29"/>
        <v>3228</v>
      </c>
      <c r="C124" s="296">
        <f t="shared" ca="1" si="28"/>
        <v>7.5</v>
      </c>
      <c r="D124" s="295"/>
      <c r="E124" s="296">
        <f t="shared" si="35"/>
        <v>0</v>
      </c>
      <c r="F124" s="296">
        <f t="shared" ca="1" si="31"/>
        <v>0</v>
      </c>
      <c r="G124" s="296">
        <f t="shared" ca="1" si="32"/>
        <v>0</v>
      </c>
      <c r="H124" s="296">
        <f t="shared" ca="1" si="33"/>
        <v>7.5</v>
      </c>
      <c r="I124" s="297">
        <f t="shared" ca="1" si="26"/>
        <v>-8</v>
      </c>
    </row>
    <row r="125" spans="1:9">
      <c r="A125" s="295">
        <f t="shared" si="27"/>
        <v>108</v>
      </c>
      <c r="B125" s="300">
        <f t="shared" si="29"/>
        <v>3258</v>
      </c>
      <c r="C125" s="296">
        <f t="shared" ca="1" si="28"/>
        <v>7.5</v>
      </c>
      <c r="D125" s="296">
        <f ca="1">IF(H125&lt;0,0,0.5*(K26-L26))</f>
        <v>-0.5</v>
      </c>
      <c r="E125" s="296">
        <f t="shared" ca="1" si="35"/>
        <v>-0.5</v>
      </c>
      <c r="F125" s="296">
        <f t="shared" ca="1" si="31"/>
        <v>-0.5</v>
      </c>
      <c r="G125" s="296">
        <f t="shared" ca="1" si="32"/>
        <v>0</v>
      </c>
      <c r="H125" s="296">
        <f ca="1">IF(E125="","",ROUND(H124-F125,4))</f>
        <v>8</v>
      </c>
      <c r="I125" s="297">
        <f t="shared" ca="1" si="26"/>
        <v>-9</v>
      </c>
    </row>
    <row r="126" spans="1:9">
      <c r="A126" s="295">
        <f t="shared" si="27"/>
        <v>109</v>
      </c>
      <c r="B126" s="300">
        <f t="shared" si="29"/>
        <v>3289</v>
      </c>
      <c r="C126" s="296">
        <f t="shared" ca="1" si="28"/>
        <v>8</v>
      </c>
      <c r="D126" s="296"/>
      <c r="E126" s="296">
        <f t="shared" ref="E126:E137" si="36">IF($D$10=1,IF(OR(MONTH(B126)=MONTH(EDATE($D$7,0)),MONTH(B126)=MONTH(EDATE($D$7,6))),(MIN($D$125,H125)),0),IF($D$10=0,IF(OR(MONTH(B126)=MONTH(EDATE($D$7,5)),MONTH(B126)=MONTH(EDATE($D$7,11))),(MIN($D$125,H125)),0)))</f>
        <v>0</v>
      </c>
      <c r="F126" s="296">
        <f t="shared" ca="1" si="31"/>
        <v>0</v>
      </c>
      <c r="G126" s="296">
        <f t="shared" ca="1" si="32"/>
        <v>0</v>
      </c>
      <c r="H126" s="296">
        <f t="shared" ca="1" si="33"/>
        <v>8</v>
      </c>
      <c r="I126" s="297">
        <f t="shared" ca="1" si="26"/>
        <v>-8</v>
      </c>
    </row>
    <row r="127" spans="1:9">
      <c r="A127" s="295">
        <f t="shared" si="27"/>
        <v>110</v>
      </c>
      <c r="B127" s="300">
        <f t="shared" si="29"/>
        <v>3320</v>
      </c>
      <c r="C127" s="296">
        <f t="shared" ca="1" si="28"/>
        <v>8</v>
      </c>
      <c r="D127" s="295"/>
      <c r="E127" s="296">
        <f t="shared" si="36"/>
        <v>0</v>
      </c>
      <c r="F127" s="296">
        <f t="shared" ca="1" si="31"/>
        <v>0</v>
      </c>
      <c r="G127" s="296">
        <f t="shared" ca="1" si="32"/>
        <v>0</v>
      </c>
      <c r="H127" s="296">
        <f t="shared" ca="1" si="33"/>
        <v>8</v>
      </c>
      <c r="I127" s="297">
        <f t="shared" ca="1" si="26"/>
        <v>-8</v>
      </c>
    </row>
    <row r="128" spans="1:9">
      <c r="A128" s="295">
        <f t="shared" si="27"/>
        <v>111</v>
      </c>
      <c r="B128" s="300">
        <f t="shared" si="29"/>
        <v>3348</v>
      </c>
      <c r="C128" s="296">
        <f t="shared" ca="1" si="28"/>
        <v>8</v>
      </c>
      <c r="D128" s="295"/>
      <c r="E128" s="296">
        <f t="shared" si="36"/>
        <v>0</v>
      </c>
      <c r="F128" s="296">
        <f t="shared" ca="1" si="31"/>
        <v>0</v>
      </c>
      <c r="G128" s="296">
        <f t="shared" ca="1" si="32"/>
        <v>0</v>
      </c>
      <c r="H128" s="296">
        <f t="shared" ca="1" si="33"/>
        <v>8</v>
      </c>
      <c r="I128" s="297">
        <f t="shared" ca="1" si="26"/>
        <v>-8</v>
      </c>
    </row>
    <row r="129" spans="1:9">
      <c r="A129" s="295">
        <f t="shared" si="27"/>
        <v>112</v>
      </c>
      <c r="B129" s="300">
        <f t="shared" si="29"/>
        <v>3379</v>
      </c>
      <c r="C129" s="296">
        <f t="shared" ca="1" si="28"/>
        <v>8</v>
      </c>
      <c r="D129" s="295"/>
      <c r="E129" s="296">
        <f t="shared" si="36"/>
        <v>0</v>
      </c>
      <c r="F129" s="296">
        <f t="shared" ca="1" si="31"/>
        <v>0</v>
      </c>
      <c r="G129" s="296">
        <f t="shared" ca="1" si="32"/>
        <v>0</v>
      </c>
      <c r="H129" s="296">
        <f t="shared" ca="1" si="33"/>
        <v>8</v>
      </c>
      <c r="I129" s="297">
        <f t="shared" ca="1" si="26"/>
        <v>-8</v>
      </c>
    </row>
    <row r="130" spans="1:9">
      <c r="A130" s="295">
        <f t="shared" si="27"/>
        <v>113</v>
      </c>
      <c r="B130" s="300">
        <f t="shared" si="29"/>
        <v>3409</v>
      </c>
      <c r="C130" s="296">
        <f t="shared" ca="1" si="28"/>
        <v>8</v>
      </c>
      <c r="D130" s="295"/>
      <c r="E130" s="296">
        <f t="shared" si="36"/>
        <v>0</v>
      </c>
      <c r="F130" s="296">
        <f t="shared" ca="1" si="31"/>
        <v>0</v>
      </c>
      <c r="G130" s="296">
        <f t="shared" ca="1" si="32"/>
        <v>0</v>
      </c>
      <c r="H130" s="296">
        <f t="shared" ca="1" si="33"/>
        <v>8</v>
      </c>
      <c r="I130" s="297">
        <f t="shared" ca="1" si="26"/>
        <v>-8</v>
      </c>
    </row>
    <row r="131" spans="1:9">
      <c r="A131" s="295">
        <f t="shared" si="27"/>
        <v>114</v>
      </c>
      <c r="B131" s="300">
        <f t="shared" si="29"/>
        <v>3440</v>
      </c>
      <c r="C131" s="296">
        <f t="shared" ca="1" si="28"/>
        <v>8</v>
      </c>
      <c r="D131" s="295"/>
      <c r="E131" s="296">
        <f t="shared" ca="1" si="36"/>
        <v>-0.5</v>
      </c>
      <c r="F131" s="296">
        <f t="shared" ca="1" si="31"/>
        <v>-0.5</v>
      </c>
      <c r="G131" s="296">
        <f t="shared" ca="1" si="32"/>
        <v>0</v>
      </c>
      <c r="H131" s="296">
        <f t="shared" ca="1" si="33"/>
        <v>8.5</v>
      </c>
      <c r="I131" s="297">
        <f t="shared" ca="1" si="26"/>
        <v>-9</v>
      </c>
    </row>
    <row r="132" spans="1:9">
      <c r="A132" s="295">
        <f t="shared" si="27"/>
        <v>115</v>
      </c>
      <c r="B132" s="300">
        <f t="shared" si="29"/>
        <v>3470</v>
      </c>
      <c r="C132" s="296">
        <f t="shared" ca="1" si="28"/>
        <v>8.5</v>
      </c>
      <c r="D132" s="295"/>
      <c r="E132" s="296">
        <f t="shared" si="36"/>
        <v>0</v>
      </c>
      <c r="F132" s="296">
        <f t="shared" ca="1" si="31"/>
        <v>0</v>
      </c>
      <c r="G132" s="296">
        <f t="shared" ca="1" si="32"/>
        <v>0</v>
      </c>
      <c r="H132" s="296">
        <f t="shared" ca="1" si="33"/>
        <v>8.5</v>
      </c>
      <c r="I132" s="297">
        <f t="shared" ca="1" si="26"/>
        <v>-9</v>
      </c>
    </row>
    <row r="133" spans="1:9">
      <c r="A133" s="295">
        <f t="shared" si="27"/>
        <v>116</v>
      </c>
      <c r="B133" s="300">
        <f t="shared" si="29"/>
        <v>3501</v>
      </c>
      <c r="C133" s="296">
        <f t="shared" ca="1" si="28"/>
        <v>8.5</v>
      </c>
      <c r="D133" s="295"/>
      <c r="E133" s="296">
        <f t="shared" si="36"/>
        <v>0</v>
      </c>
      <c r="F133" s="296">
        <f t="shared" ca="1" si="31"/>
        <v>0</v>
      </c>
      <c r="G133" s="296">
        <f t="shared" ca="1" si="32"/>
        <v>0</v>
      </c>
      <c r="H133" s="296">
        <f t="shared" ca="1" si="33"/>
        <v>8.5</v>
      </c>
      <c r="I133" s="297">
        <f t="shared" ca="1" si="26"/>
        <v>-9</v>
      </c>
    </row>
    <row r="134" spans="1:9">
      <c r="A134" s="295">
        <f t="shared" si="27"/>
        <v>117</v>
      </c>
      <c r="B134" s="300">
        <f t="shared" si="29"/>
        <v>3532</v>
      </c>
      <c r="C134" s="296">
        <f t="shared" ca="1" si="28"/>
        <v>8.5</v>
      </c>
      <c r="D134" s="295"/>
      <c r="E134" s="296">
        <f t="shared" si="36"/>
        <v>0</v>
      </c>
      <c r="F134" s="296">
        <f t="shared" ca="1" si="31"/>
        <v>0</v>
      </c>
      <c r="G134" s="296">
        <f t="shared" ca="1" si="32"/>
        <v>0</v>
      </c>
      <c r="H134" s="296">
        <f t="shared" ca="1" si="33"/>
        <v>8.5</v>
      </c>
      <c r="I134" s="297">
        <f t="shared" ca="1" si="26"/>
        <v>-9</v>
      </c>
    </row>
    <row r="135" spans="1:9">
      <c r="A135" s="295">
        <f t="shared" si="27"/>
        <v>118</v>
      </c>
      <c r="B135" s="300">
        <f t="shared" si="29"/>
        <v>3562</v>
      </c>
      <c r="C135" s="296">
        <f t="shared" ca="1" si="28"/>
        <v>8.5</v>
      </c>
      <c r="D135" s="295"/>
      <c r="E135" s="296">
        <f t="shared" si="36"/>
        <v>0</v>
      </c>
      <c r="F135" s="296">
        <f t="shared" ca="1" si="31"/>
        <v>0</v>
      </c>
      <c r="G135" s="296">
        <f t="shared" ca="1" si="32"/>
        <v>0</v>
      </c>
      <c r="H135" s="296">
        <f t="shared" ca="1" si="33"/>
        <v>8.5</v>
      </c>
      <c r="I135" s="297">
        <f t="shared" ca="1" si="26"/>
        <v>-9</v>
      </c>
    </row>
    <row r="136" spans="1:9">
      <c r="A136" s="295">
        <f t="shared" si="27"/>
        <v>119</v>
      </c>
      <c r="B136" s="300">
        <f t="shared" si="29"/>
        <v>3593</v>
      </c>
      <c r="C136" s="296">
        <f t="shared" ca="1" si="28"/>
        <v>8.5</v>
      </c>
      <c r="D136" s="295"/>
      <c r="E136" s="296">
        <f t="shared" si="36"/>
        <v>0</v>
      </c>
      <c r="F136" s="296">
        <f t="shared" ca="1" si="31"/>
        <v>0</v>
      </c>
      <c r="G136" s="296">
        <f t="shared" ca="1" si="32"/>
        <v>0</v>
      </c>
      <c r="H136" s="296">
        <f t="shared" ca="1" si="33"/>
        <v>8.5</v>
      </c>
      <c r="I136" s="297">
        <f t="shared" ca="1" si="26"/>
        <v>-9</v>
      </c>
    </row>
    <row r="137" spans="1:9">
      <c r="A137" s="295">
        <f t="shared" si="27"/>
        <v>120</v>
      </c>
      <c r="B137" s="300">
        <f t="shared" si="29"/>
        <v>3623</v>
      </c>
      <c r="C137" s="296">
        <f t="shared" ca="1" si="28"/>
        <v>8.5</v>
      </c>
      <c r="D137" s="296">
        <f ca="1">IF(H137&lt;0,0,0.5*(K27-L27))</f>
        <v>-0.5</v>
      </c>
      <c r="E137" s="296">
        <f t="shared" ca="1" si="36"/>
        <v>-0.5</v>
      </c>
      <c r="F137" s="296">
        <f t="shared" ca="1" si="31"/>
        <v>-0.5</v>
      </c>
      <c r="G137" s="296">
        <f t="shared" ca="1" si="32"/>
        <v>0</v>
      </c>
      <c r="H137" s="296">
        <f t="shared" ca="1" si="33"/>
        <v>9</v>
      </c>
      <c r="I137" s="297">
        <f t="shared" ca="1" si="26"/>
        <v>-10</v>
      </c>
    </row>
    <row r="138" spans="1:9">
      <c r="A138" s="295">
        <f t="shared" si="27"/>
        <v>121</v>
      </c>
      <c r="B138" s="300">
        <f t="shared" si="29"/>
        <v>3654</v>
      </c>
      <c r="C138" s="296">
        <f t="shared" ca="1" si="28"/>
        <v>9</v>
      </c>
      <c r="D138" s="296"/>
      <c r="E138" s="296">
        <f t="shared" ref="E138:E149" si="37">IF($D$10=1,IF(OR(MONTH(B138)=MONTH(EDATE($D$7,0)),MONTH(B138)=MONTH(EDATE($D$7,6))),(MIN($D$137,H137)),0),IF($D$10=0,IF(OR(MONTH(B138)=MONTH(EDATE($D$7,5)),MONTH(B138)=MONTH(EDATE($D$7,11))),(MIN($D$137,H137)),0)))</f>
        <v>0</v>
      </c>
      <c r="F138" s="296">
        <f t="shared" ca="1" si="31"/>
        <v>0</v>
      </c>
      <c r="G138" s="296">
        <f t="shared" ca="1" si="32"/>
        <v>0</v>
      </c>
      <c r="H138" s="296">
        <f t="shared" ca="1" si="33"/>
        <v>9</v>
      </c>
      <c r="I138" s="297">
        <f t="shared" ca="1" si="26"/>
        <v>-9</v>
      </c>
    </row>
    <row r="139" spans="1:9">
      <c r="A139" s="295">
        <f t="shared" si="27"/>
        <v>122</v>
      </c>
      <c r="B139" s="300">
        <f t="shared" si="29"/>
        <v>3685</v>
      </c>
      <c r="C139" s="296">
        <f t="shared" ca="1" si="28"/>
        <v>9</v>
      </c>
      <c r="D139" s="295"/>
      <c r="E139" s="296">
        <f t="shared" si="37"/>
        <v>0</v>
      </c>
      <c r="F139" s="296">
        <f t="shared" ca="1" si="31"/>
        <v>0</v>
      </c>
      <c r="G139" s="296">
        <f t="shared" ca="1" si="32"/>
        <v>0</v>
      </c>
      <c r="H139" s="296">
        <f t="shared" ca="1" si="33"/>
        <v>9</v>
      </c>
      <c r="I139" s="297">
        <f t="shared" ca="1" si="26"/>
        <v>-9</v>
      </c>
    </row>
    <row r="140" spans="1:9">
      <c r="A140" s="295">
        <f t="shared" si="27"/>
        <v>123</v>
      </c>
      <c r="B140" s="300">
        <f t="shared" si="29"/>
        <v>3713</v>
      </c>
      <c r="C140" s="296">
        <f t="shared" ca="1" si="28"/>
        <v>9</v>
      </c>
      <c r="D140" s="295"/>
      <c r="E140" s="296">
        <f t="shared" si="37"/>
        <v>0</v>
      </c>
      <c r="F140" s="296">
        <f t="shared" ca="1" si="31"/>
        <v>0</v>
      </c>
      <c r="G140" s="296">
        <f t="shared" ca="1" si="32"/>
        <v>0</v>
      </c>
      <c r="H140" s="296">
        <f t="shared" ca="1" si="33"/>
        <v>9</v>
      </c>
      <c r="I140" s="297">
        <f t="shared" ca="1" si="26"/>
        <v>-9</v>
      </c>
    </row>
    <row r="141" spans="1:9">
      <c r="A141" s="295">
        <f t="shared" si="27"/>
        <v>124</v>
      </c>
      <c r="B141" s="300">
        <f t="shared" si="29"/>
        <v>3744</v>
      </c>
      <c r="C141" s="296">
        <f t="shared" ca="1" si="28"/>
        <v>9</v>
      </c>
      <c r="D141" s="295"/>
      <c r="E141" s="296">
        <f t="shared" si="37"/>
        <v>0</v>
      </c>
      <c r="F141" s="296">
        <f t="shared" ca="1" si="31"/>
        <v>0</v>
      </c>
      <c r="G141" s="296">
        <f t="shared" ca="1" si="32"/>
        <v>0</v>
      </c>
      <c r="H141" s="296">
        <f t="shared" ca="1" si="33"/>
        <v>9</v>
      </c>
      <c r="I141" s="297">
        <f t="shared" ca="1" si="26"/>
        <v>-9</v>
      </c>
    </row>
    <row r="142" spans="1:9">
      <c r="A142" s="295">
        <f t="shared" si="27"/>
        <v>125</v>
      </c>
      <c r="B142" s="300">
        <f t="shared" si="29"/>
        <v>3774</v>
      </c>
      <c r="C142" s="296">
        <f t="shared" ca="1" si="28"/>
        <v>9</v>
      </c>
      <c r="D142" s="295"/>
      <c r="E142" s="296">
        <f t="shared" si="37"/>
        <v>0</v>
      </c>
      <c r="F142" s="296">
        <f t="shared" ca="1" si="31"/>
        <v>0</v>
      </c>
      <c r="G142" s="296">
        <f t="shared" ca="1" si="32"/>
        <v>0</v>
      </c>
      <c r="H142" s="296">
        <f t="shared" ca="1" si="33"/>
        <v>9</v>
      </c>
      <c r="I142" s="297">
        <f t="shared" ca="1" si="26"/>
        <v>-9</v>
      </c>
    </row>
    <row r="143" spans="1:9">
      <c r="A143" s="295">
        <f t="shared" si="27"/>
        <v>126</v>
      </c>
      <c r="B143" s="300">
        <f t="shared" si="29"/>
        <v>3805</v>
      </c>
      <c r="C143" s="296">
        <f t="shared" ca="1" si="28"/>
        <v>9</v>
      </c>
      <c r="D143" s="295"/>
      <c r="E143" s="296">
        <f t="shared" ca="1" si="37"/>
        <v>-0.5</v>
      </c>
      <c r="F143" s="296">
        <f t="shared" ca="1" si="31"/>
        <v>-0.5</v>
      </c>
      <c r="G143" s="296">
        <f t="shared" ca="1" si="32"/>
        <v>0</v>
      </c>
      <c r="H143" s="296">
        <f t="shared" ca="1" si="33"/>
        <v>9.5</v>
      </c>
      <c r="I143" s="297">
        <f t="shared" ca="1" si="26"/>
        <v>-10</v>
      </c>
    </row>
    <row r="144" spans="1:9">
      <c r="A144" s="295">
        <f t="shared" si="27"/>
        <v>127</v>
      </c>
      <c r="B144" s="300">
        <f t="shared" si="29"/>
        <v>3835</v>
      </c>
      <c r="C144" s="296">
        <f t="shared" ca="1" si="28"/>
        <v>9.5</v>
      </c>
      <c r="D144" s="295"/>
      <c r="E144" s="296">
        <f t="shared" si="37"/>
        <v>0</v>
      </c>
      <c r="F144" s="296">
        <f t="shared" ca="1" si="31"/>
        <v>0</v>
      </c>
      <c r="G144" s="296">
        <f t="shared" ca="1" si="32"/>
        <v>0</v>
      </c>
      <c r="H144" s="296">
        <f t="shared" ca="1" si="33"/>
        <v>9.5</v>
      </c>
      <c r="I144" s="297">
        <f t="shared" ca="1" si="26"/>
        <v>-10</v>
      </c>
    </row>
    <row r="145" spans="1:9">
      <c r="A145" s="295">
        <f t="shared" si="27"/>
        <v>128</v>
      </c>
      <c r="B145" s="300">
        <f t="shared" si="29"/>
        <v>3866</v>
      </c>
      <c r="C145" s="296">
        <f t="shared" ca="1" si="28"/>
        <v>9.5</v>
      </c>
      <c r="D145" s="295"/>
      <c r="E145" s="296">
        <f t="shared" si="37"/>
        <v>0</v>
      </c>
      <c r="F145" s="296">
        <f t="shared" ca="1" si="31"/>
        <v>0</v>
      </c>
      <c r="G145" s="296">
        <f t="shared" ca="1" si="32"/>
        <v>0</v>
      </c>
      <c r="H145" s="296">
        <f t="shared" ca="1" si="33"/>
        <v>9.5</v>
      </c>
      <c r="I145" s="297">
        <f t="shared" ca="1" si="26"/>
        <v>-10</v>
      </c>
    </row>
    <row r="146" spans="1:9">
      <c r="A146" s="295">
        <f t="shared" si="27"/>
        <v>129</v>
      </c>
      <c r="B146" s="300">
        <f t="shared" si="29"/>
        <v>3897</v>
      </c>
      <c r="C146" s="296">
        <f t="shared" ca="1" si="28"/>
        <v>9.5</v>
      </c>
      <c r="D146" s="295"/>
      <c r="E146" s="296">
        <f t="shared" si="37"/>
        <v>0</v>
      </c>
      <c r="F146" s="296">
        <f t="shared" ca="1" si="31"/>
        <v>0</v>
      </c>
      <c r="G146" s="296">
        <f t="shared" ca="1" si="32"/>
        <v>0</v>
      </c>
      <c r="H146" s="296">
        <f t="shared" ca="1" si="33"/>
        <v>9.5</v>
      </c>
      <c r="I146" s="297">
        <f t="shared" ref="I146:I209" ca="1" si="38">ROUND((D146-H146),0)</f>
        <v>-10</v>
      </c>
    </row>
    <row r="147" spans="1:9">
      <c r="A147" s="295">
        <f t="shared" ref="A147:A210" si="39">IF(A146="","",IF(A146=$D$6,"",A146+1))</f>
        <v>130</v>
      </c>
      <c r="B147" s="300">
        <f t="shared" si="29"/>
        <v>3927</v>
      </c>
      <c r="C147" s="296">
        <f t="shared" ref="C147:C210" ca="1" si="40">IF(H146=0,0,H146)</f>
        <v>9.5</v>
      </c>
      <c r="D147" s="295"/>
      <c r="E147" s="296">
        <f t="shared" si="37"/>
        <v>0</v>
      </c>
      <c r="F147" s="296">
        <f t="shared" ca="1" si="31"/>
        <v>0</v>
      </c>
      <c r="G147" s="296">
        <f t="shared" ca="1" si="32"/>
        <v>0</v>
      </c>
      <c r="H147" s="296">
        <f t="shared" ca="1" si="33"/>
        <v>9.5</v>
      </c>
      <c r="I147" s="297">
        <f t="shared" ca="1" si="38"/>
        <v>-10</v>
      </c>
    </row>
    <row r="148" spans="1:9">
      <c r="A148" s="295">
        <f t="shared" si="39"/>
        <v>131</v>
      </c>
      <c r="B148" s="300">
        <f t="shared" ref="B148:B211" si="41">DATE(YEAR(B147),MONTH(B147)+1,1)</f>
        <v>3958</v>
      </c>
      <c r="C148" s="296">
        <f t="shared" ca="1" si="40"/>
        <v>9.5</v>
      </c>
      <c r="D148" s="295"/>
      <c r="E148" s="296">
        <f t="shared" si="37"/>
        <v>0</v>
      </c>
      <c r="F148" s="296">
        <f t="shared" ca="1" si="31"/>
        <v>0</v>
      </c>
      <c r="G148" s="296">
        <f t="shared" ca="1" si="32"/>
        <v>0</v>
      </c>
      <c r="H148" s="296">
        <f t="shared" ca="1" si="33"/>
        <v>9.5</v>
      </c>
      <c r="I148" s="297">
        <f t="shared" ca="1" si="38"/>
        <v>-10</v>
      </c>
    </row>
    <row r="149" spans="1:9">
      <c r="A149" s="295">
        <f t="shared" si="39"/>
        <v>132</v>
      </c>
      <c r="B149" s="300">
        <f t="shared" si="41"/>
        <v>3988</v>
      </c>
      <c r="C149" s="296">
        <f t="shared" ca="1" si="40"/>
        <v>9.5</v>
      </c>
      <c r="D149" s="296">
        <f ca="1">IF(H149&lt;0,0,0.5*(K28-L28))</f>
        <v>-0.5</v>
      </c>
      <c r="E149" s="296">
        <f t="shared" ca="1" si="37"/>
        <v>-0.5</v>
      </c>
      <c r="F149" s="296">
        <f t="shared" ca="1" si="31"/>
        <v>-0.5</v>
      </c>
      <c r="G149" s="296">
        <f t="shared" ca="1" si="32"/>
        <v>0</v>
      </c>
      <c r="H149" s="296">
        <f t="shared" ca="1" si="33"/>
        <v>10</v>
      </c>
      <c r="I149" s="297">
        <f t="shared" ca="1" si="38"/>
        <v>-11</v>
      </c>
    </row>
    <row r="150" spans="1:9">
      <c r="A150" s="295">
        <f t="shared" si="39"/>
        <v>133</v>
      </c>
      <c r="B150" s="300">
        <f t="shared" si="41"/>
        <v>4019</v>
      </c>
      <c r="C150" s="296">
        <f t="shared" ca="1" si="40"/>
        <v>10</v>
      </c>
      <c r="D150" s="296"/>
      <c r="E150" s="296">
        <f t="shared" ref="E150:E161" si="42">IF($D$10=1,IF(OR(MONTH(B150)=MONTH(EDATE($D$7,0)),MONTH(B150)=MONTH(EDATE($D$7,6))),(MIN($D$149,H149)),0),IF($D$10=0,IF(OR(MONTH(B150)=MONTH(EDATE($D$7,5)),MONTH(B150)=MONTH(EDATE($D$7,11))),(MIN($D$149,H149)),0)))</f>
        <v>0</v>
      </c>
      <c r="F150" s="296">
        <f t="shared" ca="1" si="31"/>
        <v>0</v>
      </c>
      <c r="G150" s="296">
        <f t="shared" ca="1" si="32"/>
        <v>0</v>
      </c>
      <c r="H150" s="296">
        <f t="shared" ca="1" si="33"/>
        <v>10</v>
      </c>
      <c r="I150" s="297">
        <f t="shared" ca="1" si="38"/>
        <v>-10</v>
      </c>
    </row>
    <row r="151" spans="1:9">
      <c r="A151" s="295">
        <f t="shared" si="39"/>
        <v>134</v>
      </c>
      <c r="B151" s="300">
        <f t="shared" si="41"/>
        <v>4050</v>
      </c>
      <c r="C151" s="296">
        <f t="shared" ca="1" si="40"/>
        <v>10</v>
      </c>
      <c r="D151" s="295"/>
      <c r="E151" s="296">
        <f t="shared" si="42"/>
        <v>0</v>
      </c>
      <c r="F151" s="296">
        <f t="shared" ca="1" si="31"/>
        <v>0</v>
      </c>
      <c r="G151" s="296">
        <f t="shared" ca="1" si="32"/>
        <v>0</v>
      </c>
      <c r="H151" s="296">
        <f t="shared" ca="1" si="33"/>
        <v>10</v>
      </c>
      <c r="I151" s="297">
        <f t="shared" ca="1" si="38"/>
        <v>-10</v>
      </c>
    </row>
    <row r="152" spans="1:9">
      <c r="A152" s="295">
        <f t="shared" si="39"/>
        <v>135</v>
      </c>
      <c r="B152" s="300">
        <f t="shared" si="41"/>
        <v>4078</v>
      </c>
      <c r="C152" s="296">
        <f t="shared" ca="1" si="40"/>
        <v>10</v>
      </c>
      <c r="D152" s="295"/>
      <c r="E152" s="296">
        <f t="shared" si="42"/>
        <v>0</v>
      </c>
      <c r="F152" s="296">
        <f t="shared" ca="1" si="31"/>
        <v>0</v>
      </c>
      <c r="G152" s="296">
        <f t="shared" ca="1" si="32"/>
        <v>0</v>
      </c>
      <c r="H152" s="296">
        <f t="shared" ca="1" si="33"/>
        <v>10</v>
      </c>
      <c r="I152" s="297">
        <f t="shared" ca="1" si="38"/>
        <v>-10</v>
      </c>
    </row>
    <row r="153" spans="1:9">
      <c r="A153" s="295">
        <f t="shared" si="39"/>
        <v>136</v>
      </c>
      <c r="B153" s="300">
        <f t="shared" si="41"/>
        <v>4109</v>
      </c>
      <c r="C153" s="296">
        <f t="shared" ca="1" si="40"/>
        <v>10</v>
      </c>
      <c r="D153" s="295"/>
      <c r="E153" s="296">
        <f t="shared" si="42"/>
        <v>0</v>
      </c>
      <c r="F153" s="296">
        <f t="shared" ca="1" si="31"/>
        <v>0</v>
      </c>
      <c r="G153" s="296">
        <f t="shared" ca="1" si="32"/>
        <v>0</v>
      </c>
      <c r="H153" s="296">
        <f t="shared" ca="1" si="33"/>
        <v>10</v>
      </c>
      <c r="I153" s="297">
        <f t="shared" ca="1" si="38"/>
        <v>-10</v>
      </c>
    </row>
    <row r="154" spans="1:9">
      <c r="A154" s="295">
        <f t="shared" si="39"/>
        <v>137</v>
      </c>
      <c r="B154" s="300">
        <f t="shared" si="41"/>
        <v>4139</v>
      </c>
      <c r="C154" s="296">
        <f t="shared" ca="1" si="40"/>
        <v>10</v>
      </c>
      <c r="D154" s="295"/>
      <c r="E154" s="296">
        <f t="shared" si="42"/>
        <v>0</v>
      </c>
      <c r="F154" s="296">
        <f t="shared" ca="1" si="31"/>
        <v>0</v>
      </c>
      <c r="G154" s="296">
        <f t="shared" ca="1" si="32"/>
        <v>0</v>
      </c>
      <c r="H154" s="296">
        <f t="shared" ca="1" si="33"/>
        <v>10</v>
      </c>
      <c r="I154" s="297">
        <f t="shared" ca="1" si="38"/>
        <v>-10</v>
      </c>
    </row>
    <row r="155" spans="1:9">
      <c r="A155" s="295">
        <f t="shared" si="39"/>
        <v>138</v>
      </c>
      <c r="B155" s="300">
        <f t="shared" si="41"/>
        <v>4170</v>
      </c>
      <c r="C155" s="296">
        <f t="shared" ca="1" si="40"/>
        <v>10</v>
      </c>
      <c r="D155" s="295"/>
      <c r="E155" s="296">
        <f t="shared" ca="1" si="42"/>
        <v>-0.5</v>
      </c>
      <c r="F155" s="296">
        <f t="shared" ca="1" si="31"/>
        <v>-0.5</v>
      </c>
      <c r="G155" s="296">
        <f t="shared" ca="1" si="32"/>
        <v>0</v>
      </c>
      <c r="H155" s="296">
        <f t="shared" ca="1" si="33"/>
        <v>10.5</v>
      </c>
      <c r="I155" s="297">
        <f t="shared" ca="1" si="38"/>
        <v>-11</v>
      </c>
    </row>
    <row r="156" spans="1:9">
      <c r="A156" s="295">
        <f t="shared" si="39"/>
        <v>139</v>
      </c>
      <c r="B156" s="300">
        <f t="shared" si="41"/>
        <v>4200</v>
      </c>
      <c r="C156" s="296">
        <f t="shared" ca="1" si="40"/>
        <v>10.5</v>
      </c>
      <c r="D156" s="295"/>
      <c r="E156" s="296">
        <f t="shared" si="42"/>
        <v>0</v>
      </c>
      <c r="F156" s="296">
        <f t="shared" ca="1" si="31"/>
        <v>0</v>
      </c>
      <c r="G156" s="296">
        <f t="shared" ca="1" si="32"/>
        <v>0</v>
      </c>
      <c r="H156" s="296">
        <f t="shared" ca="1" si="33"/>
        <v>10.5</v>
      </c>
      <c r="I156" s="297">
        <f t="shared" ca="1" si="38"/>
        <v>-11</v>
      </c>
    </row>
    <row r="157" spans="1:9">
      <c r="A157" s="295">
        <f t="shared" si="39"/>
        <v>140</v>
      </c>
      <c r="B157" s="300">
        <f t="shared" si="41"/>
        <v>4231</v>
      </c>
      <c r="C157" s="296">
        <f t="shared" ca="1" si="40"/>
        <v>10.5</v>
      </c>
      <c r="D157" s="295"/>
      <c r="E157" s="296">
        <f t="shared" si="42"/>
        <v>0</v>
      </c>
      <c r="F157" s="296">
        <f t="shared" ca="1" si="31"/>
        <v>0</v>
      </c>
      <c r="G157" s="296">
        <f t="shared" ca="1" si="32"/>
        <v>0</v>
      </c>
      <c r="H157" s="296">
        <f t="shared" ca="1" si="33"/>
        <v>10.5</v>
      </c>
      <c r="I157" s="297">
        <f t="shared" ca="1" si="38"/>
        <v>-11</v>
      </c>
    </row>
    <row r="158" spans="1:9">
      <c r="A158" s="295">
        <f t="shared" si="39"/>
        <v>141</v>
      </c>
      <c r="B158" s="300">
        <f t="shared" si="41"/>
        <v>4262</v>
      </c>
      <c r="C158" s="296">
        <f t="shared" ca="1" si="40"/>
        <v>10.5</v>
      </c>
      <c r="D158" s="295"/>
      <c r="E158" s="296">
        <f t="shared" si="42"/>
        <v>0</v>
      </c>
      <c r="F158" s="296">
        <f t="shared" ref="F158:F221" ca="1" si="43">IF(E158="","",E158-G158)</f>
        <v>0</v>
      </c>
      <c r="G158" s="296">
        <f t="shared" ref="G158:G221" ca="1" si="44">ROUND((C158-E158)*$D$5,3)</f>
        <v>0</v>
      </c>
      <c r="H158" s="296">
        <f t="shared" ref="H158:H221" ca="1" si="45">IF(E158="","",ROUND(H157-F158,4))</f>
        <v>10.5</v>
      </c>
      <c r="I158" s="297">
        <f t="shared" ca="1" si="38"/>
        <v>-11</v>
      </c>
    </row>
    <row r="159" spans="1:9">
      <c r="A159" s="295">
        <f t="shared" si="39"/>
        <v>142</v>
      </c>
      <c r="B159" s="300">
        <f t="shared" si="41"/>
        <v>4292</v>
      </c>
      <c r="C159" s="296">
        <f t="shared" ca="1" si="40"/>
        <v>10.5</v>
      </c>
      <c r="D159" s="295"/>
      <c r="E159" s="296">
        <f t="shared" si="42"/>
        <v>0</v>
      </c>
      <c r="F159" s="296">
        <f t="shared" ca="1" si="43"/>
        <v>0</v>
      </c>
      <c r="G159" s="296">
        <f t="shared" ca="1" si="44"/>
        <v>0</v>
      </c>
      <c r="H159" s="296">
        <f t="shared" ca="1" si="45"/>
        <v>10.5</v>
      </c>
      <c r="I159" s="297">
        <f t="shared" ca="1" si="38"/>
        <v>-11</v>
      </c>
    </row>
    <row r="160" spans="1:9">
      <c r="A160" s="295">
        <f t="shared" si="39"/>
        <v>143</v>
      </c>
      <c r="B160" s="300">
        <f t="shared" si="41"/>
        <v>4323</v>
      </c>
      <c r="C160" s="296">
        <f t="shared" ca="1" si="40"/>
        <v>10.5</v>
      </c>
      <c r="D160" s="295"/>
      <c r="E160" s="296">
        <f t="shared" si="42"/>
        <v>0</v>
      </c>
      <c r="F160" s="296">
        <f t="shared" ca="1" si="43"/>
        <v>0</v>
      </c>
      <c r="G160" s="296">
        <f t="shared" ca="1" si="44"/>
        <v>0</v>
      </c>
      <c r="H160" s="296">
        <f t="shared" ca="1" si="45"/>
        <v>10.5</v>
      </c>
      <c r="I160" s="297">
        <f t="shared" ca="1" si="38"/>
        <v>-11</v>
      </c>
    </row>
    <row r="161" spans="1:9">
      <c r="A161" s="295">
        <f t="shared" si="39"/>
        <v>144</v>
      </c>
      <c r="B161" s="300">
        <f t="shared" si="41"/>
        <v>4353</v>
      </c>
      <c r="C161" s="296">
        <f t="shared" ca="1" si="40"/>
        <v>10.5</v>
      </c>
      <c r="D161" s="296">
        <f ca="1">IF(H161&lt;0,0,0.5*(K29-L29))</f>
        <v>-0.5</v>
      </c>
      <c r="E161" s="296">
        <f t="shared" ca="1" si="42"/>
        <v>-0.5</v>
      </c>
      <c r="F161" s="296">
        <f t="shared" ca="1" si="43"/>
        <v>-0.5</v>
      </c>
      <c r="G161" s="296">
        <f t="shared" ca="1" si="44"/>
        <v>0</v>
      </c>
      <c r="H161" s="296">
        <f t="shared" ca="1" si="45"/>
        <v>11</v>
      </c>
      <c r="I161" s="297">
        <f t="shared" ca="1" si="38"/>
        <v>-12</v>
      </c>
    </row>
    <row r="162" spans="1:9">
      <c r="A162" s="295">
        <f t="shared" si="39"/>
        <v>145</v>
      </c>
      <c r="B162" s="300">
        <f t="shared" si="41"/>
        <v>4384</v>
      </c>
      <c r="C162" s="296">
        <f t="shared" ca="1" si="40"/>
        <v>11</v>
      </c>
      <c r="D162" s="296"/>
      <c r="E162" s="296">
        <f t="shared" ref="E162:E173" si="46">IF($D$10=1,IF(OR(MONTH(B162)=MONTH(EDATE($D$7,0)),MONTH(B162)=MONTH(EDATE($D$7,6))),(MIN($D$161,H161)),0),IF($D$10=0,IF(OR(MONTH(B162)=MONTH(EDATE($D$7,5)),MONTH(B162)=MONTH(EDATE($D$7,11))),(MIN($D$161,H161)),0)))</f>
        <v>0</v>
      </c>
      <c r="F162" s="296">
        <f t="shared" ca="1" si="43"/>
        <v>0</v>
      </c>
      <c r="G162" s="296">
        <f t="shared" ca="1" si="44"/>
        <v>0</v>
      </c>
      <c r="H162" s="296">
        <f t="shared" ca="1" si="45"/>
        <v>11</v>
      </c>
      <c r="I162" s="297">
        <f t="shared" ca="1" si="38"/>
        <v>-11</v>
      </c>
    </row>
    <row r="163" spans="1:9">
      <c r="A163" s="295">
        <f t="shared" si="39"/>
        <v>146</v>
      </c>
      <c r="B163" s="300">
        <f t="shared" si="41"/>
        <v>4415</v>
      </c>
      <c r="C163" s="296">
        <f t="shared" ca="1" si="40"/>
        <v>11</v>
      </c>
      <c r="D163" s="296"/>
      <c r="E163" s="296">
        <f t="shared" si="46"/>
        <v>0</v>
      </c>
      <c r="F163" s="296">
        <f t="shared" ca="1" si="43"/>
        <v>0</v>
      </c>
      <c r="G163" s="296">
        <f t="shared" ca="1" si="44"/>
        <v>0</v>
      </c>
      <c r="H163" s="296">
        <f t="shared" ca="1" si="45"/>
        <v>11</v>
      </c>
      <c r="I163" s="297">
        <f t="shared" ca="1" si="38"/>
        <v>-11</v>
      </c>
    </row>
    <row r="164" spans="1:9">
      <c r="A164" s="295">
        <f t="shared" si="39"/>
        <v>147</v>
      </c>
      <c r="B164" s="300">
        <f t="shared" si="41"/>
        <v>4444</v>
      </c>
      <c r="C164" s="296">
        <f t="shared" ca="1" si="40"/>
        <v>11</v>
      </c>
      <c r="D164" s="295"/>
      <c r="E164" s="296">
        <f t="shared" si="46"/>
        <v>0</v>
      </c>
      <c r="F164" s="296">
        <f t="shared" ca="1" si="43"/>
        <v>0</v>
      </c>
      <c r="G164" s="296">
        <f t="shared" ca="1" si="44"/>
        <v>0</v>
      </c>
      <c r="H164" s="296">
        <f t="shared" ca="1" si="45"/>
        <v>11</v>
      </c>
      <c r="I164" s="297">
        <f t="shared" ca="1" si="38"/>
        <v>-11</v>
      </c>
    </row>
    <row r="165" spans="1:9">
      <c r="A165" s="295">
        <f t="shared" si="39"/>
        <v>148</v>
      </c>
      <c r="B165" s="300">
        <f t="shared" si="41"/>
        <v>4475</v>
      </c>
      <c r="C165" s="296">
        <f t="shared" ca="1" si="40"/>
        <v>11</v>
      </c>
      <c r="D165" s="295"/>
      <c r="E165" s="296">
        <f t="shared" si="46"/>
        <v>0</v>
      </c>
      <c r="F165" s="296">
        <f t="shared" ca="1" si="43"/>
        <v>0</v>
      </c>
      <c r="G165" s="296">
        <f t="shared" ca="1" si="44"/>
        <v>0</v>
      </c>
      <c r="H165" s="296">
        <f t="shared" ca="1" si="45"/>
        <v>11</v>
      </c>
      <c r="I165" s="297">
        <f t="shared" ca="1" si="38"/>
        <v>-11</v>
      </c>
    </row>
    <row r="166" spans="1:9">
      <c r="A166" s="295">
        <f t="shared" si="39"/>
        <v>149</v>
      </c>
      <c r="B166" s="300">
        <f t="shared" si="41"/>
        <v>4505</v>
      </c>
      <c r="C166" s="296">
        <f t="shared" ca="1" si="40"/>
        <v>11</v>
      </c>
      <c r="D166" s="295"/>
      <c r="E166" s="296">
        <f t="shared" si="46"/>
        <v>0</v>
      </c>
      <c r="F166" s="296">
        <f t="shared" ca="1" si="43"/>
        <v>0</v>
      </c>
      <c r="G166" s="296">
        <f t="shared" ca="1" si="44"/>
        <v>0</v>
      </c>
      <c r="H166" s="296">
        <f t="shared" ca="1" si="45"/>
        <v>11</v>
      </c>
      <c r="I166" s="297">
        <f t="shared" ca="1" si="38"/>
        <v>-11</v>
      </c>
    </row>
    <row r="167" spans="1:9">
      <c r="A167" s="295">
        <f t="shared" si="39"/>
        <v>150</v>
      </c>
      <c r="B167" s="300">
        <f t="shared" si="41"/>
        <v>4536</v>
      </c>
      <c r="C167" s="296">
        <f t="shared" ca="1" si="40"/>
        <v>11</v>
      </c>
      <c r="D167" s="295"/>
      <c r="E167" s="296">
        <f t="shared" ca="1" si="46"/>
        <v>-0.5</v>
      </c>
      <c r="F167" s="296">
        <f t="shared" ca="1" si="43"/>
        <v>-0.5</v>
      </c>
      <c r="G167" s="296">
        <f t="shared" ca="1" si="44"/>
        <v>0</v>
      </c>
      <c r="H167" s="296">
        <f t="shared" ca="1" si="45"/>
        <v>11.5</v>
      </c>
      <c r="I167" s="297">
        <f t="shared" ca="1" si="38"/>
        <v>-12</v>
      </c>
    </row>
    <row r="168" spans="1:9">
      <c r="A168" s="295">
        <f t="shared" si="39"/>
        <v>151</v>
      </c>
      <c r="B168" s="300">
        <f t="shared" si="41"/>
        <v>4566</v>
      </c>
      <c r="C168" s="296">
        <f t="shared" ca="1" si="40"/>
        <v>11.5</v>
      </c>
      <c r="D168" s="295"/>
      <c r="E168" s="296">
        <f t="shared" si="46"/>
        <v>0</v>
      </c>
      <c r="F168" s="296">
        <f t="shared" ca="1" si="43"/>
        <v>0</v>
      </c>
      <c r="G168" s="296">
        <f t="shared" ca="1" si="44"/>
        <v>0</v>
      </c>
      <c r="H168" s="296">
        <f t="shared" ca="1" si="45"/>
        <v>11.5</v>
      </c>
      <c r="I168" s="297">
        <f t="shared" ca="1" si="38"/>
        <v>-12</v>
      </c>
    </row>
    <row r="169" spans="1:9">
      <c r="A169" s="295">
        <f t="shared" si="39"/>
        <v>152</v>
      </c>
      <c r="B169" s="300">
        <f t="shared" si="41"/>
        <v>4597</v>
      </c>
      <c r="C169" s="296">
        <f t="shared" ca="1" si="40"/>
        <v>11.5</v>
      </c>
      <c r="D169" s="295"/>
      <c r="E169" s="296">
        <f t="shared" si="46"/>
        <v>0</v>
      </c>
      <c r="F169" s="296">
        <f t="shared" ca="1" si="43"/>
        <v>0</v>
      </c>
      <c r="G169" s="296">
        <f t="shared" ca="1" si="44"/>
        <v>0</v>
      </c>
      <c r="H169" s="296">
        <f t="shared" ca="1" si="45"/>
        <v>11.5</v>
      </c>
      <c r="I169" s="297">
        <f t="shared" ca="1" si="38"/>
        <v>-12</v>
      </c>
    </row>
    <row r="170" spans="1:9">
      <c r="A170" s="295">
        <f t="shared" si="39"/>
        <v>153</v>
      </c>
      <c r="B170" s="300">
        <f t="shared" si="41"/>
        <v>4628</v>
      </c>
      <c r="C170" s="296">
        <f t="shared" ca="1" si="40"/>
        <v>11.5</v>
      </c>
      <c r="D170" s="295"/>
      <c r="E170" s="296">
        <f t="shared" si="46"/>
        <v>0</v>
      </c>
      <c r="F170" s="296">
        <f t="shared" ca="1" si="43"/>
        <v>0</v>
      </c>
      <c r="G170" s="296">
        <f t="shared" ca="1" si="44"/>
        <v>0</v>
      </c>
      <c r="H170" s="296">
        <f t="shared" ca="1" si="45"/>
        <v>11.5</v>
      </c>
      <c r="I170" s="297">
        <f t="shared" ca="1" si="38"/>
        <v>-12</v>
      </c>
    </row>
    <row r="171" spans="1:9">
      <c r="A171" s="295">
        <f t="shared" si="39"/>
        <v>154</v>
      </c>
      <c r="B171" s="300">
        <f t="shared" si="41"/>
        <v>4658</v>
      </c>
      <c r="C171" s="296">
        <f t="shared" ca="1" si="40"/>
        <v>11.5</v>
      </c>
      <c r="D171" s="295"/>
      <c r="E171" s="296">
        <f t="shared" si="46"/>
        <v>0</v>
      </c>
      <c r="F171" s="296">
        <f t="shared" ca="1" si="43"/>
        <v>0</v>
      </c>
      <c r="G171" s="296">
        <f t="shared" ca="1" si="44"/>
        <v>0</v>
      </c>
      <c r="H171" s="296">
        <f t="shared" ca="1" si="45"/>
        <v>11.5</v>
      </c>
      <c r="I171" s="297">
        <f t="shared" ca="1" si="38"/>
        <v>-12</v>
      </c>
    </row>
    <row r="172" spans="1:9">
      <c r="A172" s="295">
        <f t="shared" si="39"/>
        <v>155</v>
      </c>
      <c r="B172" s="300">
        <f t="shared" si="41"/>
        <v>4689</v>
      </c>
      <c r="C172" s="296">
        <f t="shared" ca="1" si="40"/>
        <v>11.5</v>
      </c>
      <c r="D172" s="295"/>
      <c r="E172" s="296">
        <f t="shared" si="46"/>
        <v>0</v>
      </c>
      <c r="F172" s="296">
        <f t="shared" ca="1" si="43"/>
        <v>0</v>
      </c>
      <c r="G172" s="296">
        <f t="shared" ca="1" si="44"/>
        <v>0</v>
      </c>
      <c r="H172" s="296">
        <f t="shared" ca="1" si="45"/>
        <v>11.5</v>
      </c>
      <c r="I172" s="297">
        <f t="shared" ca="1" si="38"/>
        <v>-12</v>
      </c>
    </row>
    <row r="173" spans="1:9">
      <c r="A173" s="295">
        <f t="shared" si="39"/>
        <v>156</v>
      </c>
      <c r="B173" s="300">
        <f t="shared" si="41"/>
        <v>4719</v>
      </c>
      <c r="C173" s="296">
        <f t="shared" ca="1" si="40"/>
        <v>11.5</v>
      </c>
      <c r="D173" s="296">
        <f ca="1">IF(H173&lt;0,0,0.5*(K30-L30))</f>
        <v>-0.5</v>
      </c>
      <c r="E173" s="296">
        <f t="shared" ca="1" si="46"/>
        <v>-0.5</v>
      </c>
      <c r="F173" s="296">
        <f t="shared" ca="1" si="43"/>
        <v>-0.5</v>
      </c>
      <c r="G173" s="296">
        <f t="shared" ca="1" si="44"/>
        <v>0</v>
      </c>
      <c r="H173" s="296">
        <f t="shared" ca="1" si="45"/>
        <v>12</v>
      </c>
      <c r="I173" s="297">
        <f t="shared" ca="1" si="38"/>
        <v>-13</v>
      </c>
    </row>
    <row r="174" spans="1:9">
      <c r="A174" s="295">
        <f t="shared" si="39"/>
        <v>157</v>
      </c>
      <c r="B174" s="300">
        <f t="shared" si="41"/>
        <v>4750</v>
      </c>
      <c r="C174" s="296">
        <f t="shared" ca="1" si="40"/>
        <v>12</v>
      </c>
      <c r="D174" s="296"/>
      <c r="E174" s="296">
        <f t="shared" ref="E174:E185" si="47">IF($D$10=1,IF(OR(MONTH(B174)=MONTH(EDATE($D$7,0)),MONTH(B174)=MONTH(EDATE($D$7,6))),(MIN($D$173,H173)),0),IF($D$10=0,IF(OR(MONTH(B174)=MONTH(EDATE($D$7,5)),MONTH(B174)=MONTH(EDATE($D$7,11))),(MIN($D$173,H173)),0)))</f>
        <v>0</v>
      </c>
      <c r="F174" s="296">
        <f t="shared" ca="1" si="43"/>
        <v>0</v>
      </c>
      <c r="G174" s="296">
        <f t="shared" ca="1" si="44"/>
        <v>0</v>
      </c>
      <c r="H174" s="296">
        <f t="shared" ca="1" si="45"/>
        <v>12</v>
      </c>
      <c r="I174" s="297">
        <f t="shared" ca="1" si="38"/>
        <v>-12</v>
      </c>
    </row>
    <row r="175" spans="1:9">
      <c r="A175" s="295">
        <f t="shared" si="39"/>
        <v>158</v>
      </c>
      <c r="B175" s="300">
        <f t="shared" si="41"/>
        <v>4781</v>
      </c>
      <c r="C175" s="296">
        <f t="shared" ca="1" si="40"/>
        <v>12</v>
      </c>
      <c r="D175" s="295"/>
      <c r="E175" s="296">
        <f t="shared" si="47"/>
        <v>0</v>
      </c>
      <c r="F175" s="296">
        <f t="shared" ca="1" si="43"/>
        <v>0</v>
      </c>
      <c r="G175" s="296">
        <f t="shared" ca="1" si="44"/>
        <v>0</v>
      </c>
      <c r="H175" s="296">
        <f t="shared" ca="1" si="45"/>
        <v>12</v>
      </c>
      <c r="I175" s="297">
        <f t="shared" ca="1" si="38"/>
        <v>-12</v>
      </c>
    </row>
    <row r="176" spans="1:9">
      <c r="A176" s="295">
        <f t="shared" si="39"/>
        <v>159</v>
      </c>
      <c r="B176" s="300">
        <f t="shared" si="41"/>
        <v>4809</v>
      </c>
      <c r="C176" s="296">
        <f t="shared" ca="1" si="40"/>
        <v>12</v>
      </c>
      <c r="D176" s="295"/>
      <c r="E176" s="296">
        <f t="shared" si="47"/>
        <v>0</v>
      </c>
      <c r="F176" s="296">
        <f t="shared" ca="1" si="43"/>
        <v>0</v>
      </c>
      <c r="G176" s="296">
        <f t="shared" ca="1" si="44"/>
        <v>0</v>
      </c>
      <c r="H176" s="296">
        <f t="shared" ca="1" si="45"/>
        <v>12</v>
      </c>
      <c r="I176" s="297">
        <f t="shared" ca="1" si="38"/>
        <v>-12</v>
      </c>
    </row>
    <row r="177" spans="1:9">
      <c r="A177" s="295">
        <f t="shared" si="39"/>
        <v>160</v>
      </c>
      <c r="B177" s="300">
        <f t="shared" si="41"/>
        <v>4840</v>
      </c>
      <c r="C177" s="296">
        <f t="shared" ca="1" si="40"/>
        <v>12</v>
      </c>
      <c r="D177" s="295"/>
      <c r="E177" s="296">
        <f t="shared" si="47"/>
        <v>0</v>
      </c>
      <c r="F177" s="296">
        <f t="shared" ca="1" si="43"/>
        <v>0</v>
      </c>
      <c r="G177" s="296">
        <f t="shared" ca="1" si="44"/>
        <v>0</v>
      </c>
      <c r="H177" s="296">
        <f t="shared" ca="1" si="45"/>
        <v>12</v>
      </c>
      <c r="I177" s="297">
        <f t="shared" ca="1" si="38"/>
        <v>-12</v>
      </c>
    </row>
    <row r="178" spans="1:9">
      <c r="A178" s="295">
        <f t="shared" si="39"/>
        <v>161</v>
      </c>
      <c r="B178" s="300">
        <f t="shared" si="41"/>
        <v>4870</v>
      </c>
      <c r="C178" s="296">
        <f t="shared" ca="1" si="40"/>
        <v>12</v>
      </c>
      <c r="D178" s="295"/>
      <c r="E178" s="296">
        <f t="shared" si="47"/>
        <v>0</v>
      </c>
      <c r="F178" s="296">
        <f t="shared" ca="1" si="43"/>
        <v>0</v>
      </c>
      <c r="G178" s="296">
        <f t="shared" ca="1" si="44"/>
        <v>0</v>
      </c>
      <c r="H178" s="296">
        <f t="shared" ca="1" si="45"/>
        <v>12</v>
      </c>
      <c r="I178" s="297">
        <f t="shared" ca="1" si="38"/>
        <v>-12</v>
      </c>
    </row>
    <row r="179" spans="1:9">
      <c r="A179" s="295">
        <f t="shared" si="39"/>
        <v>162</v>
      </c>
      <c r="B179" s="300">
        <f t="shared" si="41"/>
        <v>4901</v>
      </c>
      <c r="C179" s="296">
        <f t="shared" ca="1" si="40"/>
        <v>12</v>
      </c>
      <c r="D179" s="295"/>
      <c r="E179" s="296">
        <f t="shared" ca="1" si="47"/>
        <v>-0.5</v>
      </c>
      <c r="F179" s="296">
        <f t="shared" ca="1" si="43"/>
        <v>-0.5</v>
      </c>
      <c r="G179" s="296">
        <f t="shared" ca="1" si="44"/>
        <v>0</v>
      </c>
      <c r="H179" s="296">
        <f t="shared" ca="1" si="45"/>
        <v>12.5</v>
      </c>
      <c r="I179" s="297">
        <f t="shared" ca="1" si="38"/>
        <v>-13</v>
      </c>
    </row>
    <row r="180" spans="1:9">
      <c r="A180" s="295">
        <f t="shared" si="39"/>
        <v>163</v>
      </c>
      <c r="B180" s="300">
        <f t="shared" si="41"/>
        <v>4931</v>
      </c>
      <c r="C180" s="296">
        <f t="shared" ca="1" si="40"/>
        <v>12.5</v>
      </c>
      <c r="D180" s="295"/>
      <c r="E180" s="296">
        <f t="shared" si="47"/>
        <v>0</v>
      </c>
      <c r="F180" s="296">
        <f t="shared" ca="1" si="43"/>
        <v>0</v>
      </c>
      <c r="G180" s="296">
        <f t="shared" ca="1" si="44"/>
        <v>0</v>
      </c>
      <c r="H180" s="296">
        <f t="shared" ca="1" si="45"/>
        <v>12.5</v>
      </c>
      <c r="I180" s="297">
        <f t="shared" ca="1" si="38"/>
        <v>-13</v>
      </c>
    </row>
    <row r="181" spans="1:9">
      <c r="A181" s="295">
        <f t="shared" si="39"/>
        <v>164</v>
      </c>
      <c r="B181" s="300">
        <f t="shared" si="41"/>
        <v>4962</v>
      </c>
      <c r="C181" s="296">
        <f t="shared" ca="1" si="40"/>
        <v>12.5</v>
      </c>
      <c r="D181" s="295"/>
      <c r="E181" s="296">
        <f t="shared" si="47"/>
        <v>0</v>
      </c>
      <c r="F181" s="296">
        <f t="shared" ca="1" si="43"/>
        <v>0</v>
      </c>
      <c r="G181" s="296">
        <f t="shared" ca="1" si="44"/>
        <v>0</v>
      </c>
      <c r="H181" s="296">
        <f t="shared" ca="1" si="45"/>
        <v>12.5</v>
      </c>
      <c r="I181" s="297">
        <f t="shared" ca="1" si="38"/>
        <v>-13</v>
      </c>
    </row>
    <row r="182" spans="1:9">
      <c r="A182" s="295">
        <f t="shared" si="39"/>
        <v>165</v>
      </c>
      <c r="B182" s="300">
        <f t="shared" si="41"/>
        <v>4993</v>
      </c>
      <c r="C182" s="296">
        <f t="shared" ca="1" si="40"/>
        <v>12.5</v>
      </c>
      <c r="D182" s="295"/>
      <c r="E182" s="296">
        <f t="shared" si="47"/>
        <v>0</v>
      </c>
      <c r="F182" s="296">
        <f t="shared" ca="1" si="43"/>
        <v>0</v>
      </c>
      <c r="G182" s="296">
        <f t="shared" ca="1" si="44"/>
        <v>0</v>
      </c>
      <c r="H182" s="296">
        <f t="shared" ca="1" si="45"/>
        <v>12.5</v>
      </c>
      <c r="I182" s="297">
        <f t="shared" ca="1" si="38"/>
        <v>-13</v>
      </c>
    </row>
    <row r="183" spans="1:9">
      <c r="A183" s="295">
        <f t="shared" si="39"/>
        <v>166</v>
      </c>
      <c r="B183" s="300">
        <f t="shared" si="41"/>
        <v>5023</v>
      </c>
      <c r="C183" s="296">
        <f t="shared" ca="1" si="40"/>
        <v>12.5</v>
      </c>
      <c r="D183" s="295"/>
      <c r="E183" s="296">
        <f t="shared" si="47"/>
        <v>0</v>
      </c>
      <c r="F183" s="296">
        <f t="shared" ca="1" si="43"/>
        <v>0</v>
      </c>
      <c r="G183" s="296">
        <f t="shared" ca="1" si="44"/>
        <v>0</v>
      </c>
      <c r="H183" s="296">
        <f t="shared" ca="1" si="45"/>
        <v>12.5</v>
      </c>
      <c r="I183" s="297">
        <f t="shared" ca="1" si="38"/>
        <v>-13</v>
      </c>
    </row>
    <row r="184" spans="1:9">
      <c r="A184" s="295">
        <f t="shared" si="39"/>
        <v>167</v>
      </c>
      <c r="B184" s="300">
        <f t="shared" si="41"/>
        <v>5054</v>
      </c>
      <c r="C184" s="296">
        <f t="shared" ca="1" si="40"/>
        <v>12.5</v>
      </c>
      <c r="D184" s="295"/>
      <c r="E184" s="296">
        <f t="shared" si="47"/>
        <v>0</v>
      </c>
      <c r="F184" s="296">
        <f t="shared" ca="1" si="43"/>
        <v>0</v>
      </c>
      <c r="G184" s="296">
        <f t="shared" ca="1" si="44"/>
        <v>0</v>
      </c>
      <c r="H184" s="296">
        <f t="shared" ca="1" si="45"/>
        <v>12.5</v>
      </c>
      <c r="I184" s="297">
        <f t="shared" ca="1" si="38"/>
        <v>-13</v>
      </c>
    </row>
    <row r="185" spans="1:9">
      <c r="A185" s="295">
        <f t="shared" si="39"/>
        <v>168</v>
      </c>
      <c r="B185" s="300">
        <f t="shared" si="41"/>
        <v>5084</v>
      </c>
      <c r="C185" s="296">
        <f t="shared" ca="1" si="40"/>
        <v>12.5</v>
      </c>
      <c r="D185" s="296">
        <f ca="1">IF(H185&lt;0,0,0.5*(K31-L31))</f>
        <v>-0.5</v>
      </c>
      <c r="E185" s="296">
        <f t="shared" ca="1" si="47"/>
        <v>-0.5</v>
      </c>
      <c r="F185" s="296">
        <f t="shared" ca="1" si="43"/>
        <v>-0.5</v>
      </c>
      <c r="G185" s="296">
        <f t="shared" ca="1" si="44"/>
        <v>0</v>
      </c>
      <c r="H185" s="296">
        <f t="shared" ca="1" si="45"/>
        <v>13</v>
      </c>
      <c r="I185" s="297">
        <f t="shared" ca="1" si="38"/>
        <v>-14</v>
      </c>
    </row>
    <row r="186" spans="1:9">
      <c r="A186" s="295">
        <f t="shared" si="39"/>
        <v>169</v>
      </c>
      <c r="B186" s="300">
        <f t="shared" si="41"/>
        <v>5115</v>
      </c>
      <c r="C186" s="296">
        <f t="shared" ca="1" si="40"/>
        <v>13</v>
      </c>
      <c r="D186" s="296"/>
      <c r="E186" s="296">
        <f t="shared" ref="E186:E197" si="48">IF($D$10=1,IF(OR(MONTH(B186)=MONTH(EDATE($D$7,0)),MONTH(B186)=MONTH(EDATE($D$7,6))),(MIN($D$185,H185)),0),IF($D$10=0,IF(OR(MONTH(B186)=MONTH(EDATE($D$7,5)),MONTH(B186)=MONTH(EDATE($D$7,11))),(MIN($D$185,H185)),0)))</f>
        <v>0</v>
      </c>
      <c r="F186" s="296">
        <f t="shared" ca="1" si="43"/>
        <v>0</v>
      </c>
      <c r="G186" s="296">
        <f t="shared" ca="1" si="44"/>
        <v>0</v>
      </c>
      <c r="H186" s="296">
        <f t="shared" ca="1" si="45"/>
        <v>13</v>
      </c>
      <c r="I186" s="297">
        <f t="shared" ca="1" si="38"/>
        <v>-13</v>
      </c>
    </row>
    <row r="187" spans="1:9">
      <c r="A187" s="295">
        <f t="shared" si="39"/>
        <v>170</v>
      </c>
      <c r="B187" s="300">
        <f t="shared" si="41"/>
        <v>5146</v>
      </c>
      <c r="C187" s="296">
        <f t="shared" ca="1" si="40"/>
        <v>13</v>
      </c>
      <c r="D187" s="295"/>
      <c r="E187" s="296">
        <f t="shared" si="48"/>
        <v>0</v>
      </c>
      <c r="F187" s="296">
        <f t="shared" ca="1" si="43"/>
        <v>0</v>
      </c>
      <c r="G187" s="296">
        <f t="shared" ca="1" si="44"/>
        <v>0</v>
      </c>
      <c r="H187" s="296">
        <f t="shared" ca="1" si="45"/>
        <v>13</v>
      </c>
      <c r="I187" s="297">
        <f t="shared" ca="1" si="38"/>
        <v>-13</v>
      </c>
    </row>
    <row r="188" spans="1:9">
      <c r="A188" s="295">
        <f t="shared" si="39"/>
        <v>171</v>
      </c>
      <c r="B188" s="300">
        <f t="shared" si="41"/>
        <v>5174</v>
      </c>
      <c r="C188" s="296">
        <f t="shared" ca="1" si="40"/>
        <v>13</v>
      </c>
      <c r="D188" s="295"/>
      <c r="E188" s="296">
        <f t="shared" si="48"/>
        <v>0</v>
      </c>
      <c r="F188" s="296">
        <f t="shared" ca="1" si="43"/>
        <v>0</v>
      </c>
      <c r="G188" s="296">
        <f t="shared" ca="1" si="44"/>
        <v>0</v>
      </c>
      <c r="H188" s="296">
        <f t="shared" ca="1" si="45"/>
        <v>13</v>
      </c>
      <c r="I188" s="297">
        <f t="shared" ca="1" si="38"/>
        <v>-13</v>
      </c>
    </row>
    <row r="189" spans="1:9">
      <c r="A189" s="295">
        <f t="shared" si="39"/>
        <v>172</v>
      </c>
      <c r="B189" s="300">
        <f t="shared" si="41"/>
        <v>5205</v>
      </c>
      <c r="C189" s="296">
        <f t="shared" ca="1" si="40"/>
        <v>13</v>
      </c>
      <c r="D189" s="295"/>
      <c r="E189" s="296">
        <f t="shared" si="48"/>
        <v>0</v>
      </c>
      <c r="F189" s="296">
        <f t="shared" ca="1" si="43"/>
        <v>0</v>
      </c>
      <c r="G189" s="296">
        <f t="shared" ca="1" si="44"/>
        <v>0</v>
      </c>
      <c r="H189" s="296">
        <f t="shared" ca="1" si="45"/>
        <v>13</v>
      </c>
      <c r="I189" s="297">
        <f t="shared" ca="1" si="38"/>
        <v>-13</v>
      </c>
    </row>
    <row r="190" spans="1:9">
      <c r="A190" s="295">
        <f t="shared" si="39"/>
        <v>173</v>
      </c>
      <c r="B190" s="300">
        <f t="shared" si="41"/>
        <v>5235</v>
      </c>
      <c r="C190" s="296">
        <f t="shared" ca="1" si="40"/>
        <v>13</v>
      </c>
      <c r="D190" s="295"/>
      <c r="E190" s="296">
        <f t="shared" si="48"/>
        <v>0</v>
      </c>
      <c r="F190" s="296">
        <f t="shared" ca="1" si="43"/>
        <v>0</v>
      </c>
      <c r="G190" s="296">
        <f t="shared" ca="1" si="44"/>
        <v>0</v>
      </c>
      <c r="H190" s="296">
        <f t="shared" ca="1" si="45"/>
        <v>13</v>
      </c>
      <c r="I190" s="297">
        <f t="shared" ca="1" si="38"/>
        <v>-13</v>
      </c>
    </row>
    <row r="191" spans="1:9">
      <c r="A191" s="295">
        <f t="shared" si="39"/>
        <v>174</v>
      </c>
      <c r="B191" s="300">
        <f t="shared" si="41"/>
        <v>5266</v>
      </c>
      <c r="C191" s="296">
        <f t="shared" ca="1" si="40"/>
        <v>13</v>
      </c>
      <c r="D191" s="295"/>
      <c r="E191" s="296">
        <f t="shared" ca="1" si="48"/>
        <v>-0.5</v>
      </c>
      <c r="F191" s="296">
        <f t="shared" ca="1" si="43"/>
        <v>-0.5</v>
      </c>
      <c r="G191" s="296">
        <f t="shared" ca="1" si="44"/>
        <v>0</v>
      </c>
      <c r="H191" s="296">
        <f t="shared" ca="1" si="45"/>
        <v>13.5</v>
      </c>
      <c r="I191" s="297">
        <f t="shared" ca="1" si="38"/>
        <v>-14</v>
      </c>
    </row>
    <row r="192" spans="1:9">
      <c r="A192" s="295">
        <f t="shared" si="39"/>
        <v>175</v>
      </c>
      <c r="B192" s="300">
        <f t="shared" si="41"/>
        <v>5296</v>
      </c>
      <c r="C192" s="296">
        <f t="shared" ca="1" si="40"/>
        <v>13.5</v>
      </c>
      <c r="D192" s="295"/>
      <c r="E192" s="296">
        <f t="shared" si="48"/>
        <v>0</v>
      </c>
      <c r="F192" s="296">
        <f t="shared" ca="1" si="43"/>
        <v>0</v>
      </c>
      <c r="G192" s="296">
        <f t="shared" ca="1" si="44"/>
        <v>0</v>
      </c>
      <c r="H192" s="296">
        <f t="shared" ca="1" si="45"/>
        <v>13.5</v>
      </c>
      <c r="I192" s="297">
        <f t="shared" ca="1" si="38"/>
        <v>-14</v>
      </c>
    </row>
    <row r="193" spans="1:9">
      <c r="A193" s="295">
        <f t="shared" si="39"/>
        <v>176</v>
      </c>
      <c r="B193" s="300">
        <f t="shared" si="41"/>
        <v>5327</v>
      </c>
      <c r="C193" s="296">
        <f t="shared" ca="1" si="40"/>
        <v>13.5</v>
      </c>
      <c r="D193" s="295"/>
      <c r="E193" s="296">
        <f t="shared" si="48"/>
        <v>0</v>
      </c>
      <c r="F193" s="296">
        <f t="shared" ca="1" si="43"/>
        <v>0</v>
      </c>
      <c r="G193" s="296">
        <f t="shared" ca="1" si="44"/>
        <v>0</v>
      </c>
      <c r="H193" s="296">
        <f t="shared" ca="1" si="45"/>
        <v>13.5</v>
      </c>
      <c r="I193" s="297">
        <f t="shared" ca="1" si="38"/>
        <v>-14</v>
      </c>
    </row>
    <row r="194" spans="1:9">
      <c r="A194" s="295">
        <f t="shared" si="39"/>
        <v>177</v>
      </c>
      <c r="B194" s="300">
        <f t="shared" si="41"/>
        <v>5358</v>
      </c>
      <c r="C194" s="296">
        <f t="shared" ca="1" si="40"/>
        <v>13.5</v>
      </c>
      <c r="D194" s="295"/>
      <c r="E194" s="296">
        <f t="shared" si="48"/>
        <v>0</v>
      </c>
      <c r="F194" s="296">
        <f t="shared" ca="1" si="43"/>
        <v>0</v>
      </c>
      <c r="G194" s="296">
        <f t="shared" ca="1" si="44"/>
        <v>0</v>
      </c>
      <c r="H194" s="296">
        <f t="shared" ca="1" si="45"/>
        <v>13.5</v>
      </c>
      <c r="I194" s="297">
        <f t="shared" ca="1" si="38"/>
        <v>-14</v>
      </c>
    </row>
    <row r="195" spans="1:9">
      <c r="A195" s="295">
        <f t="shared" si="39"/>
        <v>178</v>
      </c>
      <c r="B195" s="300">
        <f t="shared" si="41"/>
        <v>5388</v>
      </c>
      <c r="C195" s="296">
        <f t="shared" ca="1" si="40"/>
        <v>13.5</v>
      </c>
      <c r="D195" s="295"/>
      <c r="E195" s="296">
        <f t="shared" si="48"/>
        <v>0</v>
      </c>
      <c r="F195" s="296">
        <f t="shared" ca="1" si="43"/>
        <v>0</v>
      </c>
      <c r="G195" s="296">
        <f t="shared" ca="1" si="44"/>
        <v>0</v>
      </c>
      <c r="H195" s="296">
        <f t="shared" ca="1" si="45"/>
        <v>13.5</v>
      </c>
      <c r="I195" s="297">
        <f t="shared" ca="1" si="38"/>
        <v>-14</v>
      </c>
    </row>
    <row r="196" spans="1:9">
      <c r="A196" s="295">
        <f t="shared" si="39"/>
        <v>179</v>
      </c>
      <c r="B196" s="300">
        <f t="shared" si="41"/>
        <v>5419</v>
      </c>
      <c r="C196" s="296">
        <f t="shared" ca="1" si="40"/>
        <v>13.5</v>
      </c>
      <c r="D196" s="295"/>
      <c r="E196" s="296">
        <f t="shared" si="48"/>
        <v>0</v>
      </c>
      <c r="F196" s="296">
        <f t="shared" ca="1" si="43"/>
        <v>0</v>
      </c>
      <c r="G196" s="296">
        <f t="shared" ca="1" si="44"/>
        <v>0</v>
      </c>
      <c r="H196" s="296">
        <f t="shared" ca="1" si="45"/>
        <v>13.5</v>
      </c>
      <c r="I196" s="297">
        <f t="shared" ca="1" si="38"/>
        <v>-14</v>
      </c>
    </row>
    <row r="197" spans="1:9">
      <c r="A197" s="295">
        <f t="shared" si="39"/>
        <v>180</v>
      </c>
      <c r="B197" s="300">
        <f t="shared" si="41"/>
        <v>5449</v>
      </c>
      <c r="C197" s="296">
        <f t="shared" ca="1" si="40"/>
        <v>13.5</v>
      </c>
      <c r="D197" s="296">
        <f ca="1">IF(H197&lt;0,0,0.5*(K32-L32))</f>
        <v>-0.5</v>
      </c>
      <c r="E197" s="296">
        <f t="shared" ca="1" si="48"/>
        <v>-0.5</v>
      </c>
      <c r="F197" s="296">
        <f t="shared" ca="1" si="43"/>
        <v>-0.5</v>
      </c>
      <c r="G197" s="296">
        <f t="shared" ca="1" si="44"/>
        <v>0</v>
      </c>
      <c r="H197" s="296">
        <f t="shared" ca="1" si="45"/>
        <v>14</v>
      </c>
      <c r="I197" s="297">
        <f t="shared" ca="1" si="38"/>
        <v>-15</v>
      </c>
    </row>
    <row r="198" spans="1:9">
      <c r="A198" s="295">
        <f t="shared" si="39"/>
        <v>181</v>
      </c>
      <c r="B198" s="300">
        <f t="shared" si="41"/>
        <v>5480</v>
      </c>
      <c r="C198" s="296">
        <f t="shared" ca="1" si="40"/>
        <v>14</v>
      </c>
      <c r="D198" s="296"/>
      <c r="E198" s="296">
        <f t="shared" ref="E198:E209" si="49">IF($D$10=1,IF(OR(MONTH(B198)=MONTH(EDATE($D$7,0)),MONTH(B198)=MONTH(EDATE($D$7,6))),(MIN($D$197,H197)),0),IF($D$10=0,IF(OR(MONTH(B198)=MONTH(EDATE($D$7,5)),MONTH(B198)=MONTH(EDATE($D$7,11))),(MIN($D$197,H197)),0)))</f>
        <v>0</v>
      </c>
      <c r="F198" s="296">
        <f t="shared" ca="1" si="43"/>
        <v>0</v>
      </c>
      <c r="G198" s="296">
        <f t="shared" ca="1" si="44"/>
        <v>0</v>
      </c>
      <c r="H198" s="296">
        <f t="shared" ca="1" si="45"/>
        <v>14</v>
      </c>
      <c r="I198" s="297">
        <f t="shared" ca="1" si="38"/>
        <v>-14</v>
      </c>
    </row>
    <row r="199" spans="1:9">
      <c r="A199" s="295">
        <f t="shared" si="39"/>
        <v>182</v>
      </c>
      <c r="B199" s="300">
        <f t="shared" si="41"/>
        <v>5511</v>
      </c>
      <c r="C199" s="296">
        <f t="shared" ca="1" si="40"/>
        <v>14</v>
      </c>
      <c r="D199" s="295"/>
      <c r="E199" s="296">
        <f t="shared" si="49"/>
        <v>0</v>
      </c>
      <c r="F199" s="296">
        <f t="shared" ca="1" si="43"/>
        <v>0</v>
      </c>
      <c r="G199" s="296">
        <f t="shared" ca="1" si="44"/>
        <v>0</v>
      </c>
      <c r="H199" s="296">
        <f t="shared" ca="1" si="45"/>
        <v>14</v>
      </c>
      <c r="I199" s="297">
        <f t="shared" ca="1" si="38"/>
        <v>-14</v>
      </c>
    </row>
    <row r="200" spans="1:9">
      <c r="A200" s="295">
        <f t="shared" si="39"/>
        <v>183</v>
      </c>
      <c r="B200" s="300">
        <f t="shared" si="41"/>
        <v>5539</v>
      </c>
      <c r="C200" s="296">
        <f t="shared" ca="1" si="40"/>
        <v>14</v>
      </c>
      <c r="D200" s="295"/>
      <c r="E200" s="296">
        <f t="shared" si="49"/>
        <v>0</v>
      </c>
      <c r="F200" s="296">
        <f t="shared" ca="1" si="43"/>
        <v>0</v>
      </c>
      <c r="G200" s="296">
        <f t="shared" ca="1" si="44"/>
        <v>0</v>
      </c>
      <c r="H200" s="296">
        <f t="shared" ca="1" si="45"/>
        <v>14</v>
      </c>
      <c r="I200" s="297">
        <f t="shared" ca="1" si="38"/>
        <v>-14</v>
      </c>
    </row>
    <row r="201" spans="1:9">
      <c r="A201" s="295">
        <f t="shared" si="39"/>
        <v>184</v>
      </c>
      <c r="B201" s="300">
        <f t="shared" si="41"/>
        <v>5570</v>
      </c>
      <c r="C201" s="296">
        <f t="shared" ca="1" si="40"/>
        <v>14</v>
      </c>
      <c r="D201" s="295"/>
      <c r="E201" s="296">
        <f t="shared" si="49"/>
        <v>0</v>
      </c>
      <c r="F201" s="296">
        <f t="shared" ca="1" si="43"/>
        <v>0</v>
      </c>
      <c r="G201" s="296">
        <f t="shared" ca="1" si="44"/>
        <v>0</v>
      </c>
      <c r="H201" s="296">
        <f t="shared" ca="1" si="45"/>
        <v>14</v>
      </c>
      <c r="I201" s="297">
        <f t="shared" ca="1" si="38"/>
        <v>-14</v>
      </c>
    </row>
    <row r="202" spans="1:9">
      <c r="A202" s="295">
        <f t="shared" si="39"/>
        <v>185</v>
      </c>
      <c r="B202" s="300">
        <f t="shared" si="41"/>
        <v>5600</v>
      </c>
      <c r="C202" s="296">
        <f t="shared" ca="1" si="40"/>
        <v>14</v>
      </c>
      <c r="D202" s="295"/>
      <c r="E202" s="296">
        <f t="shared" si="49"/>
        <v>0</v>
      </c>
      <c r="F202" s="296">
        <f t="shared" ca="1" si="43"/>
        <v>0</v>
      </c>
      <c r="G202" s="296">
        <f t="shared" ca="1" si="44"/>
        <v>0</v>
      </c>
      <c r="H202" s="296">
        <f t="shared" ca="1" si="45"/>
        <v>14</v>
      </c>
      <c r="I202" s="297">
        <f t="shared" ca="1" si="38"/>
        <v>-14</v>
      </c>
    </row>
    <row r="203" spans="1:9">
      <c r="A203" s="295">
        <f t="shared" si="39"/>
        <v>186</v>
      </c>
      <c r="B203" s="300">
        <f t="shared" si="41"/>
        <v>5631</v>
      </c>
      <c r="C203" s="296">
        <f t="shared" ca="1" si="40"/>
        <v>14</v>
      </c>
      <c r="D203" s="295"/>
      <c r="E203" s="296">
        <f t="shared" ca="1" si="49"/>
        <v>-0.5</v>
      </c>
      <c r="F203" s="296">
        <f t="shared" ca="1" si="43"/>
        <v>-0.5</v>
      </c>
      <c r="G203" s="296">
        <f t="shared" ca="1" si="44"/>
        <v>0</v>
      </c>
      <c r="H203" s="296">
        <f t="shared" ca="1" si="45"/>
        <v>14.5</v>
      </c>
      <c r="I203" s="297">
        <f t="shared" ca="1" si="38"/>
        <v>-15</v>
      </c>
    </row>
    <row r="204" spans="1:9">
      <c r="A204" s="295">
        <f t="shared" si="39"/>
        <v>187</v>
      </c>
      <c r="B204" s="300">
        <f t="shared" si="41"/>
        <v>5661</v>
      </c>
      <c r="C204" s="296">
        <f t="shared" ca="1" si="40"/>
        <v>14.5</v>
      </c>
      <c r="D204" s="295"/>
      <c r="E204" s="296">
        <f t="shared" si="49"/>
        <v>0</v>
      </c>
      <c r="F204" s="296">
        <f t="shared" ca="1" si="43"/>
        <v>0</v>
      </c>
      <c r="G204" s="296">
        <f t="shared" ca="1" si="44"/>
        <v>0</v>
      </c>
      <c r="H204" s="296">
        <f t="shared" ca="1" si="45"/>
        <v>14.5</v>
      </c>
      <c r="I204" s="297">
        <f t="shared" ca="1" si="38"/>
        <v>-15</v>
      </c>
    </row>
    <row r="205" spans="1:9">
      <c r="A205" s="295">
        <f t="shared" si="39"/>
        <v>188</v>
      </c>
      <c r="B205" s="300">
        <f t="shared" si="41"/>
        <v>5692</v>
      </c>
      <c r="C205" s="296">
        <f t="shared" ca="1" si="40"/>
        <v>14.5</v>
      </c>
      <c r="D205" s="295"/>
      <c r="E205" s="296">
        <f t="shared" si="49"/>
        <v>0</v>
      </c>
      <c r="F205" s="296">
        <f t="shared" ca="1" si="43"/>
        <v>0</v>
      </c>
      <c r="G205" s="296">
        <f t="shared" ca="1" si="44"/>
        <v>0</v>
      </c>
      <c r="H205" s="296">
        <f t="shared" ca="1" si="45"/>
        <v>14.5</v>
      </c>
      <c r="I205" s="297">
        <f t="shared" ca="1" si="38"/>
        <v>-15</v>
      </c>
    </row>
    <row r="206" spans="1:9">
      <c r="A206" s="295">
        <f t="shared" si="39"/>
        <v>189</v>
      </c>
      <c r="B206" s="300">
        <f t="shared" si="41"/>
        <v>5723</v>
      </c>
      <c r="C206" s="296">
        <f t="shared" ca="1" si="40"/>
        <v>14.5</v>
      </c>
      <c r="D206" s="295"/>
      <c r="E206" s="296">
        <f t="shared" si="49"/>
        <v>0</v>
      </c>
      <c r="F206" s="296">
        <f t="shared" ca="1" si="43"/>
        <v>0</v>
      </c>
      <c r="G206" s="296">
        <f t="shared" ca="1" si="44"/>
        <v>0</v>
      </c>
      <c r="H206" s="296">
        <f t="shared" ca="1" si="45"/>
        <v>14.5</v>
      </c>
      <c r="I206" s="297">
        <f t="shared" ca="1" si="38"/>
        <v>-15</v>
      </c>
    </row>
    <row r="207" spans="1:9">
      <c r="A207" s="295">
        <f t="shared" si="39"/>
        <v>190</v>
      </c>
      <c r="B207" s="300">
        <f t="shared" si="41"/>
        <v>5753</v>
      </c>
      <c r="C207" s="296">
        <f t="shared" ca="1" si="40"/>
        <v>14.5</v>
      </c>
      <c r="D207" s="295"/>
      <c r="E207" s="296">
        <f t="shared" si="49"/>
        <v>0</v>
      </c>
      <c r="F207" s="296">
        <f t="shared" ca="1" si="43"/>
        <v>0</v>
      </c>
      <c r="G207" s="296">
        <f t="shared" ca="1" si="44"/>
        <v>0</v>
      </c>
      <c r="H207" s="296">
        <f t="shared" ca="1" si="45"/>
        <v>14.5</v>
      </c>
      <c r="I207" s="297">
        <f t="shared" ca="1" si="38"/>
        <v>-15</v>
      </c>
    </row>
    <row r="208" spans="1:9">
      <c r="A208" s="295">
        <f t="shared" si="39"/>
        <v>191</v>
      </c>
      <c r="B208" s="300">
        <f t="shared" si="41"/>
        <v>5784</v>
      </c>
      <c r="C208" s="296">
        <f t="shared" ca="1" si="40"/>
        <v>14.5</v>
      </c>
      <c r="D208" s="295"/>
      <c r="E208" s="296">
        <f t="shared" si="49"/>
        <v>0</v>
      </c>
      <c r="F208" s="296">
        <f t="shared" ca="1" si="43"/>
        <v>0</v>
      </c>
      <c r="G208" s="296">
        <f t="shared" ca="1" si="44"/>
        <v>0</v>
      </c>
      <c r="H208" s="296">
        <f t="shared" ca="1" si="45"/>
        <v>14.5</v>
      </c>
      <c r="I208" s="297">
        <f t="shared" ca="1" si="38"/>
        <v>-15</v>
      </c>
    </row>
    <row r="209" spans="1:9">
      <c r="A209" s="295">
        <f t="shared" si="39"/>
        <v>192</v>
      </c>
      <c r="B209" s="300">
        <f t="shared" si="41"/>
        <v>5814</v>
      </c>
      <c r="C209" s="296">
        <f t="shared" ca="1" si="40"/>
        <v>14.5</v>
      </c>
      <c r="D209" s="296">
        <f ca="1">IF(H209&lt;0,0,0.5*(K33-L33))</f>
        <v>-0.5</v>
      </c>
      <c r="E209" s="296">
        <f t="shared" ca="1" si="49"/>
        <v>-0.5</v>
      </c>
      <c r="F209" s="296">
        <f t="shared" ca="1" si="43"/>
        <v>-0.5</v>
      </c>
      <c r="G209" s="296">
        <f t="shared" ca="1" si="44"/>
        <v>0</v>
      </c>
      <c r="H209" s="296">
        <f t="shared" ca="1" si="45"/>
        <v>15</v>
      </c>
      <c r="I209" s="297">
        <f t="shared" ca="1" si="38"/>
        <v>-16</v>
      </c>
    </row>
    <row r="210" spans="1:9">
      <c r="A210" s="295">
        <f t="shared" si="39"/>
        <v>193</v>
      </c>
      <c r="B210" s="300">
        <f t="shared" si="41"/>
        <v>5845</v>
      </c>
      <c r="C210" s="296">
        <f t="shared" ca="1" si="40"/>
        <v>15</v>
      </c>
      <c r="D210" s="296"/>
      <c r="E210" s="296">
        <f t="shared" ref="E210:E221" si="50">IF($D$10=1,IF(OR(MONTH(B210)=MONTH(EDATE($D$7,0)),MONTH(B210)=MONTH(EDATE($D$7,6))),(MIN($D$209,H209)),0),IF($D$10=0,IF(OR(MONTH(B210)=MONTH(EDATE($D$7,5)),MONTH(B210)=MONTH(EDATE($D$7,11))),(MIN($D$209,H209)),0)))</f>
        <v>0</v>
      </c>
      <c r="F210" s="296">
        <f t="shared" ca="1" si="43"/>
        <v>0</v>
      </c>
      <c r="G210" s="296">
        <f t="shared" ca="1" si="44"/>
        <v>0</v>
      </c>
      <c r="H210" s="296">
        <f t="shared" ca="1" si="45"/>
        <v>15</v>
      </c>
      <c r="I210" s="297">
        <f t="shared" ref="I210:I273" ca="1" si="51">ROUND((D210-H210),0)</f>
        <v>-15</v>
      </c>
    </row>
    <row r="211" spans="1:9">
      <c r="A211" s="295">
        <f t="shared" ref="A211:A274" si="52">IF(A210="","",IF(A210=$D$6,"",A210+1))</f>
        <v>194</v>
      </c>
      <c r="B211" s="300">
        <f t="shared" si="41"/>
        <v>5876</v>
      </c>
      <c r="C211" s="296">
        <f t="shared" ref="C211:C274" ca="1" si="53">IF(H210=0,0,H210)</f>
        <v>15</v>
      </c>
      <c r="D211" s="295"/>
      <c r="E211" s="296">
        <f t="shared" si="50"/>
        <v>0</v>
      </c>
      <c r="F211" s="296">
        <f t="shared" ca="1" si="43"/>
        <v>0</v>
      </c>
      <c r="G211" s="296">
        <f t="shared" ca="1" si="44"/>
        <v>0</v>
      </c>
      <c r="H211" s="296">
        <f t="shared" ca="1" si="45"/>
        <v>15</v>
      </c>
      <c r="I211" s="297">
        <f t="shared" ca="1" si="51"/>
        <v>-15</v>
      </c>
    </row>
    <row r="212" spans="1:9">
      <c r="A212" s="295">
        <f t="shared" si="52"/>
        <v>195</v>
      </c>
      <c r="B212" s="300">
        <f t="shared" ref="B212:B275" si="54">DATE(YEAR(B211),MONTH(B211)+1,1)</f>
        <v>5905</v>
      </c>
      <c r="C212" s="296">
        <f t="shared" ca="1" si="53"/>
        <v>15</v>
      </c>
      <c r="D212" s="295"/>
      <c r="E212" s="296">
        <f t="shared" si="50"/>
        <v>0</v>
      </c>
      <c r="F212" s="296">
        <f t="shared" ca="1" si="43"/>
        <v>0</v>
      </c>
      <c r="G212" s="296">
        <f t="shared" ca="1" si="44"/>
        <v>0</v>
      </c>
      <c r="H212" s="296">
        <f t="shared" ca="1" si="45"/>
        <v>15</v>
      </c>
      <c r="I212" s="297">
        <f t="shared" ca="1" si="51"/>
        <v>-15</v>
      </c>
    </row>
    <row r="213" spans="1:9">
      <c r="A213" s="295">
        <f t="shared" si="52"/>
        <v>196</v>
      </c>
      <c r="B213" s="300">
        <f t="shared" si="54"/>
        <v>5936</v>
      </c>
      <c r="C213" s="296">
        <f t="shared" ca="1" si="53"/>
        <v>15</v>
      </c>
      <c r="D213" s="295"/>
      <c r="E213" s="296">
        <f t="shared" si="50"/>
        <v>0</v>
      </c>
      <c r="F213" s="296">
        <f t="shared" ca="1" si="43"/>
        <v>0</v>
      </c>
      <c r="G213" s="296">
        <f t="shared" ca="1" si="44"/>
        <v>0</v>
      </c>
      <c r="H213" s="296">
        <f t="shared" ca="1" si="45"/>
        <v>15</v>
      </c>
      <c r="I213" s="297">
        <f t="shared" ca="1" si="51"/>
        <v>-15</v>
      </c>
    </row>
    <row r="214" spans="1:9">
      <c r="A214" s="295">
        <f t="shared" si="52"/>
        <v>197</v>
      </c>
      <c r="B214" s="300">
        <f t="shared" si="54"/>
        <v>5966</v>
      </c>
      <c r="C214" s="296">
        <f t="shared" ca="1" si="53"/>
        <v>15</v>
      </c>
      <c r="D214" s="295"/>
      <c r="E214" s="296">
        <f t="shared" si="50"/>
        <v>0</v>
      </c>
      <c r="F214" s="296">
        <f t="shared" ca="1" si="43"/>
        <v>0</v>
      </c>
      <c r="G214" s="296">
        <f t="shared" ca="1" si="44"/>
        <v>0</v>
      </c>
      <c r="H214" s="296">
        <f t="shared" ca="1" si="45"/>
        <v>15</v>
      </c>
      <c r="I214" s="297">
        <f t="shared" ca="1" si="51"/>
        <v>-15</v>
      </c>
    </row>
    <row r="215" spans="1:9">
      <c r="A215" s="295">
        <f t="shared" si="52"/>
        <v>198</v>
      </c>
      <c r="B215" s="300">
        <f t="shared" si="54"/>
        <v>5997</v>
      </c>
      <c r="C215" s="296">
        <f t="shared" ca="1" si="53"/>
        <v>15</v>
      </c>
      <c r="D215" s="295"/>
      <c r="E215" s="296">
        <f t="shared" ca="1" si="50"/>
        <v>-0.5</v>
      </c>
      <c r="F215" s="296">
        <f t="shared" ca="1" si="43"/>
        <v>-0.5</v>
      </c>
      <c r="G215" s="296">
        <f t="shared" ca="1" si="44"/>
        <v>0</v>
      </c>
      <c r="H215" s="296">
        <f t="shared" ca="1" si="45"/>
        <v>15.5</v>
      </c>
      <c r="I215" s="297">
        <f t="shared" ca="1" si="51"/>
        <v>-16</v>
      </c>
    </row>
    <row r="216" spans="1:9">
      <c r="A216" s="295">
        <f t="shared" si="52"/>
        <v>199</v>
      </c>
      <c r="B216" s="300">
        <f t="shared" si="54"/>
        <v>6027</v>
      </c>
      <c r="C216" s="296">
        <f t="shared" ca="1" si="53"/>
        <v>15.5</v>
      </c>
      <c r="D216" s="295"/>
      <c r="E216" s="296">
        <f t="shared" si="50"/>
        <v>0</v>
      </c>
      <c r="F216" s="296">
        <f t="shared" ca="1" si="43"/>
        <v>0</v>
      </c>
      <c r="G216" s="296">
        <f t="shared" ca="1" si="44"/>
        <v>0</v>
      </c>
      <c r="H216" s="296">
        <f t="shared" ca="1" si="45"/>
        <v>15.5</v>
      </c>
      <c r="I216" s="297">
        <f t="shared" ca="1" si="51"/>
        <v>-16</v>
      </c>
    </row>
    <row r="217" spans="1:9">
      <c r="A217" s="295">
        <f t="shared" si="52"/>
        <v>200</v>
      </c>
      <c r="B217" s="300">
        <f t="shared" si="54"/>
        <v>6058</v>
      </c>
      <c r="C217" s="296">
        <f t="shared" ca="1" si="53"/>
        <v>15.5</v>
      </c>
      <c r="D217" s="295"/>
      <c r="E217" s="296">
        <f t="shared" si="50"/>
        <v>0</v>
      </c>
      <c r="F217" s="296">
        <f t="shared" ca="1" si="43"/>
        <v>0</v>
      </c>
      <c r="G217" s="296">
        <f t="shared" ca="1" si="44"/>
        <v>0</v>
      </c>
      <c r="H217" s="296">
        <f t="shared" ca="1" si="45"/>
        <v>15.5</v>
      </c>
      <c r="I217" s="297">
        <f t="shared" ca="1" si="51"/>
        <v>-16</v>
      </c>
    </row>
    <row r="218" spans="1:9">
      <c r="A218" s="295">
        <f t="shared" si="52"/>
        <v>201</v>
      </c>
      <c r="B218" s="300">
        <f t="shared" si="54"/>
        <v>6089</v>
      </c>
      <c r="C218" s="296">
        <f t="shared" ca="1" si="53"/>
        <v>15.5</v>
      </c>
      <c r="D218" s="295"/>
      <c r="E218" s="296">
        <f t="shared" si="50"/>
        <v>0</v>
      </c>
      <c r="F218" s="296">
        <f t="shared" ca="1" si="43"/>
        <v>0</v>
      </c>
      <c r="G218" s="296">
        <f t="shared" ca="1" si="44"/>
        <v>0</v>
      </c>
      <c r="H218" s="296">
        <f t="shared" ca="1" si="45"/>
        <v>15.5</v>
      </c>
      <c r="I218" s="297">
        <f t="shared" ca="1" si="51"/>
        <v>-16</v>
      </c>
    </row>
    <row r="219" spans="1:9">
      <c r="A219" s="295">
        <f t="shared" si="52"/>
        <v>202</v>
      </c>
      <c r="B219" s="300">
        <f t="shared" si="54"/>
        <v>6119</v>
      </c>
      <c r="C219" s="296">
        <f t="shared" ca="1" si="53"/>
        <v>15.5</v>
      </c>
      <c r="D219" s="295"/>
      <c r="E219" s="296">
        <f t="shared" si="50"/>
        <v>0</v>
      </c>
      <c r="F219" s="296">
        <f t="shared" ca="1" si="43"/>
        <v>0</v>
      </c>
      <c r="G219" s="296">
        <f t="shared" ca="1" si="44"/>
        <v>0</v>
      </c>
      <c r="H219" s="296">
        <f t="shared" ca="1" si="45"/>
        <v>15.5</v>
      </c>
      <c r="I219" s="297">
        <f t="shared" ca="1" si="51"/>
        <v>-16</v>
      </c>
    </row>
    <row r="220" spans="1:9">
      <c r="A220" s="295">
        <f t="shared" si="52"/>
        <v>203</v>
      </c>
      <c r="B220" s="300">
        <f t="shared" si="54"/>
        <v>6150</v>
      </c>
      <c r="C220" s="296">
        <f t="shared" ca="1" si="53"/>
        <v>15.5</v>
      </c>
      <c r="D220" s="295"/>
      <c r="E220" s="296">
        <f t="shared" si="50"/>
        <v>0</v>
      </c>
      <c r="F220" s="296">
        <f t="shared" ca="1" si="43"/>
        <v>0</v>
      </c>
      <c r="G220" s="296">
        <f t="shared" ca="1" si="44"/>
        <v>0</v>
      </c>
      <c r="H220" s="296">
        <f t="shared" ca="1" si="45"/>
        <v>15.5</v>
      </c>
      <c r="I220" s="297">
        <f t="shared" ca="1" si="51"/>
        <v>-16</v>
      </c>
    </row>
    <row r="221" spans="1:9">
      <c r="A221" s="295">
        <f t="shared" si="52"/>
        <v>204</v>
      </c>
      <c r="B221" s="300">
        <f t="shared" si="54"/>
        <v>6180</v>
      </c>
      <c r="C221" s="296">
        <f t="shared" ca="1" si="53"/>
        <v>15.5</v>
      </c>
      <c r="D221" s="296">
        <f ca="1">IF(H221&lt;0,0,0.5*(K34-L34))</f>
        <v>-0.5</v>
      </c>
      <c r="E221" s="296">
        <f t="shared" ca="1" si="50"/>
        <v>-0.5</v>
      </c>
      <c r="F221" s="296">
        <f t="shared" ca="1" si="43"/>
        <v>-0.5</v>
      </c>
      <c r="G221" s="296">
        <f t="shared" ca="1" si="44"/>
        <v>0</v>
      </c>
      <c r="H221" s="296">
        <f t="shared" ca="1" si="45"/>
        <v>16</v>
      </c>
      <c r="I221" s="297">
        <f t="shared" ca="1" si="51"/>
        <v>-17</v>
      </c>
    </row>
    <row r="222" spans="1:9">
      <c r="A222" s="295">
        <f t="shared" si="52"/>
        <v>205</v>
      </c>
      <c r="B222" s="300">
        <f t="shared" si="54"/>
        <v>6211</v>
      </c>
      <c r="C222" s="296">
        <f t="shared" ca="1" si="53"/>
        <v>16</v>
      </c>
      <c r="D222" s="296"/>
      <c r="E222" s="296">
        <f t="shared" ref="E222:E233" si="55">IF($D$10=1,IF(OR(MONTH(B222)=MONTH(EDATE($D$7,0)),MONTH(B222)=MONTH(EDATE($D$7,6))),(MIN($D$221,H221)),0),IF($D$10=0,IF(OR(MONTH(B222)=MONTH(EDATE($D$7,5)),MONTH(B222)=MONTH(EDATE($D$7,11))),(MIN($D$221,H221)),0)))</f>
        <v>0</v>
      </c>
      <c r="F222" s="296">
        <f t="shared" ref="F222:F285" ca="1" si="56">IF(E222="","",E222-G222)</f>
        <v>0</v>
      </c>
      <c r="G222" s="296">
        <f t="shared" ref="G222:G285" ca="1" si="57">ROUND((C222-E222)*$D$5,3)</f>
        <v>0</v>
      </c>
      <c r="H222" s="296">
        <f t="shared" ref="H222:H285" ca="1" si="58">IF(E222="","",ROUND(H221-F222,4))</f>
        <v>16</v>
      </c>
      <c r="I222" s="297">
        <f t="shared" ca="1" si="51"/>
        <v>-16</v>
      </c>
    </row>
    <row r="223" spans="1:9">
      <c r="A223" s="295">
        <f t="shared" si="52"/>
        <v>206</v>
      </c>
      <c r="B223" s="300">
        <f t="shared" si="54"/>
        <v>6242</v>
      </c>
      <c r="C223" s="296">
        <f t="shared" ca="1" si="53"/>
        <v>16</v>
      </c>
      <c r="D223" s="295"/>
      <c r="E223" s="296">
        <f t="shared" si="55"/>
        <v>0</v>
      </c>
      <c r="F223" s="296">
        <f t="shared" ca="1" si="56"/>
        <v>0</v>
      </c>
      <c r="G223" s="296">
        <f t="shared" ca="1" si="57"/>
        <v>0</v>
      </c>
      <c r="H223" s="296">
        <f t="shared" ca="1" si="58"/>
        <v>16</v>
      </c>
      <c r="I223" s="297">
        <f t="shared" ca="1" si="51"/>
        <v>-16</v>
      </c>
    </row>
    <row r="224" spans="1:9">
      <c r="A224" s="295">
        <f t="shared" si="52"/>
        <v>207</v>
      </c>
      <c r="B224" s="300">
        <f t="shared" si="54"/>
        <v>6270</v>
      </c>
      <c r="C224" s="296">
        <f t="shared" ca="1" si="53"/>
        <v>16</v>
      </c>
      <c r="D224" s="295"/>
      <c r="E224" s="296">
        <f t="shared" si="55"/>
        <v>0</v>
      </c>
      <c r="F224" s="296">
        <f t="shared" ca="1" si="56"/>
        <v>0</v>
      </c>
      <c r="G224" s="296">
        <f t="shared" ca="1" si="57"/>
        <v>0</v>
      </c>
      <c r="H224" s="296">
        <f t="shared" ca="1" si="58"/>
        <v>16</v>
      </c>
      <c r="I224" s="297">
        <f t="shared" ca="1" si="51"/>
        <v>-16</v>
      </c>
    </row>
    <row r="225" spans="1:9">
      <c r="A225" s="295">
        <f t="shared" si="52"/>
        <v>208</v>
      </c>
      <c r="B225" s="300">
        <f t="shared" si="54"/>
        <v>6301</v>
      </c>
      <c r="C225" s="296">
        <f t="shared" ca="1" si="53"/>
        <v>16</v>
      </c>
      <c r="D225" s="295"/>
      <c r="E225" s="296">
        <f t="shared" si="55"/>
        <v>0</v>
      </c>
      <c r="F225" s="296">
        <f t="shared" ca="1" si="56"/>
        <v>0</v>
      </c>
      <c r="G225" s="296">
        <f t="shared" ca="1" si="57"/>
        <v>0</v>
      </c>
      <c r="H225" s="296">
        <f t="shared" ca="1" si="58"/>
        <v>16</v>
      </c>
      <c r="I225" s="297">
        <f t="shared" ca="1" si="51"/>
        <v>-16</v>
      </c>
    </row>
    <row r="226" spans="1:9">
      <c r="A226" s="295">
        <f t="shared" si="52"/>
        <v>209</v>
      </c>
      <c r="B226" s="300">
        <f t="shared" si="54"/>
        <v>6331</v>
      </c>
      <c r="C226" s="296">
        <f t="shared" ca="1" si="53"/>
        <v>16</v>
      </c>
      <c r="D226" s="295"/>
      <c r="E226" s="296">
        <f t="shared" si="55"/>
        <v>0</v>
      </c>
      <c r="F226" s="296">
        <f t="shared" ca="1" si="56"/>
        <v>0</v>
      </c>
      <c r="G226" s="296">
        <f t="shared" ca="1" si="57"/>
        <v>0</v>
      </c>
      <c r="H226" s="296">
        <f t="shared" ca="1" si="58"/>
        <v>16</v>
      </c>
      <c r="I226" s="297">
        <f t="shared" ca="1" si="51"/>
        <v>-16</v>
      </c>
    </row>
    <row r="227" spans="1:9">
      <c r="A227" s="295">
        <f t="shared" si="52"/>
        <v>210</v>
      </c>
      <c r="B227" s="300">
        <f t="shared" si="54"/>
        <v>6362</v>
      </c>
      <c r="C227" s="296">
        <f t="shared" ca="1" si="53"/>
        <v>16</v>
      </c>
      <c r="D227" s="295"/>
      <c r="E227" s="296">
        <f t="shared" ca="1" si="55"/>
        <v>-0.5</v>
      </c>
      <c r="F227" s="296">
        <f t="shared" ca="1" si="56"/>
        <v>-0.5</v>
      </c>
      <c r="G227" s="296">
        <f t="shared" ca="1" si="57"/>
        <v>0</v>
      </c>
      <c r="H227" s="296">
        <f t="shared" ca="1" si="58"/>
        <v>16.5</v>
      </c>
      <c r="I227" s="297">
        <f t="shared" ca="1" si="51"/>
        <v>-17</v>
      </c>
    </row>
    <row r="228" spans="1:9">
      <c r="A228" s="295">
        <f t="shared" si="52"/>
        <v>211</v>
      </c>
      <c r="B228" s="300">
        <f t="shared" si="54"/>
        <v>6392</v>
      </c>
      <c r="C228" s="296">
        <f t="shared" ca="1" si="53"/>
        <v>16.5</v>
      </c>
      <c r="D228" s="295"/>
      <c r="E228" s="296">
        <f t="shared" si="55"/>
        <v>0</v>
      </c>
      <c r="F228" s="296">
        <f t="shared" ca="1" si="56"/>
        <v>0</v>
      </c>
      <c r="G228" s="296">
        <f t="shared" ca="1" si="57"/>
        <v>0</v>
      </c>
      <c r="H228" s="296">
        <f t="shared" ca="1" si="58"/>
        <v>16.5</v>
      </c>
      <c r="I228" s="297">
        <f t="shared" ca="1" si="51"/>
        <v>-17</v>
      </c>
    </row>
    <row r="229" spans="1:9">
      <c r="A229" s="295">
        <f t="shared" si="52"/>
        <v>212</v>
      </c>
      <c r="B229" s="300">
        <f t="shared" si="54"/>
        <v>6423</v>
      </c>
      <c r="C229" s="296">
        <f t="shared" ca="1" si="53"/>
        <v>16.5</v>
      </c>
      <c r="D229" s="295"/>
      <c r="E229" s="296">
        <f t="shared" si="55"/>
        <v>0</v>
      </c>
      <c r="F229" s="296">
        <f t="shared" ca="1" si="56"/>
        <v>0</v>
      </c>
      <c r="G229" s="296">
        <f t="shared" ca="1" si="57"/>
        <v>0</v>
      </c>
      <c r="H229" s="296">
        <f t="shared" ca="1" si="58"/>
        <v>16.5</v>
      </c>
      <c r="I229" s="297">
        <f t="shared" ca="1" si="51"/>
        <v>-17</v>
      </c>
    </row>
    <row r="230" spans="1:9">
      <c r="A230" s="295">
        <f t="shared" si="52"/>
        <v>213</v>
      </c>
      <c r="B230" s="300">
        <f t="shared" si="54"/>
        <v>6454</v>
      </c>
      <c r="C230" s="296">
        <f t="shared" ca="1" si="53"/>
        <v>16.5</v>
      </c>
      <c r="D230" s="295"/>
      <c r="E230" s="296">
        <f t="shared" si="55"/>
        <v>0</v>
      </c>
      <c r="F230" s="296">
        <f t="shared" ca="1" si="56"/>
        <v>0</v>
      </c>
      <c r="G230" s="296">
        <f t="shared" ca="1" si="57"/>
        <v>0</v>
      </c>
      <c r="H230" s="296">
        <f t="shared" ca="1" si="58"/>
        <v>16.5</v>
      </c>
      <c r="I230" s="297">
        <f t="shared" ca="1" si="51"/>
        <v>-17</v>
      </c>
    </row>
    <row r="231" spans="1:9">
      <c r="A231" s="295">
        <f t="shared" si="52"/>
        <v>214</v>
      </c>
      <c r="B231" s="300">
        <f t="shared" si="54"/>
        <v>6484</v>
      </c>
      <c r="C231" s="296">
        <f t="shared" ca="1" si="53"/>
        <v>16.5</v>
      </c>
      <c r="D231" s="295"/>
      <c r="E231" s="296">
        <f t="shared" si="55"/>
        <v>0</v>
      </c>
      <c r="F231" s="296">
        <f t="shared" ca="1" si="56"/>
        <v>0</v>
      </c>
      <c r="G231" s="296">
        <f t="shared" ca="1" si="57"/>
        <v>0</v>
      </c>
      <c r="H231" s="296">
        <f t="shared" ca="1" si="58"/>
        <v>16.5</v>
      </c>
      <c r="I231" s="297">
        <f t="shared" ca="1" si="51"/>
        <v>-17</v>
      </c>
    </row>
    <row r="232" spans="1:9">
      <c r="A232" s="295">
        <f t="shared" si="52"/>
        <v>215</v>
      </c>
      <c r="B232" s="300">
        <f t="shared" si="54"/>
        <v>6515</v>
      </c>
      <c r="C232" s="296">
        <f t="shared" ca="1" si="53"/>
        <v>16.5</v>
      </c>
      <c r="D232" s="295"/>
      <c r="E232" s="296">
        <f t="shared" si="55"/>
        <v>0</v>
      </c>
      <c r="F232" s="296">
        <f t="shared" ca="1" si="56"/>
        <v>0</v>
      </c>
      <c r="G232" s="296">
        <f t="shared" ca="1" si="57"/>
        <v>0</v>
      </c>
      <c r="H232" s="296">
        <f t="shared" ca="1" si="58"/>
        <v>16.5</v>
      </c>
      <c r="I232" s="297">
        <f t="shared" ca="1" si="51"/>
        <v>-17</v>
      </c>
    </row>
    <row r="233" spans="1:9">
      <c r="A233" s="295">
        <f t="shared" si="52"/>
        <v>216</v>
      </c>
      <c r="B233" s="300">
        <f t="shared" si="54"/>
        <v>6545</v>
      </c>
      <c r="C233" s="296">
        <f t="shared" ca="1" si="53"/>
        <v>16.5</v>
      </c>
      <c r="D233" s="296">
        <f ca="1">IF(H233&lt;0,0,0.5*(K35-L35))</f>
        <v>-0.5</v>
      </c>
      <c r="E233" s="296">
        <f t="shared" ca="1" si="55"/>
        <v>-0.5</v>
      </c>
      <c r="F233" s="296">
        <f t="shared" ca="1" si="56"/>
        <v>-0.5</v>
      </c>
      <c r="G233" s="296">
        <f t="shared" ca="1" si="57"/>
        <v>0</v>
      </c>
      <c r="H233" s="296">
        <f t="shared" ca="1" si="58"/>
        <v>17</v>
      </c>
      <c r="I233" s="297">
        <f t="shared" ca="1" si="51"/>
        <v>-18</v>
      </c>
    </row>
    <row r="234" spans="1:9">
      <c r="A234" s="295">
        <f t="shared" si="52"/>
        <v>217</v>
      </c>
      <c r="B234" s="300">
        <f t="shared" si="54"/>
        <v>6576</v>
      </c>
      <c r="C234" s="296">
        <f t="shared" ca="1" si="53"/>
        <v>17</v>
      </c>
      <c r="D234" s="296"/>
      <c r="E234" s="296">
        <f t="shared" ref="E234:E245" si="59">IF($D$10=1,IF(OR(MONTH(B234)=MONTH(EDATE($D$7,0)),MONTH(B234)=MONTH(EDATE($D$7,6))),(MIN($D$233,H233)),0),IF($D$10=0,IF(OR(MONTH(B234)=MONTH(EDATE($D$7,5)),MONTH(B234)=MONTH(EDATE($D$7,11))),(MIN($D$233,H233)),0)))</f>
        <v>0</v>
      </c>
      <c r="F234" s="296">
        <f t="shared" ca="1" si="56"/>
        <v>0</v>
      </c>
      <c r="G234" s="296">
        <f t="shared" ca="1" si="57"/>
        <v>0</v>
      </c>
      <c r="H234" s="296">
        <f t="shared" ca="1" si="58"/>
        <v>17</v>
      </c>
      <c r="I234" s="297">
        <f t="shared" ca="1" si="51"/>
        <v>-17</v>
      </c>
    </row>
    <row r="235" spans="1:9">
      <c r="A235" s="295">
        <f t="shared" si="52"/>
        <v>218</v>
      </c>
      <c r="B235" s="300">
        <f t="shared" si="54"/>
        <v>6607</v>
      </c>
      <c r="C235" s="296">
        <f t="shared" ca="1" si="53"/>
        <v>17</v>
      </c>
      <c r="D235" s="295"/>
      <c r="E235" s="296">
        <f t="shared" si="59"/>
        <v>0</v>
      </c>
      <c r="F235" s="296">
        <f t="shared" ca="1" si="56"/>
        <v>0</v>
      </c>
      <c r="G235" s="296">
        <f t="shared" ca="1" si="57"/>
        <v>0</v>
      </c>
      <c r="H235" s="296">
        <f t="shared" ca="1" si="58"/>
        <v>17</v>
      </c>
      <c r="I235" s="297">
        <f t="shared" ca="1" si="51"/>
        <v>-17</v>
      </c>
    </row>
    <row r="236" spans="1:9">
      <c r="A236" s="295">
        <f t="shared" si="52"/>
        <v>219</v>
      </c>
      <c r="B236" s="300">
        <f t="shared" si="54"/>
        <v>6635</v>
      </c>
      <c r="C236" s="296">
        <f t="shared" ca="1" si="53"/>
        <v>17</v>
      </c>
      <c r="D236" s="295"/>
      <c r="E236" s="296">
        <f t="shared" si="59"/>
        <v>0</v>
      </c>
      <c r="F236" s="296">
        <f t="shared" ca="1" si="56"/>
        <v>0</v>
      </c>
      <c r="G236" s="296">
        <f t="shared" ca="1" si="57"/>
        <v>0</v>
      </c>
      <c r="H236" s="296">
        <f t="shared" ca="1" si="58"/>
        <v>17</v>
      </c>
      <c r="I236" s="297">
        <f t="shared" ca="1" si="51"/>
        <v>-17</v>
      </c>
    </row>
    <row r="237" spans="1:9">
      <c r="A237" s="295">
        <f t="shared" si="52"/>
        <v>220</v>
      </c>
      <c r="B237" s="300">
        <f t="shared" si="54"/>
        <v>6666</v>
      </c>
      <c r="C237" s="296">
        <f t="shared" ca="1" si="53"/>
        <v>17</v>
      </c>
      <c r="D237" s="295"/>
      <c r="E237" s="296">
        <f t="shared" si="59"/>
        <v>0</v>
      </c>
      <c r="F237" s="296">
        <f t="shared" ca="1" si="56"/>
        <v>0</v>
      </c>
      <c r="G237" s="296">
        <f t="shared" ca="1" si="57"/>
        <v>0</v>
      </c>
      <c r="H237" s="296">
        <f t="shared" ca="1" si="58"/>
        <v>17</v>
      </c>
      <c r="I237" s="297">
        <f t="shared" ca="1" si="51"/>
        <v>-17</v>
      </c>
    </row>
    <row r="238" spans="1:9">
      <c r="A238" s="295">
        <f t="shared" si="52"/>
        <v>221</v>
      </c>
      <c r="B238" s="300">
        <f t="shared" si="54"/>
        <v>6696</v>
      </c>
      <c r="C238" s="296">
        <f t="shared" ca="1" si="53"/>
        <v>17</v>
      </c>
      <c r="D238" s="295"/>
      <c r="E238" s="296">
        <f t="shared" si="59"/>
        <v>0</v>
      </c>
      <c r="F238" s="296">
        <f t="shared" ca="1" si="56"/>
        <v>0</v>
      </c>
      <c r="G238" s="296">
        <f t="shared" ca="1" si="57"/>
        <v>0</v>
      </c>
      <c r="H238" s="296">
        <f t="shared" ca="1" si="58"/>
        <v>17</v>
      </c>
      <c r="I238" s="297">
        <f t="shared" ca="1" si="51"/>
        <v>-17</v>
      </c>
    </row>
    <row r="239" spans="1:9">
      <c r="A239" s="295">
        <f t="shared" si="52"/>
        <v>222</v>
      </c>
      <c r="B239" s="300">
        <f t="shared" si="54"/>
        <v>6727</v>
      </c>
      <c r="C239" s="296">
        <f t="shared" ca="1" si="53"/>
        <v>17</v>
      </c>
      <c r="D239" s="295"/>
      <c r="E239" s="296">
        <f t="shared" ca="1" si="59"/>
        <v>-0.5</v>
      </c>
      <c r="F239" s="296">
        <f t="shared" ca="1" si="56"/>
        <v>-0.5</v>
      </c>
      <c r="G239" s="296">
        <f t="shared" ca="1" si="57"/>
        <v>0</v>
      </c>
      <c r="H239" s="296">
        <f t="shared" ca="1" si="58"/>
        <v>17.5</v>
      </c>
      <c r="I239" s="297">
        <f t="shared" ca="1" si="51"/>
        <v>-18</v>
      </c>
    </row>
    <row r="240" spans="1:9">
      <c r="A240" s="295">
        <f t="shared" si="52"/>
        <v>223</v>
      </c>
      <c r="B240" s="300">
        <f t="shared" si="54"/>
        <v>6757</v>
      </c>
      <c r="C240" s="296">
        <f t="shared" ca="1" si="53"/>
        <v>17.5</v>
      </c>
      <c r="D240" s="295"/>
      <c r="E240" s="296">
        <f t="shared" si="59"/>
        <v>0</v>
      </c>
      <c r="F240" s="296">
        <f t="shared" ca="1" si="56"/>
        <v>0</v>
      </c>
      <c r="G240" s="296">
        <f t="shared" ca="1" si="57"/>
        <v>0</v>
      </c>
      <c r="H240" s="296">
        <f t="shared" ca="1" si="58"/>
        <v>17.5</v>
      </c>
      <c r="I240" s="297">
        <f t="shared" ca="1" si="51"/>
        <v>-18</v>
      </c>
    </row>
    <row r="241" spans="1:9">
      <c r="A241" s="295">
        <f t="shared" si="52"/>
        <v>224</v>
      </c>
      <c r="B241" s="300">
        <f t="shared" si="54"/>
        <v>6788</v>
      </c>
      <c r="C241" s="296">
        <f t="shared" ca="1" si="53"/>
        <v>17.5</v>
      </c>
      <c r="D241" s="295"/>
      <c r="E241" s="296">
        <f t="shared" si="59"/>
        <v>0</v>
      </c>
      <c r="F241" s="296">
        <f t="shared" ca="1" si="56"/>
        <v>0</v>
      </c>
      <c r="G241" s="296">
        <f t="shared" ca="1" si="57"/>
        <v>0</v>
      </c>
      <c r="H241" s="296">
        <f t="shared" ca="1" si="58"/>
        <v>17.5</v>
      </c>
      <c r="I241" s="297">
        <f t="shared" ca="1" si="51"/>
        <v>-18</v>
      </c>
    </row>
    <row r="242" spans="1:9">
      <c r="A242" s="295">
        <f t="shared" si="52"/>
        <v>225</v>
      </c>
      <c r="B242" s="300">
        <f t="shared" si="54"/>
        <v>6819</v>
      </c>
      <c r="C242" s="296">
        <f t="shared" ca="1" si="53"/>
        <v>17.5</v>
      </c>
      <c r="D242" s="295"/>
      <c r="E242" s="296">
        <f t="shared" si="59"/>
        <v>0</v>
      </c>
      <c r="F242" s="296">
        <f t="shared" ca="1" si="56"/>
        <v>0</v>
      </c>
      <c r="G242" s="296">
        <f t="shared" ca="1" si="57"/>
        <v>0</v>
      </c>
      <c r="H242" s="296">
        <f t="shared" ca="1" si="58"/>
        <v>17.5</v>
      </c>
      <c r="I242" s="297">
        <f t="shared" ca="1" si="51"/>
        <v>-18</v>
      </c>
    </row>
    <row r="243" spans="1:9">
      <c r="A243" s="295">
        <f t="shared" si="52"/>
        <v>226</v>
      </c>
      <c r="B243" s="300">
        <f t="shared" si="54"/>
        <v>6849</v>
      </c>
      <c r="C243" s="296">
        <f t="shared" ca="1" si="53"/>
        <v>17.5</v>
      </c>
      <c r="D243" s="295"/>
      <c r="E243" s="296">
        <f t="shared" si="59"/>
        <v>0</v>
      </c>
      <c r="F243" s="296">
        <f t="shared" ca="1" si="56"/>
        <v>0</v>
      </c>
      <c r="G243" s="296">
        <f t="shared" ca="1" si="57"/>
        <v>0</v>
      </c>
      <c r="H243" s="296">
        <f t="shared" ca="1" si="58"/>
        <v>17.5</v>
      </c>
      <c r="I243" s="297">
        <f t="shared" ca="1" si="51"/>
        <v>-18</v>
      </c>
    </row>
    <row r="244" spans="1:9">
      <c r="A244" s="295">
        <f t="shared" si="52"/>
        <v>227</v>
      </c>
      <c r="B244" s="300">
        <f t="shared" si="54"/>
        <v>6880</v>
      </c>
      <c r="C244" s="296">
        <f t="shared" ca="1" si="53"/>
        <v>17.5</v>
      </c>
      <c r="D244" s="295"/>
      <c r="E244" s="296">
        <f t="shared" si="59"/>
        <v>0</v>
      </c>
      <c r="F244" s="296">
        <f t="shared" ca="1" si="56"/>
        <v>0</v>
      </c>
      <c r="G244" s="296">
        <f t="shared" ca="1" si="57"/>
        <v>0</v>
      </c>
      <c r="H244" s="296">
        <f t="shared" ca="1" si="58"/>
        <v>17.5</v>
      </c>
      <c r="I244" s="297">
        <f t="shared" ca="1" si="51"/>
        <v>-18</v>
      </c>
    </row>
    <row r="245" spans="1:9">
      <c r="A245" s="295">
        <f t="shared" si="52"/>
        <v>228</v>
      </c>
      <c r="B245" s="300">
        <f t="shared" si="54"/>
        <v>6910</v>
      </c>
      <c r="C245" s="296">
        <f t="shared" ca="1" si="53"/>
        <v>17.5</v>
      </c>
      <c r="D245" s="296">
        <f ca="1">IF(H245&lt;0,0,0.5*(K36-L36))</f>
        <v>-0.5</v>
      </c>
      <c r="E245" s="296">
        <f t="shared" ca="1" si="59"/>
        <v>-0.5</v>
      </c>
      <c r="F245" s="296">
        <f t="shared" ca="1" si="56"/>
        <v>-0.5</v>
      </c>
      <c r="G245" s="296">
        <f t="shared" ca="1" si="57"/>
        <v>0</v>
      </c>
      <c r="H245" s="296">
        <f t="shared" ca="1" si="58"/>
        <v>18</v>
      </c>
      <c r="I245" s="297">
        <f t="shared" ca="1" si="51"/>
        <v>-19</v>
      </c>
    </row>
    <row r="246" spans="1:9">
      <c r="A246" s="295">
        <f t="shared" si="52"/>
        <v>229</v>
      </c>
      <c r="B246" s="300">
        <f t="shared" si="54"/>
        <v>6941</v>
      </c>
      <c r="C246" s="296">
        <f t="shared" ca="1" si="53"/>
        <v>18</v>
      </c>
      <c r="D246" s="296"/>
      <c r="E246" s="296">
        <f t="shared" ref="E246:E257" si="60">IF($D$10=1,IF(OR(MONTH(B246)=MONTH(EDATE($D$7,0)),MONTH(B246)=MONTH(EDATE($D$7,6))),(MIN($D$245,H245)),0),IF($D$10=0,IF(OR(MONTH(B246)=MONTH(EDATE($D$7,5)),MONTH(B246)=MONTH(EDATE($D$7,11))),(MIN($D$245,H245)),0)))</f>
        <v>0</v>
      </c>
      <c r="F246" s="296">
        <f t="shared" ca="1" si="56"/>
        <v>0</v>
      </c>
      <c r="G246" s="296">
        <f t="shared" ca="1" si="57"/>
        <v>0</v>
      </c>
      <c r="H246" s="296">
        <f t="shared" ca="1" si="58"/>
        <v>18</v>
      </c>
      <c r="I246" s="297">
        <f t="shared" ca="1" si="51"/>
        <v>-18</v>
      </c>
    </row>
    <row r="247" spans="1:9">
      <c r="A247" s="295">
        <f t="shared" si="52"/>
        <v>230</v>
      </c>
      <c r="B247" s="300">
        <f t="shared" si="54"/>
        <v>6972</v>
      </c>
      <c r="C247" s="296">
        <f t="shared" ca="1" si="53"/>
        <v>18</v>
      </c>
      <c r="D247" s="295"/>
      <c r="E247" s="296">
        <f t="shared" si="60"/>
        <v>0</v>
      </c>
      <c r="F247" s="296">
        <f t="shared" ca="1" si="56"/>
        <v>0</v>
      </c>
      <c r="G247" s="296">
        <f t="shared" ca="1" si="57"/>
        <v>0</v>
      </c>
      <c r="H247" s="296">
        <f t="shared" ca="1" si="58"/>
        <v>18</v>
      </c>
      <c r="I247" s="297">
        <f t="shared" ca="1" si="51"/>
        <v>-18</v>
      </c>
    </row>
    <row r="248" spans="1:9">
      <c r="A248" s="295">
        <f t="shared" si="52"/>
        <v>231</v>
      </c>
      <c r="B248" s="300">
        <f t="shared" si="54"/>
        <v>7000</v>
      </c>
      <c r="C248" s="296">
        <f t="shared" ca="1" si="53"/>
        <v>18</v>
      </c>
      <c r="D248" s="295"/>
      <c r="E248" s="296">
        <f t="shared" si="60"/>
        <v>0</v>
      </c>
      <c r="F248" s="296">
        <f t="shared" ca="1" si="56"/>
        <v>0</v>
      </c>
      <c r="G248" s="296">
        <f t="shared" ca="1" si="57"/>
        <v>0</v>
      </c>
      <c r="H248" s="296">
        <f t="shared" ca="1" si="58"/>
        <v>18</v>
      </c>
      <c r="I248" s="297">
        <f t="shared" ca="1" si="51"/>
        <v>-18</v>
      </c>
    </row>
    <row r="249" spans="1:9">
      <c r="A249" s="295">
        <f t="shared" si="52"/>
        <v>232</v>
      </c>
      <c r="B249" s="300">
        <f t="shared" si="54"/>
        <v>7031</v>
      </c>
      <c r="C249" s="296">
        <f t="shared" ca="1" si="53"/>
        <v>18</v>
      </c>
      <c r="D249" s="295"/>
      <c r="E249" s="296">
        <f t="shared" si="60"/>
        <v>0</v>
      </c>
      <c r="F249" s="296">
        <f t="shared" ca="1" si="56"/>
        <v>0</v>
      </c>
      <c r="G249" s="296">
        <f t="shared" ca="1" si="57"/>
        <v>0</v>
      </c>
      <c r="H249" s="296">
        <f t="shared" ca="1" si="58"/>
        <v>18</v>
      </c>
      <c r="I249" s="297">
        <f t="shared" ca="1" si="51"/>
        <v>-18</v>
      </c>
    </row>
    <row r="250" spans="1:9">
      <c r="A250" s="295">
        <f t="shared" si="52"/>
        <v>233</v>
      </c>
      <c r="B250" s="300">
        <f t="shared" si="54"/>
        <v>7061</v>
      </c>
      <c r="C250" s="296">
        <f t="shared" ca="1" si="53"/>
        <v>18</v>
      </c>
      <c r="D250" s="295"/>
      <c r="E250" s="296">
        <f t="shared" si="60"/>
        <v>0</v>
      </c>
      <c r="F250" s="296">
        <f t="shared" ca="1" si="56"/>
        <v>0</v>
      </c>
      <c r="G250" s="296">
        <f t="shared" ca="1" si="57"/>
        <v>0</v>
      </c>
      <c r="H250" s="296">
        <f t="shared" ca="1" si="58"/>
        <v>18</v>
      </c>
      <c r="I250" s="297">
        <f t="shared" ca="1" si="51"/>
        <v>-18</v>
      </c>
    </row>
    <row r="251" spans="1:9">
      <c r="A251" s="295">
        <f t="shared" si="52"/>
        <v>234</v>
      </c>
      <c r="B251" s="300">
        <f t="shared" si="54"/>
        <v>7092</v>
      </c>
      <c r="C251" s="296">
        <f t="shared" ca="1" si="53"/>
        <v>18</v>
      </c>
      <c r="D251" s="295"/>
      <c r="E251" s="296">
        <f t="shared" ca="1" si="60"/>
        <v>-0.5</v>
      </c>
      <c r="F251" s="296">
        <f t="shared" ca="1" si="56"/>
        <v>-0.5</v>
      </c>
      <c r="G251" s="296">
        <f t="shared" ca="1" si="57"/>
        <v>0</v>
      </c>
      <c r="H251" s="296">
        <f t="shared" ca="1" si="58"/>
        <v>18.5</v>
      </c>
      <c r="I251" s="297">
        <f t="shared" ca="1" si="51"/>
        <v>-19</v>
      </c>
    </row>
    <row r="252" spans="1:9">
      <c r="A252" s="295">
        <f t="shared" si="52"/>
        <v>235</v>
      </c>
      <c r="B252" s="300">
        <f t="shared" si="54"/>
        <v>7122</v>
      </c>
      <c r="C252" s="296">
        <f t="shared" ca="1" si="53"/>
        <v>18.5</v>
      </c>
      <c r="D252" s="295"/>
      <c r="E252" s="296">
        <f t="shared" si="60"/>
        <v>0</v>
      </c>
      <c r="F252" s="296">
        <f t="shared" ca="1" si="56"/>
        <v>0</v>
      </c>
      <c r="G252" s="296">
        <f t="shared" ca="1" si="57"/>
        <v>0</v>
      </c>
      <c r="H252" s="296">
        <f t="shared" ca="1" si="58"/>
        <v>18.5</v>
      </c>
      <c r="I252" s="297">
        <f t="shared" ca="1" si="51"/>
        <v>-19</v>
      </c>
    </row>
    <row r="253" spans="1:9">
      <c r="A253" s="295">
        <f t="shared" si="52"/>
        <v>236</v>
      </c>
      <c r="B253" s="300">
        <f t="shared" si="54"/>
        <v>7153</v>
      </c>
      <c r="C253" s="296">
        <f t="shared" ca="1" si="53"/>
        <v>18.5</v>
      </c>
      <c r="D253" s="295"/>
      <c r="E253" s="296">
        <f t="shared" si="60"/>
        <v>0</v>
      </c>
      <c r="F253" s="296">
        <f t="shared" ca="1" si="56"/>
        <v>0</v>
      </c>
      <c r="G253" s="296">
        <f t="shared" ca="1" si="57"/>
        <v>0</v>
      </c>
      <c r="H253" s="296">
        <f t="shared" ca="1" si="58"/>
        <v>18.5</v>
      </c>
      <c r="I253" s="297">
        <f t="shared" ca="1" si="51"/>
        <v>-19</v>
      </c>
    </row>
    <row r="254" spans="1:9">
      <c r="A254" s="295">
        <f t="shared" si="52"/>
        <v>237</v>
      </c>
      <c r="B254" s="300">
        <f t="shared" si="54"/>
        <v>7184</v>
      </c>
      <c r="C254" s="296">
        <f t="shared" ca="1" si="53"/>
        <v>18.5</v>
      </c>
      <c r="D254" s="295"/>
      <c r="E254" s="296">
        <f t="shared" si="60"/>
        <v>0</v>
      </c>
      <c r="F254" s="296">
        <f t="shared" ca="1" si="56"/>
        <v>0</v>
      </c>
      <c r="G254" s="296">
        <f t="shared" ca="1" si="57"/>
        <v>0</v>
      </c>
      <c r="H254" s="296">
        <f t="shared" ca="1" si="58"/>
        <v>18.5</v>
      </c>
      <c r="I254" s="297">
        <f t="shared" ca="1" si="51"/>
        <v>-19</v>
      </c>
    </row>
    <row r="255" spans="1:9">
      <c r="A255" s="295">
        <f t="shared" si="52"/>
        <v>238</v>
      </c>
      <c r="B255" s="300">
        <f t="shared" si="54"/>
        <v>7214</v>
      </c>
      <c r="C255" s="296">
        <f t="shared" ca="1" si="53"/>
        <v>18.5</v>
      </c>
      <c r="D255" s="295"/>
      <c r="E255" s="296">
        <f t="shared" si="60"/>
        <v>0</v>
      </c>
      <c r="F255" s="296">
        <f t="shared" ca="1" si="56"/>
        <v>0</v>
      </c>
      <c r="G255" s="296">
        <f t="shared" ca="1" si="57"/>
        <v>0</v>
      </c>
      <c r="H255" s="296">
        <f t="shared" ca="1" si="58"/>
        <v>18.5</v>
      </c>
      <c r="I255" s="297">
        <f t="shared" ca="1" si="51"/>
        <v>-19</v>
      </c>
    </row>
    <row r="256" spans="1:9">
      <c r="A256" s="295">
        <f t="shared" si="52"/>
        <v>239</v>
      </c>
      <c r="B256" s="300">
        <f t="shared" si="54"/>
        <v>7245</v>
      </c>
      <c r="C256" s="296">
        <f t="shared" ca="1" si="53"/>
        <v>18.5</v>
      </c>
      <c r="D256" s="295"/>
      <c r="E256" s="296">
        <f t="shared" si="60"/>
        <v>0</v>
      </c>
      <c r="F256" s="296">
        <f t="shared" ca="1" si="56"/>
        <v>0</v>
      </c>
      <c r="G256" s="296">
        <f t="shared" ca="1" si="57"/>
        <v>0</v>
      </c>
      <c r="H256" s="296">
        <f t="shared" ca="1" si="58"/>
        <v>18.5</v>
      </c>
      <c r="I256" s="297">
        <f t="shared" ca="1" si="51"/>
        <v>-19</v>
      </c>
    </row>
    <row r="257" spans="1:9">
      <c r="A257" s="295">
        <f t="shared" si="52"/>
        <v>240</v>
      </c>
      <c r="B257" s="300">
        <f t="shared" si="54"/>
        <v>7275</v>
      </c>
      <c r="C257" s="296">
        <f t="shared" ca="1" si="53"/>
        <v>18.5</v>
      </c>
      <c r="D257" s="296">
        <f ca="1">IF(H257&lt;0,0,0.5*(K37-L37))</f>
        <v>-0.5</v>
      </c>
      <c r="E257" s="296">
        <f t="shared" ca="1" si="60"/>
        <v>-0.5</v>
      </c>
      <c r="F257" s="296">
        <f t="shared" ca="1" si="56"/>
        <v>-0.5</v>
      </c>
      <c r="G257" s="296">
        <f t="shared" ca="1" si="57"/>
        <v>0</v>
      </c>
      <c r="H257" s="296">
        <f t="shared" ca="1" si="58"/>
        <v>19</v>
      </c>
      <c r="I257" s="297">
        <f t="shared" ca="1" si="51"/>
        <v>-20</v>
      </c>
    </row>
    <row r="258" spans="1:9">
      <c r="A258" s="295">
        <f t="shared" si="52"/>
        <v>241</v>
      </c>
      <c r="B258" s="300">
        <f t="shared" si="54"/>
        <v>7306</v>
      </c>
      <c r="C258" s="296">
        <f t="shared" ca="1" si="53"/>
        <v>19</v>
      </c>
      <c r="D258" s="296"/>
      <c r="E258" s="296">
        <f t="shared" ref="E258:E269" si="61">IF($D$10=1,IF(OR(MONTH(B258)=MONTH(EDATE($D$7,0)),MONTH(B258)=MONTH(EDATE($D$7,6))),(MIN($D$257,H257)),0),IF($D$10=0,IF(OR(MONTH(B258)=MONTH(EDATE($D$7,5)),MONTH(B258)=MONTH(EDATE($D$7,11))),(MIN($D$257,H257)),0)))</f>
        <v>0</v>
      </c>
      <c r="F258" s="296">
        <f t="shared" ca="1" si="56"/>
        <v>0</v>
      </c>
      <c r="G258" s="296">
        <f t="shared" ca="1" si="57"/>
        <v>0</v>
      </c>
      <c r="H258" s="296">
        <f t="shared" ca="1" si="58"/>
        <v>19</v>
      </c>
      <c r="I258" s="297">
        <f t="shared" ca="1" si="51"/>
        <v>-19</v>
      </c>
    </row>
    <row r="259" spans="1:9">
      <c r="A259" s="295">
        <f t="shared" si="52"/>
        <v>242</v>
      </c>
      <c r="B259" s="300">
        <f t="shared" si="54"/>
        <v>7337</v>
      </c>
      <c r="C259" s="296">
        <f t="shared" ca="1" si="53"/>
        <v>19</v>
      </c>
      <c r="D259" s="295"/>
      <c r="E259" s="296">
        <f t="shared" si="61"/>
        <v>0</v>
      </c>
      <c r="F259" s="296">
        <f t="shared" ca="1" si="56"/>
        <v>0</v>
      </c>
      <c r="G259" s="296">
        <f t="shared" ca="1" si="57"/>
        <v>0</v>
      </c>
      <c r="H259" s="296">
        <f t="shared" ca="1" si="58"/>
        <v>19</v>
      </c>
      <c r="I259" s="297">
        <f t="shared" ca="1" si="51"/>
        <v>-19</v>
      </c>
    </row>
    <row r="260" spans="1:9">
      <c r="A260" s="295">
        <f t="shared" si="52"/>
        <v>243</v>
      </c>
      <c r="B260" s="300">
        <f t="shared" si="54"/>
        <v>7366</v>
      </c>
      <c r="C260" s="296">
        <f t="shared" ca="1" si="53"/>
        <v>19</v>
      </c>
      <c r="D260" s="295"/>
      <c r="E260" s="296">
        <f t="shared" si="61"/>
        <v>0</v>
      </c>
      <c r="F260" s="296">
        <f t="shared" ca="1" si="56"/>
        <v>0</v>
      </c>
      <c r="G260" s="296">
        <f t="shared" ca="1" si="57"/>
        <v>0</v>
      </c>
      <c r="H260" s="296">
        <f t="shared" ca="1" si="58"/>
        <v>19</v>
      </c>
      <c r="I260" s="297">
        <f t="shared" ca="1" si="51"/>
        <v>-19</v>
      </c>
    </row>
    <row r="261" spans="1:9">
      <c r="A261" s="295">
        <f t="shared" si="52"/>
        <v>244</v>
      </c>
      <c r="B261" s="300">
        <f t="shared" si="54"/>
        <v>7397</v>
      </c>
      <c r="C261" s="296">
        <f t="shared" ca="1" si="53"/>
        <v>19</v>
      </c>
      <c r="D261" s="295"/>
      <c r="E261" s="296">
        <f t="shared" si="61"/>
        <v>0</v>
      </c>
      <c r="F261" s="296">
        <f t="shared" ca="1" si="56"/>
        <v>0</v>
      </c>
      <c r="G261" s="296">
        <f t="shared" ca="1" si="57"/>
        <v>0</v>
      </c>
      <c r="H261" s="296">
        <f t="shared" ca="1" si="58"/>
        <v>19</v>
      </c>
      <c r="I261" s="297">
        <f t="shared" ca="1" si="51"/>
        <v>-19</v>
      </c>
    </row>
    <row r="262" spans="1:9">
      <c r="A262" s="295">
        <f t="shared" si="52"/>
        <v>245</v>
      </c>
      <c r="B262" s="300">
        <f t="shared" si="54"/>
        <v>7427</v>
      </c>
      <c r="C262" s="296">
        <f t="shared" ca="1" si="53"/>
        <v>19</v>
      </c>
      <c r="D262" s="295"/>
      <c r="E262" s="296">
        <f t="shared" si="61"/>
        <v>0</v>
      </c>
      <c r="F262" s="296">
        <f t="shared" ca="1" si="56"/>
        <v>0</v>
      </c>
      <c r="G262" s="296">
        <f t="shared" ca="1" si="57"/>
        <v>0</v>
      </c>
      <c r="H262" s="296">
        <f t="shared" ca="1" si="58"/>
        <v>19</v>
      </c>
      <c r="I262" s="297">
        <f t="shared" ca="1" si="51"/>
        <v>-19</v>
      </c>
    </row>
    <row r="263" spans="1:9">
      <c r="A263" s="295">
        <f t="shared" si="52"/>
        <v>246</v>
      </c>
      <c r="B263" s="300">
        <f t="shared" si="54"/>
        <v>7458</v>
      </c>
      <c r="C263" s="296">
        <f t="shared" ca="1" si="53"/>
        <v>19</v>
      </c>
      <c r="D263" s="295"/>
      <c r="E263" s="296">
        <f t="shared" ca="1" si="61"/>
        <v>-0.5</v>
      </c>
      <c r="F263" s="296">
        <f t="shared" ca="1" si="56"/>
        <v>-0.5</v>
      </c>
      <c r="G263" s="296">
        <f t="shared" ca="1" si="57"/>
        <v>0</v>
      </c>
      <c r="H263" s="296">
        <f t="shared" ca="1" si="58"/>
        <v>19.5</v>
      </c>
      <c r="I263" s="297">
        <f t="shared" ca="1" si="51"/>
        <v>-20</v>
      </c>
    </row>
    <row r="264" spans="1:9">
      <c r="A264" s="295">
        <f t="shared" si="52"/>
        <v>247</v>
      </c>
      <c r="B264" s="300">
        <f t="shared" si="54"/>
        <v>7488</v>
      </c>
      <c r="C264" s="296">
        <f t="shared" ca="1" si="53"/>
        <v>19.5</v>
      </c>
      <c r="D264" s="295"/>
      <c r="E264" s="296">
        <f t="shared" si="61"/>
        <v>0</v>
      </c>
      <c r="F264" s="296">
        <f t="shared" ca="1" si="56"/>
        <v>0</v>
      </c>
      <c r="G264" s="296">
        <f t="shared" ca="1" si="57"/>
        <v>0</v>
      </c>
      <c r="H264" s="296">
        <f t="shared" ca="1" si="58"/>
        <v>19.5</v>
      </c>
      <c r="I264" s="297">
        <f t="shared" ca="1" si="51"/>
        <v>-20</v>
      </c>
    </row>
    <row r="265" spans="1:9">
      <c r="A265" s="295">
        <f t="shared" si="52"/>
        <v>248</v>
      </c>
      <c r="B265" s="300">
        <f t="shared" si="54"/>
        <v>7519</v>
      </c>
      <c r="C265" s="296">
        <f t="shared" ca="1" si="53"/>
        <v>19.5</v>
      </c>
      <c r="D265" s="295"/>
      <c r="E265" s="296">
        <f t="shared" si="61"/>
        <v>0</v>
      </c>
      <c r="F265" s="296">
        <f t="shared" ca="1" si="56"/>
        <v>0</v>
      </c>
      <c r="G265" s="296">
        <f t="shared" ca="1" si="57"/>
        <v>0</v>
      </c>
      <c r="H265" s="296">
        <f t="shared" ca="1" si="58"/>
        <v>19.5</v>
      </c>
      <c r="I265" s="297">
        <f t="shared" ca="1" si="51"/>
        <v>-20</v>
      </c>
    </row>
    <row r="266" spans="1:9">
      <c r="A266" s="295">
        <f t="shared" si="52"/>
        <v>249</v>
      </c>
      <c r="B266" s="300">
        <f t="shared" si="54"/>
        <v>7550</v>
      </c>
      <c r="C266" s="296">
        <f t="shared" ca="1" si="53"/>
        <v>19.5</v>
      </c>
      <c r="D266" s="295"/>
      <c r="E266" s="296">
        <f t="shared" si="61"/>
        <v>0</v>
      </c>
      <c r="F266" s="296">
        <f t="shared" ca="1" si="56"/>
        <v>0</v>
      </c>
      <c r="G266" s="296">
        <f t="shared" ca="1" si="57"/>
        <v>0</v>
      </c>
      <c r="H266" s="296">
        <f t="shared" ca="1" si="58"/>
        <v>19.5</v>
      </c>
      <c r="I266" s="297">
        <f t="shared" ca="1" si="51"/>
        <v>-20</v>
      </c>
    </row>
    <row r="267" spans="1:9">
      <c r="A267" s="295">
        <f t="shared" si="52"/>
        <v>250</v>
      </c>
      <c r="B267" s="300">
        <f t="shared" si="54"/>
        <v>7580</v>
      </c>
      <c r="C267" s="296">
        <f t="shared" ca="1" si="53"/>
        <v>19.5</v>
      </c>
      <c r="D267" s="295"/>
      <c r="E267" s="296">
        <f t="shared" si="61"/>
        <v>0</v>
      </c>
      <c r="F267" s="296">
        <f t="shared" ca="1" si="56"/>
        <v>0</v>
      </c>
      <c r="G267" s="296">
        <f t="shared" ca="1" si="57"/>
        <v>0</v>
      </c>
      <c r="H267" s="296">
        <f t="shared" ca="1" si="58"/>
        <v>19.5</v>
      </c>
      <c r="I267" s="297">
        <f t="shared" ca="1" si="51"/>
        <v>-20</v>
      </c>
    </row>
    <row r="268" spans="1:9">
      <c r="A268" s="295">
        <f t="shared" si="52"/>
        <v>251</v>
      </c>
      <c r="B268" s="300">
        <f t="shared" si="54"/>
        <v>7611</v>
      </c>
      <c r="C268" s="296">
        <f t="shared" ca="1" si="53"/>
        <v>19.5</v>
      </c>
      <c r="D268" s="295"/>
      <c r="E268" s="296">
        <f t="shared" si="61"/>
        <v>0</v>
      </c>
      <c r="F268" s="296">
        <f t="shared" ca="1" si="56"/>
        <v>0</v>
      </c>
      <c r="G268" s="296">
        <f t="shared" ca="1" si="57"/>
        <v>0</v>
      </c>
      <c r="H268" s="296">
        <f t="shared" ca="1" si="58"/>
        <v>19.5</v>
      </c>
      <c r="I268" s="297">
        <f t="shared" ca="1" si="51"/>
        <v>-20</v>
      </c>
    </row>
    <row r="269" spans="1:9">
      <c r="A269" s="295">
        <f t="shared" si="52"/>
        <v>252</v>
      </c>
      <c r="B269" s="300">
        <f t="shared" si="54"/>
        <v>7641</v>
      </c>
      <c r="C269" s="296">
        <f t="shared" ca="1" si="53"/>
        <v>19.5</v>
      </c>
      <c r="D269" s="296">
        <f ca="1">IF(H269&lt;0,0,0.5*(K38-L38))</f>
        <v>-0.5</v>
      </c>
      <c r="E269" s="296">
        <f t="shared" ca="1" si="61"/>
        <v>-0.5</v>
      </c>
      <c r="F269" s="296">
        <f t="shared" ca="1" si="56"/>
        <v>-0.5</v>
      </c>
      <c r="G269" s="296">
        <f t="shared" ca="1" si="57"/>
        <v>0</v>
      </c>
      <c r="H269" s="296">
        <f t="shared" ca="1" si="58"/>
        <v>20</v>
      </c>
      <c r="I269" s="297">
        <f t="shared" ca="1" si="51"/>
        <v>-21</v>
      </c>
    </row>
    <row r="270" spans="1:9">
      <c r="A270" s="295">
        <f t="shared" si="52"/>
        <v>253</v>
      </c>
      <c r="B270" s="300">
        <f t="shared" si="54"/>
        <v>7672</v>
      </c>
      <c r="C270" s="296">
        <f t="shared" ca="1" si="53"/>
        <v>20</v>
      </c>
      <c r="D270" s="296"/>
      <c r="E270" s="296">
        <f t="shared" ref="E270:E281" si="62">IF($D$10=1,IF(OR(MONTH(B270)=MONTH(EDATE($D$7,0)),MONTH(B270)=MONTH(EDATE($D$7,6))),(MIN($D$269,H269)),0),IF($D$10=0,IF(OR(MONTH(B270)=MONTH(EDATE($D$7,5)),MONTH(B270)=MONTH(EDATE($D$7,11))),(MIN($D$269,H269)),0)))</f>
        <v>0</v>
      </c>
      <c r="F270" s="296">
        <f t="shared" ca="1" si="56"/>
        <v>0</v>
      </c>
      <c r="G270" s="296">
        <f t="shared" ca="1" si="57"/>
        <v>0</v>
      </c>
      <c r="H270" s="296">
        <f t="shared" ca="1" si="58"/>
        <v>20</v>
      </c>
      <c r="I270" s="297">
        <f t="shared" ca="1" si="51"/>
        <v>-20</v>
      </c>
    </row>
    <row r="271" spans="1:9">
      <c r="A271" s="295">
        <f t="shared" si="52"/>
        <v>254</v>
      </c>
      <c r="B271" s="300">
        <f t="shared" si="54"/>
        <v>7703</v>
      </c>
      <c r="C271" s="296">
        <f t="shared" ca="1" si="53"/>
        <v>20</v>
      </c>
      <c r="D271" s="295"/>
      <c r="E271" s="296">
        <f t="shared" si="62"/>
        <v>0</v>
      </c>
      <c r="F271" s="296">
        <f t="shared" ca="1" si="56"/>
        <v>0</v>
      </c>
      <c r="G271" s="296">
        <f t="shared" ca="1" si="57"/>
        <v>0</v>
      </c>
      <c r="H271" s="296">
        <f t="shared" ca="1" si="58"/>
        <v>20</v>
      </c>
      <c r="I271" s="297">
        <f t="shared" ca="1" si="51"/>
        <v>-20</v>
      </c>
    </row>
    <row r="272" spans="1:9">
      <c r="A272" s="295">
        <f t="shared" si="52"/>
        <v>255</v>
      </c>
      <c r="B272" s="300">
        <f t="shared" si="54"/>
        <v>7731</v>
      </c>
      <c r="C272" s="296">
        <f t="shared" ca="1" si="53"/>
        <v>20</v>
      </c>
      <c r="D272" s="295"/>
      <c r="E272" s="296">
        <f t="shared" si="62"/>
        <v>0</v>
      </c>
      <c r="F272" s="296">
        <f t="shared" ca="1" si="56"/>
        <v>0</v>
      </c>
      <c r="G272" s="296">
        <f t="shared" ca="1" si="57"/>
        <v>0</v>
      </c>
      <c r="H272" s="296">
        <f t="shared" ca="1" si="58"/>
        <v>20</v>
      </c>
      <c r="I272" s="297">
        <f t="shared" ca="1" si="51"/>
        <v>-20</v>
      </c>
    </row>
    <row r="273" spans="1:9">
      <c r="A273" s="295">
        <f t="shared" si="52"/>
        <v>256</v>
      </c>
      <c r="B273" s="300">
        <f t="shared" si="54"/>
        <v>7762</v>
      </c>
      <c r="C273" s="296">
        <f t="shared" ca="1" si="53"/>
        <v>20</v>
      </c>
      <c r="D273" s="295"/>
      <c r="E273" s="296">
        <f t="shared" si="62"/>
        <v>0</v>
      </c>
      <c r="F273" s="296">
        <f t="shared" ca="1" si="56"/>
        <v>0</v>
      </c>
      <c r="G273" s="296">
        <f t="shared" ca="1" si="57"/>
        <v>0</v>
      </c>
      <c r="H273" s="296">
        <f t="shared" ca="1" si="58"/>
        <v>20</v>
      </c>
      <c r="I273" s="297">
        <f t="shared" ca="1" si="51"/>
        <v>-20</v>
      </c>
    </row>
    <row r="274" spans="1:9">
      <c r="A274" s="295">
        <f t="shared" si="52"/>
        <v>257</v>
      </c>
      <c r="B274" s="300">
        <f t="shared" si="54"/>
        <v>7792</v>
      </c>
      <c r="C274" s="296">
        <f t="shared" ca="1" si="53"/>
        <v>20</v>
      </c>
      <c r="D274" s="295"/>
      <c r="E274" s="296">
        <f t="shared" si="62"/>
        <v>0</v>
      </c>
      <c r="F274" s="296">
        <f t="shared" ca="1" si="56"/>
        <v>0</v>
      </c>
      <c r="G274" s="296">
        <f t="shared" ca="1" si="57"/>
        <v>0</v>
      </c>
      <c r="H274" s="296">
        <f t="shared" ca="1" si="58"/>
        <v>20</v>
      </c>
      <c r="I274" s="297">
        <f t="shared" ref="I274:I337" ca="1" si="63">ROUND((D274-H274),0)</f>
        <v>-20</v>
      </c>
    </row>
    <row r="275" spans="1:9">
      <c r="A275" s="295">
        <f t="shared" ref="A275:A338" si="64">IF(A274="","",IF(A274=$D$6,"",A274+1))</f>
        <v>258</v>
      </c>
      <c r="B275" s="300">
        <f t="shared" si="54"/>
        <v>7823</v>
      </c>
      <c r="C275" s="296">
        <f t="shared" ref="C275:C338" ca="1" si="65">IF(H274=0,0,H274)</f>
        <v>20</v>
      </c>
      <c r="D275" s="295"/>
      <c r="E275" s="296">
        <f t="shared" ca="1" si="62"/>
        <v>-0.5</v>
      </c>
      <c r="F275" s="296">
        <f t="shared" ca="1" si="56"/>
        <v>-0.5</v>
      </c>
      <c r="G275" s="296">
        <f t="shared" ca="1" si="57"/>
        <v>0</v>
      </c>
      <c r="H275" s="296">
        <f t="shared" ca="1" si="58"/>
        <v>20.5</v>
      </c>
      <c r="I275" s="297">
        <f t="shared" ca="1" si="63"/>
        <v>-21</v>
      </c>
    </row>
    <row r="276" spans="1:9">
      <c r="A276" s="295">
        <f t="shared" si="64"/>
        <v>259</v>
      </c>
      <c r="B276" s="300">
        <f t="shared" ref="B276:B339" si="66">DATE(YEAR(B275),MONTH(B275)+1,1)</f>
        <v>7853</v>
      </c>
      <c r="C276" s="296">
        <f t="shared" ca="1" si="65"/>
        <v>20.5</v>
      </c>
      <c r="D276" s="295"/>
      <c r="E276" s="296">
        <f t="shared" si="62"/>
        <v>0</v>
      </c>
      <c r="F276" s="296">
        <f t="shared" ca="1" si="56"/>
        <v>0</v>
      </c>
      <c r="G276" s="296">
        <f t="shared" ca="1" si="57"/>
        <v>0</v>
      </c>
      <c r="H276" s="296">
        <f t="shared" ca="1" si="58"/>
        <v>20.5</v>
      </c>
      <c r="I276" s="297">
        <f t="shared" ca="1" si="63"/>
        <v>-21</v>
      </c>
    </row>
    <row r="277" spans="1:9">
      <c r="A277" s="295">
        <f t="shared" si="64"/>
        <v>260</v>
      </c>
      <c r="B277" s="300">
        <f t="shared" si="66"/>
        <v>7884</v>
      </c>
      <c r="C277" s="296">
        <f t="shared" ca="1" si="65"/>
        <v>20.5</v>
      </c>
      <c r="D277" s="295"/>
      <c r="E277" s="296">
        <f t="shared" si="62"/>
        <v>0</v>
      </c>
      <c r="F277" s="296">
        <f t="shared" ca="1" si="56"/>
        <v>0</v>
      </c>
      <c r="G277" s="296">
        <f t="shared" ca="1" si="57"/>
        <v>0</v>
      </c>
      <c r="H277" s="296">
        <f t="shared" ca="1" si="58"/>
        <v>20.5</v>
      </c>
      <c r="I277" s="297">
        <f t="shared" ca="1" si="63"/>
        <v>-21</v>
      </c>
    </row>
    <row r="278" spans="1:9">
      <c r="A278" s="295">
        <f t="shared" si="64"/>
        <v>261</v>
      </c>
      <c r="B278" s="300">
        <f t="shared" si="66"/>
        <v>7915</v>
      </c>
      <c r="C278" s="296">
        <f t="shared" ca="1" si="65"/>
        <v>20.5</v>
      </c>
      <c r="D278" s="295"/>
      <c r="E278" s="296">
        <f t="shared" si="62"/>
        <v>0</v>
      </c>
      <c r="F278" s="296">
        <f t="shared" ca="1" si="56"/>
        <v>0</v>
      </c>
      <c r="G278" s="296">
        <f t="shared" ca="1" si="57"/>
        <v>0</v>
      </c>
      <c r="H278" s="296">
        <f t="shared" ca="1" si="58"/>
        <v>20.5</v>
      </c>
      <c r="I278" s="297">
        <f t="shared" ca="1" si="63"/>
        <v>-21</v>
      </c>
    </row>
    <row r="279" spans="1:9">
      <c r="A279" s="295">
        <f t="shared" si="64"/>
        <v>262</v>
      </c>
      <c r="B279" s="300">
        <f t="shared" si="66"/>
        <v>7945</v>
      </c>
      <c r="C279" s="296">
        <f t="shared" ca="1" si="65"/>
        <v>20.5</v>
      </c>
      <c r="D279" s="295"/>
      <c r="E279" s="296">
        <f t="shared" si="62"/>
        <v>0</v>
      </c>
      <c r="F279" s="296">
        <f t="shared" ca="1" si="56"/>
        <v>0</v>
      </c>
      <c r="G279" s="296">
        <f t="shared" ca="1" si="57"/>
        <v>0</v>
      </c>
      <c r="H279" s="296">
        <f t="shared" ca="1" si="58"/>
        <v>20.5</v>
      </c>
      <c r="I279" s="297">
        <f t="shared" ca="1" si="63"/>
        <v>-21</v>
      </c>
    </row>
    <row r="280" spans="1:9">
      <c r="A280" s="295">
        <f t="shared" si="64"/>
        <v>263</v>
      </c>
      <c r="B280" s="300">
        <f t="shared" si="66"/>
        <v>7976</v>
      </c>
      <c r="C280" s="296">
        <f t="shared" ca="1" si="65"/>
        <v>20.5</v>
      </c>
      <c r="D280" s="295"/>
      <c r="E280" s="296">
        <f t="shared" si="62"/>
        <v>0</v>
      </c>
      <c r="F280" s="296">
        <f t="shared" ca="1" si="56"/>
        <v>0</v>
      </c>
      <c r="G280" s="296">
        <f t="shared" ca="1" si="57"/>
        <v>0</v>
      </c>
      <c r="H280" s="296">
        <f t="shared" ca="1" si="58"/>
        <v>20.5</v>
      </c>
      <c r="I280" s="297">
        <f t="shared" ca="1" si="63"/>
        <v>-21</v>
      </c>
    </row>
    <row r="281" spans="1:9">
      <c r="A281" s="295">
        <f t="shared" si="64"/>
        <v>264</v>
      </c>
      <c r="B281" s="300">
        <f t="shared" si="66"/>
        <v>8006</v>
      </c>
      <c r="C281" s="296">
        <f t="shared" ca="1" si="65"/>
        <v>20.5</v>
      </c>
      <c r="D281" s="296">
        <f ca="1">IF(H281&lt;0,0,0.5*(K39-L39))</f>
        <v>-0.5</v>
      </c>
      <c r="E281" s="296">
        <f t="shared" ca="1" si="62"/>
        <v>-0.5</v>
      </c>
      <c r="F281" s="296">
        <f t="shared" ca="1" si="56"/>
        <v>-0.5</v>
      </c>
      <c r="G281" s="296">
        <f t="shared" ca="1" si="57"/>
        <v>0</v>
      </c>
      <c r="H281" s="296">
        <f t="shared" ca="1" si="58"/>
        <v>21</v>
      </c>
      <c r="I281" s="297">
        <f t="shared" ca="1" si="63"/>
        <v>-22</v>
      </c>
    </row>
    <row r="282" spans="1:9">
      <c r="A282" s="295">
        <f t="shared" si="64"/>
        <v>265</v>
      </c>
      <c r="B282" s="300">
        <f t="shared" si="66"/>
        <v>8037</v>
      </c>
      <c r="C282" s="296">
        <f t="shared" ca="1" si="65"/>
        <v>21</v>
      </c>
      <c r="D282" s="296"/>
      <c r="E282" s="296">
        <f t="shared" ref="E282:E293" si="67">IF($D$10=1,IF(OR(MONTH(B282)=MONTH(EDATE($D$7,0)),MONTH(B282)=MONTH(EDATE($D$7,6))),(MIN($D$281,H281)),0),IF($D$10=0,IF(OR(MONTH(B282)=MONTH(EDATE($D$7,5)),MONTH(B282)=MONTH(EDATE($D$7,11))),(MIN($D$281,H281)),0)))</f>
        <v>0</v>
      </c>
      <c r="F282" s="296">
        <f t="shared" ca="1" si="56"/>
        <v>0</v>
      </c>
      <c r="G282" s="296">
        <f t="shared" ca="1" si="57"/>
        <v>0</v>
      </c>
      <c r="H282" s="296">
        <f t="shared" ca="1" si="58"/>
        <v>21</v>
      </c>
      <c r="I282" s="297">
        <f t="shared" ca="1" si="63"/>
        <v>-21</v>
      </c>
    </row>
    <row r="283" spans="1:9">
      <c r="A283" s="295">
        <f t="shared" si="64"/>
        <v>266</v>
      </c>
      <c r="B283" s="300">
        <f t="shared" si="66"/>
        <v>8068</v>
      </c>
      <c r="C283" s="296">
        <f t="shared" ca="1" si="65"/>
        <v>21</v>
      </c>
      <c r="D283" s="295"/>
      <c r="E283" s="296">
        <f t="shared" si="67"/>
        <v>0</v>
      </c>
      <c r="F283" s="296">
        <f t="shared" ca="1" si="56"/>
        <v>0</v>
      </c>
      <c r="G283" s="296">
        <f t="shared" ca="1" si="57"/>
        <v>0</v>
      </c>
      <c r="H283" s="296">
        <f t="shared" ca="1" si="58"/>
        <v>21</v>
      </c>
      <c r="I283" s="297">
        <f t="shared" ca="1" si="63"/>
        <v>-21</v>
      </c>
    </row>
    <row r="284" spans="1:9">
      <c r="A284" s="295">
        <f t="shared" si="64"/>
        <v>267</v>
      </c>
      <c r="B284" s="300">
        <f t="shared" si="66"/>
        <v>8096</v>
      </c>
      <c r="C284" s="296">
        <f t="shared" ca="1" si="65"/>
        <v>21</v>
      </c>
      <c r="D284" s="295"/>
      <c r="E284" s="296">
        <f t="shared" si="67"/>
        <v>0</v>
      </c>
      <c r="F284" s="296">
        <f t="shared" ca="1" si="56"/>
        <v>0</v>
      </c>
      <c r="G284" s="296">
        <f t="shared" ca="1" si="57"/>
        <v>0</v>
      </c>
      <c r="H284" s="296">
        <f t="shared" ca="1" si="58"/>
        <v>21</v>
      </c>
      <c r="I284" s="297">
        <f t="shared" ca="1" si="63"/>
        <v>-21</v>
      </c>
    </row>
    <row r="285" spans="1:9">
      <c r="A285" s="295">
        <f t="shared" si="64"/>
        <v>268</v>
      </c>
      <c r="B285" s="300">
        <f t="shared" si="66"/>
        <v>8127</v>
      </c>
      <c r="C285" s="296">
        <f t="shared" ca="1" si="65"/>
        <v>21</v>
      </c>
      <c r="D285" s="295"/>
      <c r="E285" s="296">
        <f t="shared" si="67"/>
        <v>0</v>
      </c>
      <c r="F285" s="296">
        <f t="shared" ca="1" si="56"/>
        <v>0</v>
      </c>
      <c r="G285" s="296">
        <f t="shared" ca="1" si="57"/>
        <v>0</v>
      </c>
      <c r="H285" s="296">
        <f t="shared" ca="1" si="58"/>
        <v>21</v>
      </c>
      <c r="I285" s="297">
        <f t="shared" ca="1" si="63"/>
        <v>-21</v>
      </c>
    </row>
    <row r="286" spans="1:9">
      <c r="A286" s="295">
        <f t="shared" si="64"/>
        <v>269</v>
      </c>
      <c r="B286" s="300">
        <f t="shared" si="66"/>
        <v>8157</v>
      </c>
      <c r="C286" s="296">
        <f t="shared" ca="1" si="65"/>
        <v>21</v>
      </c>
      <c r="D286" s="295"/>
      <c r="E286" s="296">
        <f t="shared" si="67"/>
        <v>0</v>
      </c>
      <c r="F286" s="296">
        <f t="shared" ref="F286:F349" ca="1" si="68">IF(E286="","",E286-G286)</f>
        <v>0</v>
      </c>
      <c r="G286" s="296">
        <f t="shared" ref="G286:G349" ca="1" si="69">ROUND((C286-E286)*$D$5,3)</f>
        <v>0</v>
      </c>
      <c r="H286" s="296">
        <f t="shared" ref="H286:H349" ca="1" si="70">IF(E286="","",ROUND(H285-F286,4))</f>
        <v>21</v>
      </c>
      <c r="I286" s="297">
        <f t="shared" ca="1" si="63"/>
        <v>-21</v>
      </c>
    </row>
    <row r="287" spans="1:9">
      <c r="A287" s="295">
        <f t="shared" si="64"/>
        <v>270</v>
      </c>
      <c r="B287" s="300">
        <f t="shared" si="66"/>
        <v>8188</v>
      </c>
      <c r="C287" s="296">
        <f t="shared" ca="1" si="65"/>
        <v>21</v>
      </c>
      <c r="D287" s="295"/>
      <c r="E287" s="296">
        <f t="shared" ca="1" si="67"/>
        <v>-0.5</v>
      </c>
      <c r="F287" s="296">
        <f t="shared" ca="1" si="68"/>
        <v>-0.5</v>
      </c>
      <c r="G287" s="296">
        <f t="shared" ca="1" si="69"/>
        <v>0</v>
      </c>
      <c r="H287" s="296">
        <f t="shared" ca="1" si="70"/>
        <v>21.5</v>
      </c>
      <c r="I287" s="297">
        <f t="shared" ca="1" si="63"/>
        <v>-22</v>
      </c>
    </row>
    <row r="288" spans="1:9">
      <c r="A288" s="295">
        <f t="shared" si="64"/>
        <v>271</v>
      </c>
      <c r="B288" s="300">
        <f t="shared" si="66"/>
        <v>8218</v>
      </c>
      <c r="C288" s="296">
        <f t="shared" ca="1" si="65"/>
        <v>21.5</v>
      </c>
      <c r="D288" s="295"/>
      <c r="E288" s="296">
        <f t="shared" si="67"/>
        <v>0</v>
      </c>
      <c r="F288" s="296">
        <f t="shared" ca="1" si="68"/>
        <v>0</v>
      </c>
      <c r="G288" s="296">
        <f t="shared" ca="1" si="69"/>
        <v>0</v>
      </c>
      <c r="H288" s="296">
        <f t="shared" ca="1" si="70"/>
        <v>21.5</v>
      </c>
      <c r="I288" s="297">
        <f t="shared" ca="1" si="63"/>
        <v>-22</v>
      </c>
    </row>
    <row r="289" spans="1:9">
      <c r="A289" s="295">
        <f t="shared" si="64"/>
        <v>272</v>
      </c>
      <c r="B289" s="300">
        <f t="shared" si="66"/>
        <v>8249</v>
      </c>
      <c r="C289" s="296">
        <f t="shared" ca="1" si="65"/>
        <v>21.5</v>
      </c>
      <c r="D289" s="295"/>
      <c r="E289" s="296">
        <f t="shared" si="67"/>
        <v>0</v>
      </c>
      <c r="F289" s="296">
        <f t="shared" ca="1" si="68"/>
        <v>0</v>
      </c>
      <c r="G289" s="296">
        <f t="shared" ca="1" si="69"/>
        <v>0</v>
      </c>
      <c r="H289" s="296">
        <f t="shared" ca="1" si="70"/>
        <v>21.5</v>
      </c>
      <c r="I289" s="297">
        <f t="shared" ca="1" si="63"/>
        <v>-22</v>
      </c>
    </row>
    <row r="290" spans="1:9">
      <c r="A290" s="295">
        <f t="shared" si="64"/>
        <v>273</v>
      </c>
      <c r="B290" s="300">
        <f t="shared" si="66"/>
        <v>8280</v>
      </c>
      <c r="C290" s="296">
        <f t="shared" ca="1" si="65"/>
        <v>21.5</v>
      </c>
      <c r="D290" s="295"/>
      <c r="E290" s="296">
        <f t="shared" si="67"/>
        <v>0</v>
      </c>
      <c r="F290" s="296">
        <f t="shared" ca="1" si="68"/>
        <v>0</v>
      </c>
      <c r="G290" s="296">
        <f t="shared" ca="1" si="69"/>
        <v>0</v>
      </c>
      <c r="H290" s="296">
        <f t="shared" ca="1" si="70"/>
        <v>21.5</v>
      </c>
      <c r="I290" s="297">
        <f t="shared" ca="1" si="63"/>
        <v>-22</v>
      </c>
    </row>
    <row r="291" spans="1:9">
      <c r="A291" s="295">
        <f t="shared" si="64"/>
        <v>274</v>
      </c>
      <c r="B291" s="300">
        <f t="shared" si="66"/>
        <v>8310</v>
      </c>
      <c r="C291" s="296">
        <f t="shared" ca="1" si="65"/>
        <v>21.5</v>
      </c>
      <c r="D291" s="295"/>
      <c r="E291" s="296">
        <f t="shared" si="67"/>
        <v>0</v>
      </c>
      <c r="F291" s="296">
        <f t="shared" ca="1" si="68"/>
        <v>0</v>
      </c>
      <c r="G291" s="296">
        <f t="shared" ca="1" si="69"/>
        <v>0</v>
      </c>
      <c r="H291" s="296">
        <f t="shared" ca="1" si="70"/>
        <v>21.5</v>
      </c>
      <c r="I291" s="297">
        <f t="shared" ca="1" si="63"/>
        <v>-22</v>
      </c>
    </row>
    <row r="292" spans="1:9">
      <c r="A292" s="295">
        <f t="shared" si="64"/>
        <v>275</v>
      </c>
      <c r="B292" s="300">
        <f t="shared" si="66"/>
        <v>8341</v>
      </c>
      <c r="C292" s="296">
        <f t="shared" ca="1" si="65"/>
        <v>21.5</v>
      </c>
      <c r="D292" s="295"/>
      <c r="E292" s="296">
        <f t="shared" si="67"/>
        <v>0</v>
      </c>
      <c r="F292" s="296">
        <f t="shared" ca="1" si="68"/>
        <v>0</v>
      </c>
      <c r="G292" s="296">
        <f t="shared" ca="1" si="69"/>
        <v>0</v>
      </c>
      <c r="H292" s="296">
        <f t="shared" ca="1" si="70"/>
        <v>21.5</v>
      </c>
      <c r="I292" s="297">
        <f t="shared" ca="1" si="63"/>
        <v>-22</v>
      </c>
    </row>
    <row r="293" spans="1:9">
      <c r="A293" s="295">
        <f t="shared" si="64"/>
        <v>276</v>
      </c>
      <c r="B293" s="300">
        <f t="shared" si="66"/>
        <v>8371</v>
      </c>
      <c r="C293" s="296">
        <f t="shared" ca="1" si="65"/>
        <v>21.5</v>
      </c>
      <c r="D293" s="296">
        <f ca="1">IF(H293&lt;0,0,0.5*(K40-L40))</f>
        <v>-0.5</v>
      </c>
      <c r="E293" s="296">
        <f t="shared" ca="1" si="67"/>
        <v>-0.5</v>
      </c>
      <c r="F293" s="296">
        <f t="shared" ca="1" si="68"/>
        <v>-0.5</v>
      </c>
      <c r="G293" s="296">
        <f t="shared" ca="1" si="69"/>
        <v>0</v>
      </c>
      <c r="H293" s="296">
        <f t="shared" ca="1" si="70"/>
        <v>22</v>
      </c>
      <c r="I293" s="297">
        <f t="shared" ca="1" si="63"/>
        <v>-23</v>
      </c>
    </row>
    <row r="294" spans="1:9">
      <c r="A294" s="295">
        <f t="shared" si="64"/>
        <v>277</v>
      </c>
      <c r="B294" s="300">
        <f t="shared" si="66"/>
        <v>8402</v>
      </c>
      <c r="C294" s="296">
        <f t="shared" ca="1" si="65"/>
        <v>22</v>
      </c>
      <c r="D294" s="295"/>
      <c r="E294" s="296">
        <f t="shared" ref="E294:E305" si="71">IF($D$10=1,IF(OR(MONTH(B294)=MONTH(EDATE($D$7,0)),MONTH(B294)=MONTH(EDATE($D$7,6))),(MIN($D$293,H293)),0),IF($D$10=0,IF(OR(MONTH(B294)=MONTH(EDATE($D$7,5)),MONTH(B294)=MONTH(EDATE($D$7,11))),(MIN($D$293,H293)),0)))</f>
        <v>0</v>
      </c>
      <c r="F294" s="296">
        <f t="shared" ca="1" si="68"/>
        <v>0</v>
      </c>
      <c r="G294" s="296">
        <f t="shared" ca="1" si="69"/>
        <v>0</v>
      </c>
      <c r="H294" s="296">
        <f t="shared" ca="1" si="70"/>
        <v>22</v>
      </c>
      <c r="I294" s="297">
        <f t="shared" ca="1" si="63"/>
        <v>-22</v>
      </c>
    </row>
    <row r="295" spans="1:9">
      <c r="A295" s="295">
        <f t="shared" si="64"/>
        <v>278</v>
      </c>
      <c r="B295" s="300">
        <f t="shared" si="66"/>
        <v>8433</v>
      </c>
      <c r="C295" s="296">
        <f t="shared" ca="1" si="65"/>
        <v>22</v>
      </c>
      <c r="D295" s="295"/>
      <c r="E295" s="296">
        <f t="shared" si="71"/>
        <v>0</v>
      </c>
      <c r="F295" s="296">
        <f t="shared" ca="1" si="68"/>
        <v>0</v>
      </c>
      <c r="G295" s="296">
        <f t="shared" ca="1" si="69"/>
        <v>0</v>
      </c>
      <c r="H295" s="296">
        <f t="shared" ca="1" si="70"/>
        <v>22</v>
      </c>
      <c r="I295" s="297">
        <f t="shared" ca="1" si="63"/>
        <v>-22</v>
      </c>
    </row>
    <row r="296" spans="1:9">
      <c r="A296" s="295">
        <f t="shared" si="64"/>
        <v>279</v>
      </c>
      <c r="B296" s="300">
        <f t="shared" si="66"/>
        <v>8461</v>
      </c>
      <c r="C296" s="296">
        <f t="shared" ca="1" si="65"/>
        <v>22</v>
      </c>
      <c r="D296" s="295"/>
      <c r="E296" s="296">
        <f t="shared" si="71"/>
        <v>0</v>
      </c>
      <c r="F296" s="296">
        <f t="shared" ca="1" si="68"/>
        <v>0</v>
      </c>
      <c r="G296" s="296">
        <f t="shared" ca="1" si="69"/>
        <v>0</v>
      </c>
      <c r="H296" s="296">
        <f t="shared" ca="1" si="70"/>
        <v>22</v>
      </c>
      <c r="I296" s="297">
        <f t="shared" ca="1" si="63"/>
        <v>-22</v>
      </c>
    </row>
    <row r="297" spans="1:9">
      <c r="A297" s="295">
        <f t="shared" si="64"/>
        <v>280</v>
      </c>
      <c r="B297" s="300">
        <f t="shared" si="66"/>
        <v>8492</v>
      </c>
      <c r="C297" s="296">
        <f t="shared" ca="1" si="65"/>
        <v>22</v>
      </c>
      <c r="D297" s="295"/>
      <c r="E297" s="296">
        <f t="shared" si="71"/>
        <v>0</v>
      </c>
      <c r="F297" s="296">
        <f t="shared" ca="1" si="68"/>
        <v>0</v>
      </c>
      <c r="G297" s="296">
        <f t="shared" ca="1" si="69"/>
        <v>0</v>
      </c>
      <c r="H297" s="296">
        <f t="shared" ca="1" si="70"/>
        <v>22</v>
      </c>
      <c r="I297" s="297">
        <f t="shared" ca="1" si="63"/>
        <v>-22</v>
      </c>
    </row>
    <row r="298" spans="1:9">
      <c r="A298" s="295">
        <f t="shared" si="64"/>
        <v>281</v>
      </c>
      <c r="B298" s="300">
        <f t="shared" si="66"/>
        <v>8522</v>
      </c>
      <c r="C298" s="296">
        <f t="shared" ca="1" si="65"/>
        <v>22</v>
      </c>
      <c r="D298" s="295"/>
      <c r="E298" s="296">
        <f t="shared" si="71"/>
        <v>0</v>
      </c>
      <c r="F298" s="296">
        <f t="shared" ca="1" si="68"/>
        <v>0</v>
      </c>
      <c r="G298" s="296">
        <f t="shared" ca="1" si="69"/>
        <v>0</v>
      </c>
      <c r="H298" s="296">
        <f t="shared" ca="1" si="70"/>
        <v>22</v>
      </c>
      <c r="I298" s="297">
        <f t="shared" ca="1" si="63"/>
        <v>-22</v>
      </c>
    </row>
    <row r="299" spans="1:9">
      <c r="A299" s="295">
        <f t="shared" si="64"/>
        <v>282</v>
      </c>
      <c r="B299" s="300">
        <f t="shared" si="66"/>
        <v>8553</v>
      </c>
      <c r="C299" s="296">
        <f t="shared" ca="1" si="65"/>
        <v>22</v>
      </c>
      <c r="D299" s="295"/>
      <c r="E299" s="296">
        <f t="shared" ca="1" si="71"/>
        <v>-0.5</v>
      </c>
      <c r="F299" s="296">
        <f t="shared" ca="1" si="68"/>
        <v>-0.5</v>
      </c>
      <c r="G299" s="296">
        <f t="shared" ca="1" si="69"/>
        <v>0</v>
      </c>
      <c r="H299" s="296">
        <f t="shared" ca="1" si="70"/>
        <v>22.5</v>
      </c>
      <c r="I299" s="297">
        <f t="shared" ca="1" si="63"/>
        <v>-23</v>
      </c>
    </row>
    <row r="300" spans="1:9">
      <c r="A300" s="295">
        <f t="shared" si="64"/>
        <v>283</v>
      </c>
      <c r="B300" s="300">
        <f t="shared" si="66"/>
        <v>8583</v>
      </c>
      <c r="C300" s="296">
        <f t="shared" ca="1" si="65"/>
        <v>22.5</v>
      </c>
      <c r="D300" s="295"/>
      <c r="E300" s="296">
        <f t="shared" si="71"/>
        <v>0</v>
      </c>
      <c r="F300" s="296">
        <f t="shared" ca="1" si="68"/>
        <v>0</v>
      </c>
      <c r="G300" s="296">
        <f t="shared" ca="1" si="69"/>
        <v>0</v>
      </c>
      <c r="H300" s="296">
        <f t="shared" ca="1" si="70"/>
        <v>22.5</v>
      </c>
      <c r="I300" s="297">
        <f t="shared" ca="1" si="63"/>
        <v>-23</v>
      </c>
    </row>
    <row r="301" spans="1:9">
      <c r="A301" s="295">
        <f t="shared" si="64"/>
        <v>284</v>
      </c>
      <c r="B301" s="300">
        <f t="shared" si="66"/>
        <v>8614</v>
      </c>
      <c r="C301" s="296">
        <f t="shared" ca="1" si="65"/>
        <v>22.5</v>
      </c>
      <c r="D301" s="295"/>
      <c r="E301" s="296">
        <f t="shared" si="71"/>
        <v>0</v>
      </c>
      <c r="F301" s="296">
        <f t="shared" ca="1" si="68"/>
        <v>0</v>
      </c>
      <c r="G301" s="296">
        <f t="shared" ca="1" si="69"/>
        <v>0</v>
      </c>
      <c r="H301" s="296">
        <f t="shared" ca="1" si="70"/>
        <v>22.5</v>
      </c>
      <c r="I301" s="297">
        <f t="shared" ca="1" si="63"/>
        <v>-23</v>
      </c>
    </row>
    <row r="302" spans="1:9">
      <c r="A302" s="295">
        <f t="shared" si="64"/>
        <v>285</v>
      </c>
      <c r="B302" s="300">
        <f t="shared" si="66"/>
        <v>8645</v>
      </c>
      <c r="C302" s="296">
        <f t="shared" ca="1" si="65"/>
        <v>22.5</v>
      </c>
      <c r="D302" s="295"/>
      <c r="E302" s="296">
        <f t="shared" si="71"/>
        <v>0</v>
      </c>
      <c r="F302" s="296">
        <f ca="1">IF(E302="","",E302-G302)</f>
        <v>0</v>
      </c>
      <c r="G302" s="296">
        <f t="shared" ca="1" si="69"/>
        <v>0</v>
      </c>
      <c r="H302" s="296">
        <f t="shared" ca="1" si="70"/>
        <v>22.5</v>
      </c>
      <c r="I302" s="297">
        <f t="shared" ca="1" si="63"/>
        <v>-23</v>
      </c>
    </row>
    <row r="303" spans="1:9">
      <c r="A303" s="295">
        <f t="shared" si="64"/>
        <v>286</v>
      </c>
      <c r="B303" s="300">
        <f t="shared" si="66"/>
        <v>8675</v>
      </c>
      <c r="C303" s="296">
        <f t="shared" ca="1" si="65"/>
        <v>22.5</v>
      </c>
      <c r="D303" s="295"/>
      <c r="E303" s="296">
        <f t="shared" si="71"/>
        <v>0</v>
      </c>
      <c r="F303" s="296">
        <f t="shared" ca="1" si="68"/>
        <v>0</v>
      </c>
      <c r="G303" s="296">
        <f t="shared" ca="1" si="69"/>
        <v>0</v>
      </c>
      <c r="H303" s="296">
        <f t="shared" ca="1" si="70"/>
        <v>22.5</v>
      </c>
      <c r="I303" s="297">
        <f t="shared" ca="1" si="63"/>
        <v>-23</v>
      </c>
    </row>
    <row r="304" spans="1:9">
      <c r="A304" s="295">
        <f t="shared" si="64"/>
        <v>287</v>
      </c>
      <c r="B304" s="300">
        <f t="shared" si="66"/>
        <v>8706</v>
      </c>
      <c r="C304" s="296">
        <f t="shared" ca="1" si="65"/>
        <v>22.5</v>
      </c>
      <c r="D304" s="295"/>
      <c r="E304" s="296">
        <f t="shared" si="71"/>
        <v>0</v>
      </c>
      <c r="F304" s="296">
        <f t="shared" ca="1" si="68"/>
        <v>0</v>
      </c>
      <c r="G304" s="296">
        <f t="shared" ca="1" si="69"/>
        <v>0</v>
      </c>
      <c r="H304" s="296">
        <f t="shared" ca="1" si="70"/>
        <v>22.5</v>
      </c>
      <c r="I304" s="297">
        <f t="shared" ca="1" si="63"/>
        <v>-23</v>
      </c>
    </row>
    <row r="305" spans="1:9">
      <c r="A305" s="295">
        <f t="shared" si="64"/>
        <v>288</v>
      </c>
      <c r="B305" s="300">
        <f t="shared" si="66"/>
        <v>8736</v>
      </c>
      <c r="C305" s="296">
        <f t="shared" ca="1" si="65"/>
        <v>22.5</v>
      </c>
      <c r="D305" s="296">
        <f ca="1">IF(H305&lt;0,0,0.5*(K41-L41))</f>
        <v>-0.5</v>
      </c>
      <c r="E305" s="296">
        <f t="shared" ca="1" si="71"/>
        <v>-0.5</v>
      </c>
      <c r="F305" s="296">
        <f t="shared" ca="1" si="68"/>
        <v>-0.5</v>
      </c>
      <c r="G305" s="296">
        <f t="shared" ca="1" si="69"/>
        <v>0</v>
      </c>
      <c r="H305" s="296">
        <f t="shared" ca="1" si="70"/>
        <v>23</v>
      </c>
      <c r="I305" s="297">
        <f t="shared" ca="1" si="63"/>
        <v>-24</v>
      </c>
    </row>
    <row r="306" spans="1:9">
      <c r="A306" s="295">
        <f t="shared" si="64"/>
        <v>289</v>
      </c>
      <c r="B306" s="300">
        <f t="shared" si="66"/>
        <v>8767</v>
      </c>
      <c r="C306" s="296">
        <f t="shared" ca="1" si="65"/>
        <v>23</v>
      </c>
      <c r="D306" s="295"/>
      <c r="E306" s="296">
        <f t="shared" ref="E306:E317" si="72">IF($D$10=1,IF(OR(MONTH(B306)=MONTH(EDATE($D$7,0)),MONTH(B306)=MONTH(EDATE($D$7,6))),(MIN($D$305,H305)),0),IF($D$10=0,IF(OR(MONTH(B306)=MONTH(EDATE($D$7,5)),MONTH(B306)=MONTH(EDATE($D$7,11))),(MIN($D$305,H305)),0)))</f>
        <v>0</v>
      </c>
      <c r="F306" s="296">
        <f ca="1">IF(E306="","",E306-G306)</f>
        <v>0</v>
      </c>
      <c r="G306" s="296">
        <f t="shared" ca="1" si="69"/>
        <v>0</v>
      </c>
      <c r="H306" s="296">
        <f t="shared" ca="1" si="70"/>
        <v>23</v>
      </c>
      <c r="I306" s="297">
        <f t="shared" ca="1" si="63"/>
        <v>-23</v>
      </c>
    </row>
    <row r="307" spans="1:9">
      <c r="A307" s="295">
        <f t="shared" si="64"/>
        <v>290</v>
      </c>
      <c r="B307" s="300">
        <f t="shared" si="66"/>
        <v>8798</v>
      </c>
      <c r="C307" s="296">
        <f t="shared" ca="1" si="65"/>
        <v>23</v>
      </c>
      <c r="D307" s="295"/>
      <c r="E307" s="296">
        <f t="shared" si="72"/>
        <v>0</v>
      </c>
      <c r="F307" s="296">
        <f t="shared" ca="1" si="68"/>
        <v>0</v>
      </c>
      <c r="G307" s="296">
        <f t="shared" ca="1" si="69"/>
        <v>0</v>
      </c>
      <c r="H307" s="296">
        <f t="shared" ca="1" si="70"/>
        <v>23</v>
      </c>
      <c r="I307" s="297">
        <f t="shared" ca="1" si="63"/>
        <v>-23</v>
      </c>
    </row>
    <row r="308" spans="1:9">
      <c r="A308" s="295">
        <f t="shared" si="64"/>
        <v>291</v>
      </c>
      <c r="B308" s="300">
        <f t="shared" si="66"/>
        <v>8827</v>
      </c>
      <c r="C308" s="296">
        <f t="shared" ca="1" si="65"/>
        <v>23</v>
      </c>
      <c r="D308" s="295"/>
      <c r="E308" s="296">
        <f t="shared" si="72"/>
        <v>0</v>
      </c>
      <c r="F308" s="296">
        <f t="shared" ca="1" si="68"/>
        <v>0</v>
      </c>
      <c r="G308" s="296">
        <f t="shared" ca="1" si="69"/>
        <v>0</v>
      </c>
      <c r="H308" s="296">
        <f t="shared" ca="1" si="70"/>
        <v>23</v>
      </c>
      <c r="I308" s="297">
        <f t="shared" ca="1" si="63"/>
        <v>-23</v>
      </c>
    </row>
    <row r="309" spans="1:9">
      <c r="A309" s="295">
        <f t="shared" si="64"/>
        <v>292</v>
      </c>
      <c r="B309" s="300">
        <f t="shared" si="66"/>
        <v>8858</v>
      </c>
      <c r="C309" s="296">
        <f t="shared" ca="1" si="65"/>
        <v>23</v>
      </c>
      <c r="D309" s="295"/>
      <c r="E309" s="296">
        <f t="shared" si="72"/>
        <v>0</v>
      </c>
      <c r="F309" s="296">
        <f t="shared" ca="1" si="68"/>
        <v>0</v>
      </c>
      <c r="G309" s="296">
        <f t="shared" ca="1" si="69"/>
        <v>0</v>
      </c>
      <c r="H309" s="296">
        <f t="shared" ca="1" si="70"/>
        <v>23</v>
      </c>
      <c r="I309" s="297">
        <f t="shared" ca="1" si="63"/>
        <v>-23</v>
      </c>
    </row>
    <row r="310" spans="1:9">
      <c r="A310" s="295">
        <f t="shared" si="64"/>
        <v>293</v>
      </c>
      <c r="B310" s="300">
        <f t="shared" si="66"/>
        <v>8888</v>
      </c>
      <c r="C310" s="296">
        <f t="shared" ca="1" si="65"/>
        <v>23</v>
      </c>
      <c r="D310" s="295"/>
      <c r="E310" s="296">
        <f t="shared" si="72"/>
        <v>0</v>
      </c>
      <c r="F310" s="296">
        <f t="shared" ca="1" si="68"/>
        <v>0</v>
      </c>
      <c r="G310" s="296">
        <f t="shared" ca="1" si="69"/>
        <v>0</v>
      </c>
      <c r="H310" s="296">
        <f t="shared" ca="1" si="70"/>
        <v>23</v>
      </c>
      <c r="I310" s="297">
        <f t="shared" ca="1" si="63"/>
        <v>-23</v>
      </c>
    </row>
    <row r="311" spans="1:9">
      <c r="A311" s="295">
        <f t="shared" si="64"/>
        <v>294</v>
      </c>
      <c r="B311" s="300">
        <f t="shared" si="66"/>
        <v>8919</v>
      </c>
      <c r="C311" s="296">
        <f t="shared" ca="1" si="65"/>
        <v>23</v>
      </c>
      <c r="D311" s="295"/>
      <c r="E311" s="296">
        <f t="shared" ca="1" si="72"/>
        <v>-0.5</v>
      </c>
      <c r="F311" s="296">
        <f t="shared" ca="1" si="68"/>
        <v>-0.5</v>
      </c>
      <c r="G311" s="296">
        <f t="shared" ca="1" si="69"/>
        <v>0</v>
      </c>
      <c r="H311" s="296">
        <f t="shared" ca="1" si="70"/>
        <v>23.5</v>
      </c>
      <c r="I311" s="297">
        <f t="shared" ca="1" si="63"/>
        <v>-24</v>
      </c>
    </row>
    <row r="312" spans="1:9">
      <c r="A312" s="295">
        <f t="shared" si="64"/>
        <v>295</v>
      </c>
      <c r="B312" s="300">
        <f t="shared" si="66"/>
        <v>8949</v>
      </c>
      <c r="C312" s="296">
        <f t="shared" ca="1" si="65"/>
        <v>23.5</v>
      </c>
      <c r="D312" s="295"/>
      <c r="E312" s="296">
        <f t="shared" si="72"/>
        <v>0</v>
      </c>
      <c r="F312" s="296">
        <f t="shared" ca="1" si="68"/>
        <v>0</v>
      </c>
      <c r="G312" s="296">
        <f t="shared" ca="1" si="69"/>
        <v>0</v>
      </c>
      <c r="H312" s="296">
        <f t="shared" ca="1" si="70"/>
        <v>23.5</v>
      </c>
      <c r="I312" s="297">
        <f t="shared" ca="1" si="63"/>
        <v>-24</v>
      </c>
    </row>
    <row r="313" spans="1:9">
      <c r="A313" s="295">
        <f t="shared" si="64"/>
        <v>296</v>
      </c>
      <c r="B313" s="300">
        <f t="shared" si="66"/>
        <v>8980</v>
      </c>
      <c r="C313" s="296">
        <f t="shared" ca="1" si="65"/>
        <v>23.5</v>
      </c>
      <c r="D313" s="295"/>
      <c r="E313" s="296">
        <f t="shared" si="72"/>
        <v>0</v>
      </c>
      <c r="F313" s="296">
        <f t="shared" ca="1" si="68"/>
        <v>0</v>
      </c>
      <c r="G313" s="296">
        <f t="shared" ca="1" si="69"/>
        <v>0</v>
      </c>
      <c r="H313" s="296">
        <f t="shared" ca="1" si="70"/>
        <v>23.5</v>
      </c>
      <c r="I313" s="297">
        <f t="shared" ca="1" si="63"/>
        <v>-24</v>
      </c>
    </row>
    <row r="314" spans="1:9">
      <c r="A314" s="295">
        <f t="shared" si="64"/>
        <v>297</v>
      </c>
      <c r="B314" s="300">
        <f t="shared" si="66"/>
        <v>9011</v>
      </c>
      <c r="C314" s="296">
        <f t="shared" ca="1" si="65"/>
        <v>23.5</v>
      </c>
      <c r="D314" s="295"/>
      <c r="E314" s="296">
        <f t="shared" si="72"/>
        <v>0</v>
      </c>
      <c r="F314" s="296">
        <f t="shared" ca="1" si="68"/>
        <v>0</v>
      </c>
      <c r="G314" s="296">
        <f t="shared" ca="1" si="69"/>
        <v>0</v>
      </c>
      <c r="H314" s="296">
        <f t="shared" ca="1" si="70"/>
        <v>23.5</v>
      </c>
      <c r="I314" s="297">
        <f t="shared" ca="1" si="63"/>
        <v>-24</v>
      </c>
    </row>
    <row r="315" spans="1:9">
      <c r="A315" s="295">
        <f t="shared" si="64"/>
        <v>298</v>
      </c>
      <c r="B315" s="300">
        <f t="shared" si="66"/>
        <v>9041</v>
      </c>
      <c r="C315" s="296">
        <f t="shared" ca="1" si="65"/>
        <v>23.5</v>
      </c>
      <c r="D315" s="295"/>
      <c r="E315" s="296">
        <f t="shared" si="72"/>
        <v>0</v>
      </c>
      <c r="F315" s="296">
        <f t="shared" ca="1" si="68"/>
        <v>0</v>
      </c>
      <c r="G315" s="296">
        <f t="shared" ca="1" si="69"/>
        <v>0</v>
      </c>
      <c r="H315" s="296">
        <f t="shared" ca="1" si="70"/>
        <v>23.5</v>
      </c>
      <c r="I315" s="297">
        <f t="shared" ca="1" si="63"/>
        <v>-24</v>
      </c>
    </row>
    <row r="316" spans="1:9">
      <c r="A316" s="295">
        <f t="shared" si="64"/>
        <v>299</v>
      </c>
      <c r="B316" s="300">
        <f t="shared" si="66"/>
        <v>9072</v>
      </c>
      <c r="C316" s="296">
        <f t="shared" ca="1" si="65"/>
        <v>23.5</v>
      </c>
      <c r="D316" s="295"/>
      <c r="E316" s="296">
        <f t="shared" si="72"/>
        <v>0</v>
      </c>
      <c r="F316" s="296">
        <f t="shared" ca="1" si="68"/>
        <v>0</v>
      </c>
      <c r="G316" s="296">
        <f t="shared" ca="1" si="69"/>
        <v>0</v>
      </c>
      <c r="H316" s="296">
        <f t="shared" ca="1" si="70"/>
        <v>23.5</v>
      </c>
      <c r="I316" s="297">
        <f t="shared" ca="1" si="63"/>
        <v>-24</v>
      </c>
    </row>
    <row r="317" spans="1:9">
      <c r="A317" s="295">
        <f t="shared" si="64"/>
        <v>300</v>
      </c>
      <c r="B317" s="300">
        <f t="shared" si="66"/>
        <v>9102</v>
      </c>
      <c r="C317" s="296">
        <f t="shared" ca="1" si="65"/>
        <v>23.5</v>
      </c>
      <c r="D317" s="296">
        <f ca="1">IF(H317&lt;0,0,0.5*(K42-L42))</f>
        <v>-0.5</v>
      </c>
      <c r="E317" s="296">
        <f t="shared" ca="1" si="72"/>
        <v>-0.5</v>
      </c>
      <c r="F317" s="296">
        <f t="shared" ca="1" si="68"/>
        <v>-0.5</v>
      </c>
      <c r="G317" s="296">
        <f t="shared" ca="1" si="69"/>
        <v>0</v>
      </c>
      <c r="H317" s="296">
        <f t="shared" ca="1" si="70"/>
        <v>24</v>
      </c>
      <c r="I317" s="297">
        <f t="shared" ca="1" si="63"/>
        <v>-25</v>
      </c>
    </row>
    <row r="318" spans="1:9">
      <c r="A318" s="295">
        <f t="shared" si="64"/>
        <v>301</v>
      </c>
      <c r="B318" s="300">
        <f t="shared" si="66"/>
        <v>9133</v>
      </c>
      <c r="C318" s="296">
        <f t="shared" ca="1" si="65"/>
        <v>24</v>
      </c>
      <c r="D318" s="295"/>
      <c r="E318" s="296">
        <f>IF($D$10=1,IF(OR(MONTH(B318)=MONTH(EDATE($D$7,0)),MONTH(B318)=MONTH(EDATE($D$7,6))),(MIN($D$317,H317)),0),IF($D$10=0,IF(OR(MONTH(B318)=MONTH(EDATE($D$7,5)),MONTH(B318)=MONTH(EDATE($D$7,11))),(MIN($D$317,H317)),0)))</f>
        <v>0</v>
      </c>
      <c r="F318" s="296">
        <f t="shared" ca="1" si="68"/>
        <v>0</v>
      </c>
      <c r="G318" s="296">
        <f t="shared" ca="1" si="69"/>
        <v>0</v>
      </c>
      <c r="H318" s="296">
        <f t="shared" ca="1" si="70"/>
        <v>24</v>
      </c>
      <c r="I318" s="297">
        <f t="shared" ca="1" si="63"/>
        <v>-24</v>
      </c>
    </row>
    <row r="319" spans="1:9">
      <c r="A319" s="295">
        <f t="shared" si="64"/>
        <v>302</v>
      </c>
      <c r="B319" s="300">
        <f t="shared" si="66"/>
        <v>9164</v>
      </c>
      <c r="C319" s="296">
        <f t="shared" ca="1" si="65"/>
        <v>24</v>
      </c>
      <c r="D319" s="295"/>
      <c r="E319" s="296">
        <f t="shared" ref="E319:E329" si="73">IF($D$10=1,IF(OR(MONTH(B319)=MONTH(EDATE($D$7,0)),MONTH(B319)=MONTH(EDATE($D$7,6))),(MIN($D$317,H318)),0),IF($D$10=0,IF(OR(MONTH(B319)=MONTH(EDATE($D$7,5)),MONTH(B319)=MONTH(EDATE($D$7,11))),(MIN($D$317,H318)),0)))</f>
        <v>0</v>
      </c>
      <c r="F319" s="296">
        <f t="shared" ca="1" si="68"/>
        <v>0</v>
      </c>
      <c r="G319" s="296">
        <f t="shared" ca="1" si="69"/>
        <v>0</v>
      </c>
      <c r="H319" s="296">
        <f t="shared" ca="1" si="70"/>
        <v>24</v>
      </c>
      <c r="I319" s="297">
        <f t="shared" ca="1" si="63"/>
        <v>-24</v>
      </c>
    </row>
    <row r="320" spans="1:9">
      <c r="A320" s="295">
        <f t="shared" si="64"/>
        <v>303</v>
      </c>
      <c r="B320" s="300">
        <f t="shared" si="66"/>
        <v>9192</v>
      </c>
      <c r="C320" s="296">
        <f t="shared" ca="1" si="65"/>
        <v>24</v>
      </c>
      <c r="D320" s="295"/>
      <c r="E320" s="296">
        <f t="shared" si="73"/>
        <v>0</v>
      </c>
      <c r="F320" s="296">
        <f t="shared" ca="1" si="68"/>
        <v>0</v>
      </c>
      <c r="G320" s="296">
        <f t="shared" ca="1" si="69"/>
        <v>0</v>
      </c>
      <c r="H320" s="296">
        <f t="shared" ca="1" si="70"/>
        <v>24</v>
      </c>
      <c r="I320" s="297">
        <f t="shared" ca="1" si="63"/>
        <v>-24</v>
      </c>
    </row>
    <row r="321" spans="1:9">
      <c r="A321" s="295">
        <f t="shared" si="64"/>
        <v>304</v>
      </c>
      <c r="B321" s="300">
        <f t="shared" si="66"/>
        <v>9223</v>
      </c>
      <c r="C321" s="296">
        <f t="shared" ca="1" si="65"/>
        <v>24</v>
      </c>
      <c r="D321" s="295"/>
      <c r="E321" s="296">
        <f t="shared" si="73"/>
        <v>0</v>
      </c>
      <c r="F321" s="296">
        <f t="shared" ca="1" si="68"/>
        <v>0</v>
      </c>
      <c r="G321" s="296">
        <f t="shared" ca="1" si="69"/>
        <v>0</v>
      </c>
      <c r="H321" s="296">
        <f t="shared" ca="1" si="70"/>
        <v>24</v>
      </c>
      <c r="I321" s="297">
        <f t="shared" ca="1" si="63"/>
        <v>-24</v>
      </c>
    </row>
    <row r="322" spans="1:9">
      <c r="A322" s="295">
        <f t="shared" si="64"/>
        <v>305</v>
      </c>
      <c r="B322" s="300">
        <f t="shared" si="66"/>
        <v>9253</v>
      </c>
      <c r="C322" s="296">
        <f t="shared" ca="1" si="65"/>
        <v>24</v>
      </c>
      <c r="D322" s="295"/>
      <c r="E322" s="296">
        <f t="shared" si="73"/>
        <v>0</v>
      </c>
      <c r="F322" s="296">
        <f t="shared" ca="1" si="68"/>
        <v>0</v>
      </c>
      <c r="G322" s="296">
        <f t="shared" ca="1" si="69"/>
        <v>0</v>
      </c>
      <c r="H322" s="296">
        <f t="shared" ca="1" si="70"/>
        <v>24</v>
      </c>
      <c r="I322" s="297">
        <f t="shared" ca="1" si="63"/>
        <v>-24</v>
      </c>
    </row>
    <row r="323" spans="1:9">
      <c r="A323" s="295">
        <f t="shared" si="64"/>
        <v>306</v>
      </c>
      <c r="B323" s="300">
        <f t="shared" si="66"/>
        <v>9284</v>
      </c>
      <c r="C323" s="296">
        <f t="shared" ca="1" si="65"/>
        <v>24</v>
      </c>
      <c r="D323" s="295"/>
      <c r="E323" s="296">
        <f t="shared" ca="1" si="73"/>
        <v>-0.5</v>
      </c>
      <c r="F323" s="296">
        <f t="shared" ca="1" si="68"/>
        <v>-0.5</v>
      </c>
      <c r="G323" s="296">
        <f t="shared" ca="1" si="69"/>
        <v>0</v>
      </c>
      <c r="H323" s="296">
        <f t="shared" ca="1" si="70"/>
        <v>24.5</v>
      </c>
      <c r="I323" s="297">
        <f t="shared" ca="1" si="63"/>
        <v>-25</v>
      </c>
    </row>
    <row r="324" spans="1:9">
      <c r="A324" s="295">
        <f t="shared" si="64"/>
        <v>307</v>
      </c>
      <c r="B324" s="300">
        <f t="shared" si="66"/>
        <v>9314</v>
      </c>
      <c r="C324" s="296">
        <f t="shared" ca="1" si="65"/>
        <v>24.5</v>
      </c>
      <c r="D324" s="295"/>
      <c r="E324" s="296">
        <f t="shared" si="73"/>
        <v>0</v>
      </c>
      <c r="F324" s="296">
        <f t="shared" ca="1" si="68"/>
        <v>0</v>
      </c>
      <c r="G324" s="296">
        <f t="shared" ca="1" si="69"/>
        <v>0</v>
      </c>
      <c r="H324" s="296">
        <f t="shared" ca="1" si="70"/>
        <v>24.5</v>
      </c>
      <c r="I324" s="297">
        <f t="shared" ca="1" si="63"/>
        <v>-25</v>
      </c>
    </row>
    <row r="325" spans="1:9">
      <c r="A325" s="295">
        <f t="shared" si="64"/>
        <v>308</v>
      </c>
      <c r="B325" s="300">
        <f t="shared" si="66"/>
        <v>9345</v>
      </c>
      <c r="C325" s="296">
        <f t="shared" ca="1" si="65"/>
        <v>24.5</v>
      </c>
      <c r="D325" s="295"/>
      <c r="E325" s="296">
        <f t="shared" si="73"/>
        <v>0</v>
      </c>
      <c r="F325" s="296">
        <f t="shared" ca="1" si="68"/>
        <v>0</v>
      </c>
      <c r="G325" s="296">
        <f t="shared" ca="1" si="69"/>
        <v>0</v>
      </c>
      <c r="H325" s="296">
        <f t="shared" ca="1" si="70"/>
        <v>24.5</v>
      </c>
      <c r="I325" s="297">
        <f t="shared" ca="1" si="63"/>
        <v>-25</v>
      </c>
    </row>
    <row r="326" spans="1:9">
      <c r="A326" s="295">
        <f t="shared" si="64"/>
        <v>309</v>
      </c>
      <c r="B326" s="300">
        <f t="shared" si="66"/>
        <v>9376</v>
      </c>
      <c r="C326" s="296">
        <f t="shared" ca="1" si="65"/>
        <v>24.5</v>
      </c>
      <c r="D326" s="295"/>
      <c r="E326" s="296">
        <f t="shared" si="73"/>
        <v>0</v>
      </c>
      <c r="F326" s="296">
        <f t="shared" ca="1" si="68"/>
        <v>0</v>
      </c>
      <c r="G326" s="296">
        <f t="shared" ca="1" si="69"/>
        <v>0</v>
      </c>
      <c r="H326" s="296">
        <f t="shared" ca="1" si="70"/>
        <v>24.5</v>
      </c>
      <c r="I326" s="297">
        <f t="shared" ca="1" si="63"/>
        <v>-25</v>
      </c>
    </row>
    <row r="327" spans="1:9">
      <c r="A327" s="295">
        <f t="shared" si="64"/>
        <v>310</v>
      </c>
      <c r="B327" s="300">
        <f t="shared" si="66"/>
        <v>9406</v>
      </c>
      <c r="C327" s="296">
        <f t="shared" ca="1" si="65"/>
        <v>24.5</v>
      </c>
      <c r="D327" s="295"/>
      <c r="E327" s="296">
        <f t="shared" si="73"/>
        <v>0</v>
      </c>
      <c r="F327" s="296">
        <f t="shared" ca="1" si="68"/>
        <v>0</v>
      </c>
      <c r="G327" s="296">
        <f t="shared" ca="1" si="69"/>
        <v>0</v>
      </c>
      <c r="H327" s="296">
        <f t="shared" ca="1" si="70"/>
        <v>24.5</v>
      </c>
      <c r="I327" s="297">
        <f t="shared" ca="1" si="63"/>
        <v>-25</v>
      </c>
    </row>
    <row r="328" spans="1:9">
      <c r="A328" s="295">
        <f t="shared" si="64"/>
        <v>311</v>
      </c>
      <c r="B328" s="300">
        <f t="shared" si="66"/>
        <v>9437</v>
      </c>
      <c r="C328" s="296">
        <f t="shared" ca="1" si="65"/>
        <v>24.5</v>
      </c>
      <c r="D328" s="295"/>
      <c r="E328" s="296">
        <f t="shared" si="73"/>
        <v>0</v>
      </c>
      <c r="F328" s="296">
        <f t="shared" ca="1" si="68"/>
        <v>0</v>
      </c>
      <c r="G328" s="296">
        <f t="shared" ca="1" si="69"/>
        <v>0</v>
      </c>
      <c r="H328" s="296">
        <f t="shared" ca="1" si="70"/>
        <v>24.5</v>
      </c>
      <c r="I328" s="297">
        <f t="shared" ca="1" si="63"/>
        <v>-25</v>
      </c>
    </row>
    <row r="329" spans="1:9">
      <c r="A329" s="295">
        <f t="shared" si="64"/>
        <v>312</v>
      </c>
      <c r="B329" s="300">
        <f t="shared" si="66"/>
        <v>9467</v>
      </c>
      <c r="C329" s="296">
        <f t="shared" ca="1" si="65"/>
        <v>24.5</v>
      </c>
      <c r="D329" s="296">
        <f ca="1">IF(H329&lt;0,0,0.5*(K43-L43))</f>
        <v>-0.5</v>
      </c>
      <c r="E329" s="296">
        <f t="shared" ca="1" si="73"/>
        <v>-0.5</v>
      </c>
      <c r="F329" s="296">
        <f t="shared" ca="1" si="68"/>
        <v>-0.5</v>
      </c>
      <c r="G329" s="296">
        <f t="shared" ca="1" si="69"/>
        <v>0</v>
      </c>
      <c r="H329" s="296">
        <f t="shared" ca="1" si="70"/>
        <v>25</v>
      </c>
      <c r="I329" s="297">
        <f t="shared" ca="1" si="63"/>
        <v>-26</v>
      </c>
    </row>
    <row r="330" spans="1:9">
      <c r="A330" s="295">
        <f t="shared" si="64"/>
        <v>313</v>
      </c>
      <c r="B330" s="300">
        <f t="shared" si="66"/>
        <v>9498</v>
      </c>
      <c r="C330" s="296">
        <f t="shared" ca="1" si="65"/>
        <v>25</v>
      </c>
      <c r="D330" s="295"/>
      <c r="E330" s="296">
        <f>IF($D$10=1,IF(OR(MONTH(B330)=MONTH(EDATE($D$7,0)),MONTH(B330)=MONTH(EDATE($D$7,6))),(MIN($D$329,H329)),0),IF($D$10=0,IF(OR(MONTH(B330)=MONTH(EDATE($D$7,5)),MONTH(B330)=MONTH(EDATE($D$7,11))),(MIN($D$329,H329)),0)))</f>
        <v>0</v>
      </c>
      <c r="F330" s="296">
        <f t="shared" ca="1" si="68"/>
        <v>0</v>
      </c>
      <c r="G330" s="296">
        <f t="shared" ca="1" si="69"/>
        <v>0</v>
      </c>
      <c r="H330" s="296">
        <f t="shared" ca="1" si="70"/>
        <v>25</v>
      </c>
      <c r="I330" s="297">
        <f t="shared" ca="1" si="63"/>
        <v>-25</v>
      </c>
    </row>
    <row r="331" spans="1:9">
      <c r="A331" s="295">
        <f t="shared" si="64"/>
        <v>314</v>
      </c>
      <c r="B331" s="300">
        <f t="shared" si="66"/>
        <v>9529</v>
      </c>
      <c r="C331" s="296">
        <f t="shared" ca="1" si="65"/>
        <v>25</v>
      </c>
      <c r="D331" s="295"/>
      <c r="E331" s="296">
        <f t="shared" ref="E331:E341" si="74">IF($D$10=1,IF(OR(MONTH(B331)=MONTH(EDATE($D$7,0)),MONTH(B331)=MONTH(EDATE($D$7,6))),(MIN($D$329,H330)),0),IF($D$10=0,IF(OR(MONTH(B331)=MONTH(EDATE($D$7,5)),MONTH(B331)=MONTH(EDATE($D$7,11))),(MIN($D$329,H330)),0)))</f>
        <v>0</v>
      </c>
      <c r="F331" s="296">
        <f t="shared" ca="1" si="68"/>
        <v>0</v>
      </c>
      <c r="G331" s="296">
        <f t="shared" ca="1" si="69"/>
        <v>0</v>
      </c>
      <c r="H331" s="296">
        <f t="shared" ca="1" si="70"/>
        <v>25</v>
      </c>
      <c r="I331" s="297">
        <f t="shared" ca="1" si="63"/>
        <v>-25</v>
      </c>
    </row>
    <row r="332" spans="1:9">
      <c r="A332" s="295">
        <f t="shared" si="64"/>
        <v>315</v>
      </c>
      <c r="B332" s="300">
        <f t="shared" si="66"/>
        <v>9557</v>
      </c>
      <c r="C332" s="296">
        <f t="shared" ca="1" si="65"/>
        <v>25</v>
      </c>
      <c r="D332" s="295"/>
      <c r="E332" s="296">
        <f t="shared" si="74"/>
        <v>0</v>
      </c>
      <c r="F332" s="296">
        <f t="shared" ca="1" si="68"/>
        <v>0</v>
      </c>
      <c r="G332" s="296">
        <f t="shared" ca="1" si="69"/>
        <v>0</v>
      </c>
      <c r="H332" s="296">
        <f t="shared" ca="1" si="70"/>
        <v>25</v>
      </c>
      <c r="I332" s="297">
        <f t="shared" ca="1" si="63"/>
        <v>-25</v>
      </c>
    </row>
    <row r="333" spans="1:9">
      <c r="A333" s="295">
        <f t="shared" si="64"/>
        <v>316</v>
      </c>
      <c r="B333" s="300">
        <f t="shared" si="66"/>
        <v>9588</v>
      </c>
      <c r="C333" s="296">
        <f t="shared" ca="1" si="65"/>
        <v>25</v>
      </c>
      <c r="D333" s="295"/>
      <c r="E333" s="296">
        <f t="shared" si="74"/>
        <v>0</v>
      </c>
      <c r="F333" s="296">
        <f t="shared" ca="1" si="68"/>
        <v>0</v>
      </c>
      <c r="G333" s="296">
        <f t="shared" ca="1" si="69"/>
        <v>0</v>
      </c>
      <c r="H333" s="296">
        <f t="shared" ca="1" si="70"/>
        <v>25</v>
      </c>
      <c r="I333" s="297">
        <f t="shared" ca="1" si="63"/>
        <v>-25</v>
      </c>
    </row>
    <row r="334" spans="1:9">
      <c r="A334" s="295">
        <f t="shared" si="64"/>
        <v>317</v>
      </c>
      <c r="B334" s="300">
        <f t="shared" si="66"/>
        <v>9618</v>
      </c>
      <c r="C334" s="296">
        <f t="shared" ca="1" si="65"/>
        <v>25</v>
      </c>
      <c r="D334" s="295"/>
      <c r="E334" s="296">
        <f t="shared" si="74"/>
        <v>0</v>
      </c>
      <c r="F334" s="296">
        <f t="shared" ca="1" si="68"/>
        <v>0</v>
      </c>
      <c r="G334" s="296">
        <f t="shared" ca="1" si="69"/>
        <v>0</v>
      </c>
      <c r="H334" s="296">
        <f t="shared" ca="1" si="70"/>
        <v>25</v>
      </c>
      <c r="I334" s="297">
        <f t="shared" ca="1" si="63"/>
        <v>-25</v>
      </c>
    </row>
    <row r="335" spans="1:9">
      <c r="A335" s="295">
        <f t="shared" si="64"/>
        <v>318</v>
      </c>
      <c r="B335" s="300">
        <f t="shared" si="66"/>
        <v>9649</v>
      </c>
      <c r="C335" s="296">
        <f t="shared" ca="1" si="65"/>
        <v>25</v>
      </c>
      <c r="D335" s="295"/>
      <c r="E335" s="296">
        <f t="shared" ca="1" si="74"/>
        <v>-0.5</v>
      </c>
      <c r="F335" s="296">
        <f t="shared" ca="1" si="68"/>
        <v>-0.5</v>
      </c>
      <c r="G335" s="296">
        <f t="shared" ca="1" si="69"/>
        <v>0</v>
      </c>
      <c r="H335" s="296">
        <f t="shared" ca="1" si="70"/>
        <v>25.5</v>
      </c>
      <c r="I335" s="297">
        <f t="shared" ca="1" si="63"/>
        <v>-26</v>
      </c>
    </row>
    <row r="336" spans="1:9">
      <c r="A336" s="295">
        <f t="shared" si="64"/>
        <v>319</v>
      </c>
      <c r="B336" s="300">
        <f t="shared" si="66"/>
        <v>9679</v>
      </c>
      <c r="C336" s="296">
        <f t="shared" ca="1" si="65"/>
        <v>25.5</v>
      </c>
      <c r="D336" s="295"/>
      <c r="E336" s="296">
        <f t="shared" si="74"/>
        <v>0</v>
      </c>
      <c r="F336" s="296">
        <f t="shared" ca="1" si="68"/>
        <v>0</v>
      </c>
      <c r="G336" s="296">
        <f t="shared" ca="1" si="69"/>
        <v>0</v>
      </c>
      <c r="H336" s="296">
        <f t="shared" ca="1" si="70"/>
        <v>25.5</v>
      </c>
      <c r="I336" s="297">
        <f t="shared" ca="1" si="63"/>
        <v>-26</v>
      </c>
    </row>
    <row r="337" spans="1:9">
      <c r="A337" s="295">
        <f t="shared" si="64"/>
        <v>320</v>
      </c>
      <c r="B337" s="300">
        <f t="shared" si="66"/>
        <v>9710</v>
      </c>
      <c r="C337" s="296">
        <f t="shared" ca="1" si="65"/>
        <v>25.5</v>
      </c>
      <c r="D337" s="295"/>
      <c r="E337" s="296">
        <f t="shared" si="74"/>
        <v>0</v>
      </c>
      <c r="F337" s="296">
        <f t="shared" ca="1" si="68"/>
        <v>0</v>
      </c>
      <c r="G337" s="296">
        <f t="shared" ca="1" si="69"/>
        <v>0</v>
      </c>
      <c r="H337" s="296">
        <f t="shared" ca="1" si="70"/>
        <v>25.5</v>
      </c>
      <c r="I337" s="297">
        <f t="shared" ca="1" si="63"/>
        <v>-26</v>
      </c>
    </row>
    <row r="338" spans="1:9">
      <c r="A338" s="295">
        <f t="shared" si="64"/>
        <v>321</v>
      </c>
      <c r="B338" s="300">
        <f t="shared" si="66"/>
        <v>9741</v>
      </c>
      <c r="C338" s="296">
        <f t="shared" ca="1" si="65"/>
        <v>25.5</v>
      </c>
      <c r="D338" s="295"/>
      <c r="E338" s="296">
        <f t="shared" si="74"/>
        <v>0</v>
      </c>
      <c r="F338" s="296">
        <f t="shared" ca="1" si="68"/>
        <v>0</v>
      </c>
      <c r="G338" s="296">
        <f t="shared" ca="1" si="69"/>
        <v>0</v>
      </c>
      <c r="H338" s="296">
        <f t="shared" ca="1" si="70"/>
        <v>25.5</v>
      </c>
      <c r="I338" s="297">
        <f t="shared" ref="I338:I401" ca="1" si="75">ROUND((D338-H338),0)</f>
        <v>-26</v>
      </c>
    </row>
    <row r="339" spans="1:9">
      <c r="A339" s="295">
        <f t="shared" ref="A339:A402" si="76">IF(A338="","",IF(A338=$D$6,"",A338+1))</f>
        <v>322</v>
      </c>
      <c r="B339" s="300">
        <f t="shared" si="66"/>
        <v>9771</v>
      </c>
      <c r="C339" s="296">
        <f t="shared" ref="C339:C402" ca="1" si="77">IF(H338=0,0,H338)</f>
        <v>25.5</v>
      </c>
      <c r="D339" s="295"/>
      <c r="E339" s="296">
        <f t="shared" si="74"/>
        <v>0</v>
      </c>
      <c r="F339" s="296">
        <f t="shared" ca="1" si="68"/>
        <v>0</v>
      </c>
      <c r="G339" s="296">
        <f t="shared" ca="1" si="69"/>
        <v>0</v>
      </c>
      <c r="H339" s="296">
        <f t="shared" ca="1" si="70"/>
        <v>25.5</v>
      </c>
      <c r="I339" s="297">
        <f t="shared" ca="1" si="75"/>
        <v>-26</v>
      </c>
    </row>
    <row r="340" spans="1:9">
      <c r="A340" s="295">
        <f t="shared" si="76"/>
        <v>323</v>
      </c>
      <c r="B340" s="300">
        <f t="shared" ref="B340:B403" si="78">DATE(YEAR(B339),MONTH(B339)+1,1)</f>
        <v>9802</v>
      </c>
      <c r="C340" s="296">
        <f t="shared" ca="1" si="77"/>
        <v>25.5</v>
      </c>
      <c r="D340" s="295"/>
      <c r="E340" s="296">
        <f t="shared" si="74"/>
        <v>0</v>
      </c>
      <c r="F340" s="296">
        <f t="shared" ca="1" si="68"/>
        <v>0</v>
      </c>
      <c r="G340" s="296">
        <f t="shared" ca="1" si="69"/>
        <v>0</v>
      </c>
      <c r="H340" s="296">
        <f t="shared" ca="1" si="70"/>
        <v>25.5</v>
      </c>
      <c r="I340" s="297">
        <f t="shared" ca="1" si="75"/>
        <v>-26</v>
      </c>
    </row>
    <row r="341" spans="1:9">
      <c r="A341" s="295">
        <f t="shared" si="76"/>
        <v>324</v>
      </c>
      <c r="B341" s="300">
        <f t="shared" si="78"/>
        <v>9832</v>
      </c>
      <c r="C341" s="296">
        <f t="shared" ca="1" si="77"/>
        <v>25.5</v>
      </c>
      <c r="D341" s="296">
        <f ca="1">IF(H341&lt;0,0,0.5*(K44-L44))</f>
        <v>-0.5</v>
      </c>
      <c r="E341" s="296">
        <f t="shared" ca="1" si="74"/>
        <v>-0.5</v>
      </c>
      <c r="F341" s="296">
        <f t="shared" ca="1" si="68"/>
        <v>-0.5</v>
      </c>
      <c r="G341" s="296">
        <f t="shared" ca="1" si="69"/>
        <v>0</v>
      </c>
      <c r="H341" s="296">
        <f t="shared" ca="1" si="70"/>
        <v>26</v>
      </c>
      <c r="I341" s="297">
        <f t="shared" ca="1" si="75"/>
        <v>-27</v>
      </c>
    </row>
    <row r="342" spans="1:9">
      <c r="A342" s="295">
        <f t="shared" si="76"/>
        <v>325</v>
      </c>
      <c r="B342" s="300">
        <f t="shared" si="78"/>
        <v>9863</v>
      </c>
      <c r="C342" s="296">
        <f t="shared" ca="1" si="77"/>
        <v>26</v>
      </c>
      <c r="D342" s="295"/>
      <c r="E342" s="296">
        <f>IF($D$10=1,IF(OR(MONTH(B342)=MONTH(EDATE($D$7,0)),MONTH(B342)=MONTH(EDATE($D$7,6))),(MIN($D$341,H341)),0),IF($D$10=0,IF(OR(MONTH(B342)=MONTH(EDATE($D$7,5)),MONTH(B342)=MONTH(EDATE($D$7,11))),(MIN($D$341,H341)),0)))</f>
        <v>0</v>
      </c>
      <c r="F342" s="296">
        <f t="shared" ca="1" si="68"/>
        <v>0</v>
      </c>
      <c r="G342" s="296">
        <f t="shared" ca="1" si="69"/>
        <v>0</v>
      </c>
      <c r="H342" s="296">
        <f t="shared" ca="1" si="70"/>
        <v>26</v>
      </c>
      <c r="I342" s="297">
        <f t="shared" ca="1" si="75"/>
        <v>-26</v>
      </c>
    </row>
    <row r="343" spans="1:9">
      <c r="A343" s="295">
        <f t="shared" si="76"/>
        <v>326</v>
      </c>
      <c r="B343" s="300">
        <f t="shared" si="78"/>
        <v>9894</v>
      </c>
      <c r="C343" s="296">
        <f t="shared" ca="1" si="77"/>
        <v>26</v>
      </c>
      <c r="D343" s="295"/>
      <c r="E343" s="296">
        <f t="shared" ref="E343:E353" si="79">IF($D$10=1,IF(OR(MONTH(B343)=MONTH(EDATE($D$7,0)),MONTH(B343)=MONTH(EDATE($D$7,6))),(MIN($D$341,H342)),0),IF($D$10=0,IF(OR(MONTH(B343)=MONTH(EDATE($D$7,5)),MONTH(B343)=MONTH(EDATE($D$7,11))),(MIN($D$341,H342)),0)))</f>
        <v>0</v>
      </c>
      <c r="F343" s="296">
        <f t="shared" ca="1" si="68"/>
        <v>0</v>
      </c>
      <c r="G343" s="296">
        <f t="shared" ca="1" si="69"/>
        <v>0</v>
      </c>
      <c r="H343" s="296">
        <f t="shared" ca="1" si="70"/>
        <v>26</v>
      </c>
      <c r="I343" s="297">
        <f t="shared" ca="1" si="75"/>
        <v>-26</v>
      </c>
    </row>
    <row r="344" spans="1:9">
      <c r="A344" s="295">
        <f t="shared" si="76"/>
        <v>327</v>
      </c>
      <c r="B344" s="300">
        <f t="shared" si="78"/>
        <v>9922</v>
      </c>
      <c r="C344" s="296">
        <f t="shared" ca="1" si="77"/>
        <v>26</v>
      </c>
      <c r="D344" s="295"/>
      <c r="E344" s="296">
        <f t="shared" si="79"/>
        <v>0</v>
      </c>
      <c r="F344" s="296">
        <f t="shared" ca="1" si="68"/>
        <v>0</v>
      </c>
      <c r="G344" s="296">
        <f t="shared" ca="1" si="69"/>
        <v>0</v>
      </c>
      <c r="H344" s="296">
        <f t="shared" ca="1" si="70"/>
        <v>26</v>
      </c>
      <c r="I344" s="297">
        <f t="shared" ca="1" si="75"/>
        <v>-26</v>
      </c>
    </row>
    <row r="345" spans="1:9">
      <c r="A345" s="295">
        <f t="shared" si="76"/>
        <v>328</v>
      </c>
      <c r="B345" s="300">
        <f t="shared" si="78"/>
        <v>9953</v>
      </c>
      <c r="C345" s="296">
        <f t="shared" ca="1" si="77"/>
        <v>26</v>
      </c>
      <c r="D345" s="295"/>
      <c r="E345" s="296">
        <f t="shared" si="79"/>
        <v>0</v>
      </c>
      <c r="F345" s="296">
        <f t="shared" ca="1" si="68"/>
        <v>0</v>
      </c>
      <c r="G345" s="296">
        <f t="shared" ca="1" si="69"/>
        <v>0</v>
      </c>
      <c r="H345" s="296">
        <f t="shared" ca="1" si="70"/>
        <v>26</v>
      </c>
      <c r="I345" s="297">
        <f t="shared" ca="1" si="75"/>
        <v>-26</v>
      </c>
    </row>
    <row r="346" spans="1:9">
      <c r="A346" s="295">
        <f t="shared" si="76"/>
        <v>329</v>
      </c>
      <c r="B346" s="300">
        <f t="shared" si="78"/>
        <v>9983</v>
      </c>
      <c r="C346" s="296">
        <f t="shared" ca="1" si="77"/>
        <v>26</v>
      </c>
      <c r="D346" s="295"/>
      <c r="E346" s="296">
        <f t="shared" si="79"/>
        <v>0</v>
      </c>
      <c r="F346" s="296">
        <f t="shared" ca="1" si="68"/>
        <v>0</v>
      </c>
      <c r="G346" s="296">
        <f t="shared" ca="1" si="69"/>
        <v>0</v>
      </c>
      <c r="H346" s="296">
        <f t="shared" ca="1" si="70"/>
        <v>26</v>
      </c>
      <c r="I346" s="297">
        <f t="shared" ca="1" si="75"/>
        <v>-26</v>
      </c>
    </row>
    <row r="347" spans="1:9">
      <c r="A347" s="295">
        <f t="shared" si="76"/>
        <v>330</v>
      </c>
      <c r="B347" s="300">
        <f t="shared" si="78"/>
        <v>10014</v>
      </c>
      <c r="C347" s="296">
        <f t="shared" ca="1" si="77"/>
        <v>26</v>
      </c>
      <c r="D347" s="295"/>
      <c r="E347" s="296">
        <f t="shared" ca="1" si="79"/>
        <v>-0.5</v>
      </c>
      <c r="F347" s="296">
        <f t="shared" ca="1" si="68"/>
        <v>-0.5</v>
      </c>
      <c r="G347" s="296">
        <f t="shared" ca="1" si="69"/>
        <v>0</v>
      </c>
      <c r="H347" s="296">
        <f t="shared" ca="1" si="70"/>
        <v>26.5</v>
      </c>
      <c r="I347" s="297">
        <f t="shared" ca="1" si="75"/>
        <v>-27</v>
      </c>
    </row>
    <row r="348" spans="1:9">
      <c r="A348" s="295">
        <f t="shared" si="76"/>
        <v>331</v>
      </c>
      <c r="B348" s="300">
        <f t="shared" si="78"/>
        <v>10044</v>
      </c>
      <c r="C348" s="296">
        <f t="shared" ca="1" si="77"/>
        <v>26.5</v>
      </c>
      <c r="D348" s="295"/>
      <c r="E348" s="296">
        <f t="shared" si="79"/>
        <v>0</v>
      </c>
      <c r="F348" s="296">
        <f t="shared" ca="1" si="68"/>
        <v>0</v>
      </c>
      <c r="G348" s="296">
        <f t="shared" ca="1" si="69"/>
        <v>0</v>
      </c>
      <c r="H348" s="296">
        <f t="shared" ca="1" si="70"/>
        <v>26.5</v>
      </c>
      <c r="I348" s="297">
        <f t="shared" ca="1" si="75"/>
        <v>-27</v>
      </c>
    </row>
    <row r="349" spans="1:9">
      <c r="A349" s="295">
        <f t="shared" si="76"/>
        <v>332</v>
      </c>
      <c r="B349" s="300">
        <f t="shared" si="78"/>
        <v>10075</v>
      </c>
      <c r="C349" s="296">
        <f t="shared" ca="1" si="77"/>
        <v>26.5</v>
      </c>
      <c r="D349" s="295"/>
      <c r="E349" s="296">
        <f t="shared" si="79"/>
        <v>0</v>
      </c>
      <c r="F349" s="296">
        <f t="shared" ca="1" si="68"/>
        <v>0</v>
      </c>
      <c r="G349" s="296">
        <f t="shared" ca="1" si="69"/>
        <v>0</v>
      </c>
      <c r="H349" s="296">
        <f t="shared" ca="1" si="70"/>
        <v>26.5</v>
      </c>
      <c r="I349" s="297">
        <f t="shared" ca="1" si="75"/>
        <v>-27</v>
      </c>
    </row>
    <row r="350" spans="1:9">
      <c r="A350" s="295">
        <f t="shared" si="76"/>
        <v>333</v>
      </c>
      <c r="B350" s="300">
        <f t="shared" si="78"/>
        <v>10106</v>
      </c>
      <c r="C350" s="296">
        <f t="shared" ca="1" si="77"/>
        <v>26.5</v>
      </c>
      <c r="D350" s="295"/>
      <c r="E350" s="296">
        <f t="shared" si="79"/>
        <v>0</v>
      </c>
      <c r="F350" s="296">
        <f t="shared" ref="F350:F413" ca="1" si="80">IF(E350="","",E350-G350)</f>
        <v>0</v>
      </c>
      <c r="G350" s="296">
        <f t="shared" ref="G350:G413" ca="1" si="81">ROUND((C350-E350)*$D$5,3)</f>
        <v>0</v>
      </c>
      <c r="H350" s="296">
        <f t="shared" ref="H350:H413" ca="1" si="82">IF(E350="","",ROUND(H349-F350,4))</f>
        <v>26.5</v>
      </c>
      <c r="I350" s="297">
        <f t="shared" ca="1" si="75"/>
        <v>-27</v>
      </c>
    </row>
    <row r="351" spans="1:9">
      <c r="A351" s="295">
        <f t="shared" si="76"/>
        <v>334</v>
      </c>
      <c r="B351" s="300">
        <f t="shared" si="78"/>
        <v>10136</v>
      </c>
      <c r="C351" s="296">
        <f t="shared" ca="1" si="77"/>
        <v>26.5</v>
      </c>
      <c r="D351" s="295"/>
      <c r="E351" s="296">
        <f t="shared" si="79"/>
        <v>0</v>
      </c>
      <c r="F351" s="296">
        <f t="shared" ca="1" si="80"/>
        <v>0</v>
      </c>
      <c r="G351" s="296">
        <f t="shared" ca="1" si="81"/>
        <v>0</v>
      </c>
      <c r="H351" s="296">
        <f t="shared" ca="1" si="82"/>
        <v>26.5</v>
      </c>
      <c r="I351" s="297">
        <f t="shared" ca="1" si="75"/>
        <v>-27</v>
      </c>
    </row>
    <row r="352" spans="1:9">
      <c r="A352" s="295">
        <f t="shared" si="76"/>
        <v>335</v>
      </c>
      <c r="B352" s="300">
        <f t="shared" si="78"/>
        <v>10167</v>
      </c>
      <c r="C352" s="296">
        <f t="shared" ca="1" si="77"/>
        <v>26.5</v>
      </c>
      <c r="D352" s="295"/>
      <c r="E352" s="296">
        <f t="shared" si="79"/>
        <v>0</v>
      </c>
      <c r="F352" s="296">
        <f t="shared" ca="1" si="80"/>
        <v>0</v>
      </c>
      <c r="G352" s="296">
        <f t="shared" ca="1" si="81"/>
        <v>0</v>
      </c>
      <c r="H352" s="296">
        <f t="shared" ca="1" si="82"/>
        <v>26.5</v>
      </c>
      <c r="I352" s="297">
        <f t="shared" ca="1" si="75"/>
        <v>-27</v>
      </c>
    </row>
    <row r="353" spans="1:9">
      <c r="A353" s="295">
        <f t="shared" si="76"/>
        <v>336</v>
      </c>
      <c r="B353" s="300">
        <f t="shared" si="78"/>
        <v>10197</v>
      </c>
      <c r="C353" s="296">
        <f t="shared" ca="1" si="77"/>
        <v>26.5</v>
      </c>
      <c r="D353" s="296">
        <f ca="1">IF(H353&lt;0,0,0.5*(K45-L45))</f>
        <v>-0.5</v>
      </c>
      <c r="E353" s="296">
        <f t="shared" ca="1" si="79"/>
        <v>-0.5</v>
      </c>
      <c r="F353" s="296">
        <f t="shared" ca="1" si="80"/>
        <v>-0.5</v>
      </c>
      <c r="G353" s="296">
        <f t="shared" ca="1" si="81"/>
        <v>0</v>
      </c>
      <c r="H353" s="296">
        <f t="shared" ca="1" si="82"/>
        <v>27</v>
      </c>
      <c r="I353" s="297">
        <f t="shared" ca="1" si="75"/>
        <v>-28</v>
      </c>
    </row>
    <row r="354" spans="1:9">
      <c r="A354" s="295">
        <f t="shared" si="76"/>
        <v>337</v>
      </c>
      <c r="B354" s="300">
        <f t="shared" si="78"/>
        <v>10228</v>
      </c>
      <c r="C354" s="296">
        <f t="shared" ca="1" si="77"/>
        <v>27</v>
      </c>
      <c r="D354" s="295"/>
      <c r="E354" s="296">
        <f>IF($D$10=1,IF(OR(MONTH(B354)=MONTH(EDATE($D$7,0)),MONTH(B354)=MONTH(EDATE($D$7,6))),(MIN($D$353,H353)),0),IF($D$10=0,IF(OR(MONTH(B354)=MONTH(EDATE($D$7,5)),MONTH(B354)=MONTH(EDATE($D$7,11))),(MIN($D$353,H353)),0)))</f>
        <v>0</v>
      </c>
      <c r="F354" s="296">
        <f t="shared" ca="1" si="80"/>
        <v>0</v>
      </c>
      <c r="G354" s="296">
        <f t="shared" ca="1" si="81"/>
        <v>0</v>
      </c>
      <c r="H354" s="296">
        <f t="shared" ca="1" si="82"/>
        <v>27</v>
      </c>
      <c r="I354" s="297">
        <f t="shared" ca="1" si="75"/>
        <v>-27</v>
      </c>
    </row>
    <row r="355" spans="1:9">
      <c r="A355" s="295">
        <f t="shared" si="76"/>
        <v>338</v>
      </c>
      <c r="B355" s="300">
        <f t="shared" si="78"/>
        <v>10259</v>
      </c>
      <c r="C355" s="296">
        <f t="shared" ca="1" si="77"/>
        <v>27</v>
      </c>
      <c r="D355" s="295"/>
      <c r="E355" s="296">
        <f t="shared" ref="E355:E365" si="83">IF($D$10=1,IF(OR(MONTH(B355)=MONTH(EDATE($D$7,0)),MONTH(B355)=MONTH(EDATE($D$7,6))),(MIN($D$353,H354)),0),IF($D$10=0,IF(OR(MONTH(B355)=MONTH(EDATE($D$7,5)),MONTH(B355)=MONTH(EDATE($D$7,11))),(MIN($D$353,H354)),0)))</f>
        <v>0</v>
      </c>
      <c r="F355" s="296">
        <f t="shared" ca="1" si="80"/>
        <v>0</v>
      </c>
      <c r="G355" s="296">
        <f t="shared" ca="1" si="81"/>
        <v>0</v>
      </c>
      <c r="H355" s="296">
        <f t="shared" ca="1" si="82"/>
        <v>27</v>
      </c>
      <c r="I355" s="297">
        <f t="shared" ca="1" si="75"/>
        <v>-27</v>
      </c>
    </row>
    <row r="356" spans="1:9">
      <c r="A356" s="295">
        <f t="shared" si="76"/>
        <v>339</v>
      </c>
      <c r="B356" s="300">
        <f t="shared" si="78"/>
        <v>10288</v>
      </c>
      <c r="C356" s="296">
        <f t="shared" ca="1" si="77"/>
        <v>27</v>
      </c>
      <c r="D356" s="295"/>
      <c r="E356" s="296">
        <f t="shared" si="83"/>
        <v>0</v>
      </c>
      <c r="F356" s="296">
        <f t="shared" ca="1" si="80"/>
        <v>0</v>
      </c>
      <c r="G356" s="296">
        <f t="shared" ca="1" si="81"/>
        <v>0</v>
      </c>
      <c r="H356" s="296">
        <f t="shared" ca="1" si="82"/>
        <v>27</v>
      </c>
      <c r="I356" s="297">
        <f t="shared" ca="1" si="75"/>
        <v>-27</v>
      </c>
    </row>
    <row r="357" spans="1:9">
      <c r="A357" s="295">
        <f t="shared" si="76"/>
        <v>340</v>
      </c>
      <c r="B357" s="300">
        <f t="shared" si="78"/>
        <v>10319</v>
      </c>
      <c r="C357" s="296">
        <f t="shared" ca="1" si="77"/>
        <v>27</v>
      </c>
      <c r="D357" s="295"/>
      <c r="E357" s="296">
        <f t="shared" si="83"/>
        <v>0</v>
      </c>
      <c r="F357" s="296">
        <f t="shared" ca="1" si="80"/>
        <v>0</v>
      </c>
      <c r="G357" s="296">
        <f t="shared" ca="1" si="81"/>
        <v>0</v>
      </c>
      <c r="H357" s="296">
        <f t="shared" ca="1" si="82"/>
        <v>27</v>
      </c>
      <c r="I357" s="297">
        <f t="shared" ca="1" si="75"/>
        <v>-27</v>
      </c>
    </row>
    <row r="358" spans="1:9">
      <c r="A358" s="295">
        <f t="shared" si="76"/>
        <v>341</v>
      </c>
      <c r="B358" s="300">
        <f t="shared" si="78"/>
        <v>10349</v>
      </c>
      <c r="C358" s="296">
        <f t="shared" ca="1" si="77"/>
        <v>27</v>
      </c>
      <c r="D358" s="295"/>
      <c r="E358" s="296">
        <f t="shared" si="83"/>
        <v>0</v>
      </c>
      <c r="F358" s="296">
        <f t="shared" ca="1" si="80"/>
        <v>0</v>
      </c>
      <c r="G358" s="296">
        <f t="shared" ca="1" si="81"/>
        <v>0</v>
      </c>
      <c r="H358" s="296">
        <f t="shared" ca="1" si="82"/>
        <v>27</v>
      </c>
      <c r="I358" s="297">
        <f t="shared" ca="1" si="75"/>
        <v>-27</v>
      </c>
    </row>
    <row r="359" spans="1:9">
      <c r="A359" s="295">
        <f t="shared" si="76"/>
        <v>342</v>
      </c>
      <c r="B359" s="300">
        <f t="shared" si="78"/>
        <v>10380</v>
      </c>
      <c r="C359" s="296">
        <f t="shared" ca="1" si="77"/>
        <v>27</v>
      </c>
      <c r="D359" s="295"/>
      <c r="E359" s="296">
        <f t="shared" ca="1" si="83"/>
        <v>-0.5</v>
      </c>
      <c r="F359" s="296">
        <f t="shared" ca="1" si="80"/>
        <v>-0.5</v>
      </c>
      <c r="G359" s="296">
        <f t="shared" ca="1" si="81"/>
        <v>0</v>
      </c>
      <c r="H359" s="296">
        <f t="shared" ca="1" si="82"/>
        <v>27.5</v>
      </c>
      <c r="I359" s="297">
        <f t="shared" ca="1" si="75"/>
        <v>-28</v>
      </c>
    </row>
    <row r="360" spans="1:9">
      <c r="A360" s="295">
        <f t="shared" si="76"/>
        <v>343</v>
      </c>
      <c r="B360" s="300">
        <f t="shared" si="78"/>
        <v>10410</v>
      </c>
      <c r="C360" s="296">
        <f t="shared" ca="1" si="77"/>
        <v>27.5</v>
      </c>
      <c r="D360" s="295"/>
      <c r="E360" s="296">
        <f t="shared" si="83"/>
        <v>0</v>
      </c>
      <c r="F360" s="296">
        <f t="shared" ca="1" si="80"/>
        <v>0</v>
      </c>
      <c r="G360" s="296">
        <f t="shared" ca="1" si="81"/>
        <v>0</v>
      </c>
      <c r="H360" s="296">
        <f t="shared" ca="1" si="82"/>
        <v>27.5</v>
      </c>
      <c r="I360" s="297">
        <f t="shared" ca="1" si="75"/>
        <v>-28</v>
      </c>
    </row>
    <row r="361" spans="1:9">
      <c r="A361" s="295">
        <f t="shared" si="76"/>
        <v>344</v>
      </c>
      <c r="B361" s="300">
        <f t="shared" si="78"/>
        <v>10441</v>
      </c>
      <c r="C361" s="296">
        <f t="shared" ca="1" si="77"/>
        <v>27.5</v>
      </c>
      <c r="D361" s="295"/>
      <c r="E361" s="296">
        <f t="shared" si="83"/>
        <v>0</v>
      </c>
      <c r="F361" s="296">
        <f t="shared" ca="1" si="80"/>
        <v>0</v>
      </c>
      <c r="G361" s="296">
        <f t="shared" ca="1" si="81"/>
        <v>0</v>
      </c>
      <c r="H361" s="296">
        <f t="shared" ca="1" si="82"/>
        <v>27.5</v>
      </c>
      <c r="I361" s="297">
        <f t="shared" ca="1" si="75"/>
        <v>-28</v>
      </c>
    </row>
    <row r="362" spans="1:9">
      <c r="A362" s="295">
        <f t="shared" si="76"/>
        <v>345</v>
      </c>
      <c r="B362" s="300">
        <f t="shared" si="78"/>
        <v>10472</v>
      </c>
      <c r="C362" s="296">
        <f t="shared" ca="1" si="77"/>
        <v>27.5</v>
      </c>
      <c r="D362" s="295"/>
      <c r="E362" s="296">
        <f t="shared" si="83"/>
        <v>0</v>
      </c>
      <c r="F362" s="296">
        <f t="shared" ca="1" si="80"/>
        <v>0</v>
      </c>
      <c r="G362" s="296">
        <f t="shared" ca="1" si="81"/>
        <v>0</v>
      </c>
      <c r="H362" s="296">
        <f t="shared" ca="1" si="82"/>
        <v>27.5</v>
      </c>
      <c r="I362" s="297">
        <f t="shared" ca="1" si="75"/>
        <v>-28</v>
      </c>
    </row>
    <row r="363" spans="1:9">
      <c r="A363" s="295">
        <f t="shared" si="76"/>
        <v>346</v>
      </c>
      <c r="B363" s="300">
        <f t="shared" si="78"/>
        <v>10502</v>
      </c>
      <c r="C363" s="296">
        <f t="shared" ca="1" si="77"/>
        <v>27.5</v>
      </c>
      <c r="D363" s="295"/>
      <c r="E363" s="296">
        <f t="shared" si="83"/>
        <v>0</v>
      </c>
      <c r="F363" s="296">
        <f t="shared" ca="1" si="80"/>
        <v>0</v>
      </c>
      <c r="G363" s="296">
        <f t="shared" ca="1" si="81"/>
        <v>0</v>
      </c>
      <c r="H363" s="296">
        <f t="shared" ca="1" si="82"/>
        <v>27.5</v>
      </c>
      <c r="I363" s="297">
        <f t="shared" ca="1" si="75"/>
        <v>-28</v>
      </c>
    </row>
    <row r="364" spans="1:9">
      <c r="A364" s="295">
        <f t="shared" si="76"/>
        <v>347</v>
      </c>
      <c r="B364" s="300">
        <f t="shared" si="78"/>
        <v>10533</v>
      </c>
      <c r="C364" s="296">
        <f t="shared" ca="1" si="77"/>
        <v>27.5</v>
      </c>
      <c r="D364" s="295"/>
      <c r="E364" s="296">
        <f t="shared" si="83"/>
        <v>0</v>
      </c>
      <c r="F364" s="296">
        <f t="shared" ca="1" si="80"/>
        <v>0</v>
      </c>
      <c r="G364" s="296">
        <f t="shared" ca="1" si="81"/>
        <v>0</v>
      </c>
      <c r="H364" s="296">
        <f t="shared" ca="1" si="82"/>
        <v>27.5</v>
      </c>
      <c r="I364" s="297">
        <f t="shared" ca="1" si="75"/>
        <v>-28</v>
      </c>
    </row>
    <row r="365" spans="1:9">
      <c r="A365" s="295">
        <f t="shared" si="76"/>
        <v>348</v>
      </c>
      <c r="B365" s="300">
        <f t="shared" si="78"/>
        <v>10563</v>
      </c>
      <c r="C365" s="296">
        <f t="shared" ca="1" si="77"/>
        <v>27.5</v>
      </c>
      <c r="D365" s="296">
        <f ca="1">IF(H365&lt;0,0,0.5*(K46-L46))</f>
        <v>-0.5</v>
      </c>
      <c r="E365" s="296">
        <f t="shared" ca="1" si="83"/>
        <v>-0.5</v>
      </c>
      <c r="F365" s="296">
        <f t="shared" ca="1" si="80"/>
        <v>-0.5</v>
      </c>
      <c r="G365" s="296">
        <f t="shared" ca="1" si="81"/>
        <v>0</v>
      </c>
      <c r="H365" s="296">
        <f t="shared" ca="1" si="82"/>
        <v>28</v>
      </c>
      <c r="I365" s="297">
        <f t="shared" ca="1" si="75"/>
        <v>-29</v>
      </c>
    </row>
    <row r="366" spans="1:9">
      <c r="A366" s="295">
        <f t="shared" si="76"/>
        <v>349</v>
      </c>
      <c r="B366" s="300">
        <f t="shared" si="78"/>
        <v>10594</v>
      </c>
      <c r="C366" s="296">
        <f t="shared" ca="1" si="77"/>
        <v>28</v>
      </c>
      <c r="D366" s="295"/>
      <c r="E366" s="296">
        <f>IF($D$10=1,IF(OR(MONTH(B366)=MONTH(EDATE($D$7,0)),MONTH(B366)=MONTH(EDATE($D$7,6))),(MIN($D$365,H365)),0),IF($D$10=0,IF(OR(MONTH(B366)=MONTH(EDATE($D$7,5)),MONTH(B366)=MONTH(EDATE($D$7,11))),(MIN($D$365,H365)),0)))</f>
        <v>0</v>
      </c>
      <c r="F366" s="296">
        <f t="shared" ca="1" si="80"/>
        <v>0</v>
      </c>
      <c r="G366" s="296">
        <f t="shared" ca="1" si="81"/>
        <v>0</v>
      </c>
      <c r="H366" s="296">
        <f t="shared" ca="1" si="82"/>
        <v>28</v>
      </c>
      <c r="I366" s="297">
        <f t="shared" ca="1" si="75"/>
        <v>-28</v>
      </c>
    </row>
    <row r="367" spans="1:9">
      <c r="A367" s="295">
        <f t="shared" si="76"/>
        <v>350</v>
      </c>
      <c r="B367" s="300">
        <f t="shared" si="78"/>
        <v>10625</v>
      </c>
      <c r="C367" s="296">
        <f t="shared" ca="1" si="77"/>
        <v>28</v>
      </c>
      <c r="D367" s="295"/>
      <c r="E367" s="296">
        <f t="shared" ref="E367:E377" si="84">IF($D$10=1,IF(OR(MONTH(B367)=MONTH(EDATE($D$7,0)),MONTH(B367)=MONTH(EDATE($D$7,6))),(MIN($D$365,H366)),0),IF($D$10=0,IF(OR(MONTH(B367)=MONTH(EDATE($D$7,5)),MONTH(B367)=MONTH(EDATE($D$7,11))),(MIN($D$365,H366)),0)))</f>
        <v>0</v>
      </c>
      <c r="F367" s="296">
        <f t="shared" ca="1" si="80"/>
        <v>0</v>
      </c>
      <c r="G367" s="296">
        <f t="shared" ca="1" si="81"/>
        <v>0</v>
      </c>
      <c r="H367" s="296">
        <f t="shared" ca="1" si="82"/>
        <v>28</v>
      </c>
      <c r="I367" s="297">
        <f t="shared" ca="1" si="75"/>
        <v>-28</v>
      </c>
    </row>
    <row r="368" spans="1:9">
      <c r="A368" s="295">
        <f t="shared" si="76"/>
        <v>351</v>
      </c>
      <c r="B368" s="300">
        <f t="shared" si="78"/>
        <v>10653</v>
      </c>
      <c r="C368" s="296">
        <f t="shared" ca="1" si="77"/>
        <v>28</v>
      </c>
      <c r="D368" s="295"/>
      <c r="E368" s="296">
        <f t="shared" si="84"/>
        <v>0</v>
      </c>
      <c r="F368" s="296">
        <f t="shared" ca="1" si="80"/>
        <v>0</v>
      </c>
      <c r="G368" s="296">
        <f t="shared" ca="1" si="81"/>
        <v>0</v>
      </c>
      <c r="H368" s="296">
        <f t="shared" ca="1" si="82"/>
        <v>28</v>
      </c>
      <c r="I368" s="297">
        <f t="shared" ca="1" si="75"/>
        <v>-28</v>
      </c>
    </row>
    <row r="369" spans="1:9">
      <c r="A369" s="295">
        <f t="shared" si="76"/>
        <v>352</v>
      </c>
      <c r="B369" s="300">
        <f t="shared" si="78"/>
        <v>10684</v>
      </c>
      <c r="C369" s="296">
        <f t="shared" ca="1" si="77"/>
        <v>28</v>
      </c>
      <c r="D369" s="295"/>
      <c r="E369" s="296">
        <f t="shared" si="84"/>
        <v>0</v>
      </c>
      <c r="F369" s="296">
        <f t="shared" ca="1" si="80"/>
        <v>0</v>
      </c>
      <c r="G369" s="296">
        <f t="shared" ca="1" si="81"/>
        <v>0</v>
      </c>
      <c r="H369" s="296">
        <f t="shared" ca="1" si="82"/>
        <v>28</v>
      </c>
      <c r="I369" s="297">
        <f t="shared" ca="1" si="75"/>
        <v>-28</v>
      </c>
    </row>
    <row r="370" spans="1:9">
      <c r="A370" s="295">
        <f t="shared" si="76"/>
        <v>353</v>
      </c>
      <c r="B370" s="300">
        <f t="shared" si="78"/>
        <v>10714</v>
      </c>
      <c r="C370" s="296">
        <f t="shared" ca="1" si="77"/>
        <v>28</v>
      </c>
      <c r="D370" s="295"/>
      <c r="E370" s="296">
        <f t="shared" si="84"/>
        <v>0</v>
      </c>
      <c r="F370" s="296">
        <f t="shared" ca="1" si="80"/>
        <v>0</v>
      </c>
      <c r="G370" s="296">
        <f t="shared" ca="1" si="81"/>
        <v>0</v>
      </c>
      <c r="H370" s="296">
        <f t="shared" ca="1" si="82"/>
        <v>28</v>
      </c>
      <c r="I370" s="297">
        <f t="shared" ca="1" si="75"/>
        <v>-28</v>
      </c>
    </row>
    <row r="371" spans="1:9">
      <c r="A371" s="295">
        <f t="shared" si="76"/>
        <v>354</v>
      </c>
      <c r="B371" s="300">
        <f t="shared" si="78"/>
        <v>10745</v>
      </c>
      <c r="C371" s="296">
        <f t="shared" ca="1" si="77"/>
        <v>28</v>
      </c>
      <c r="D371" s="295"/>
      <c r="E371" s="296">
        <f t="shared" ca="1" si="84"/>
        <v>-0.5</v>
      </c>
      <c r="F371" s="296">
        <f t="shared" ca="1" si="80"/>
        <v>-0.5</v>
      </c>
      <c r="G371" s="296">
        <f t="shared" ca="1" si="81"/>
        <v>0</v>
      </c>
      <c r="H371" s="296">
        <f t="shared" ca="1" si="82"/>
        <v>28.5</v>
      </c>
      <c r="I371" s="297">
        <f t="shared" ca="1" si="75"/>
        <v>-29</v>
      </c>
    </row>
    <row r="372" spans="1:9">
      <c r="A372" s="295">
        <f t="shared" si="76"/>
        <v>355</v>
      </c>
      <c r="B372" s="300">
        <f t="shared" si="78"/>
        <v>10775</v>
      </c>
      <c r="C372" s="296">
        <f t="shared" ca="1" si="77"/>
        <v>28.5</v>
      </c>
      <c r="D372" s="295"/>
      <c r="E372" s="296">
        <f t="shared" si="84"/>
        <v>0</v>
      </c>
      <c r="F372" s="296">
        <f t="shared" ca="1" si="80"/>
        <v>0</v>
      </c>
      <c r="G372" s="296">
        <f t="shared" ca="1" si="81"/>
        <v>0</v>
      </c>
      <c r="H372" s="296">
        <f t="shared" ca="1" si="82"/>
        <v>28.5</v>
      </c>
      <c r="I372" s="297">
        <f t="shared" ca="1" si="75"/>
        <v>-29</v>
      </c>
    </row>
    <row r="373" spans="1:9">
      <c r="A373" s="295">
        <f t="shared" si="76"/>
        <v>356</v>
      </c>
      <c r="B373" s="300">
        <f t="shared" si="78"/>
        <v>10806</v>
      </c>
      <c r="C373" s="296">
        <f t="shared" ca="1" si="77"/>
        <v>28.5</v>
      </c>
      <c r="D373" s="295"/>
      <c r="E373" s="296">
        <f t="shared" si="84"/>
        <v>0</v>
      </c>
      <c r="F373" s="296">
        <f t="shared" ca="1" si="80"/>
        <v>0</v>
      </c>
      <c r="G373" s="296">
        <f t="shared" ca="1" si="81"/>
        <v>0</v>
      </c>
      <c r="H373" s="296">
        <f t="shared" ca="1" si="82"/>
        <v>28.5</v>
      </c>
      <c r="I373" s="297">
        <f t="shared" ca="1" si="75"/>
        <v>-29</v>
      </c>
    </row>
    <row r="374" spans="1:9">
      <c r="A374" s="295">
        <f t="shared" si="76"/>
        <v>357</v>
      </c>
      <c r="B374" s="300">
        <f t="shared" si="78"/>
        <v>10837</v>
      </c>
      <c r="C374" s="296">
        <f t="shared" ca="1" si="77"/>
        <v>28.5</v>
      </c>
      <c r="D374" s="295"/>
      <c r="E374" s="296">
        <f t="shared" si="84"/>
        <v>0</v>
      </c>
      <c r="F374" s="296">
        <f t="shared" ca="1" si="80"/>
        <v>0</v>
      </c>
      <c r="G374" s="296">
        <f t="shared" ca="1" si="81"/>
        <v>0</v>
      </c>
      <c r="H374" s="296">
        <f t="shared" ca="1" si="82"/>
        <v>28.5</v>
      </c>
      <c r="I374" s="297">
        <f t="shared" ca="1" si="75"/>
        <v>-29</v>
      </c>
    </row>
    <row r="375" spans="1:9">
      <c r="A375" s="295">
        <f t="shared" si="76"/>
        <v>358</v>
      </c>
      <c r="B375" s="300">
        <f t="shared" si="78"/>
        <v>10867</v>
      </c>
      <c r="C375" s="296">
        <f t="shared" ca="1" si="77"/>
        <v>28.5</v>
      </c>
      <c r="D375" s="295"/>
      <c r="E375" s="296">
        <f t="shared" si="84"/>
        <v>0</v>
      </c>
      <c r="F375" s="296">
        <f t="shared" ca="1" si="80"/>
        <v>0</v>
      </c>
      <c r="G375" s="296">
        <f t="shared" ca="1" si="81"/>
        <v>0</v>
      </c>
      <c r="H375" s="296">
        <f t="shared" ca="1" si="82"/>
        <v>28.5</v>
      </c>
      <c r="I375" s="297">
        <f t="shared" ca="1" si="75"/>
        <v>-29</v>
      </c>
    </row>
    <row r="376" spans="1:9">
      <c r="A376" s="295">
        <f t="shared" si="76"/>
        <v>359</v>
      </c>
      <c r="B376" s="300">
        <f t="shared" si="78"/>
        <v>10898</v>
      </c>
      <c r="C376" s="296">
        <f t="shared" ca="1" si="77"/>
        <v>28.5</v>
      </c>
      <c r="D376" s="295"/>
      <c r="E376" s="296">
        <f t="shared" si="84"/>
        <v>0</v>
      </c>
      <c r="F376" s="296">
        <f t="shared" ca="1" si="80"/>
        <v>0</v>
      </c>
      <c r="G376" s="296">
        <f t="shared" ca="1" si="81"/>
        <v>0</v>
      </c>
      <c r="H376" s="296">
        <f t="shared" ca="1" si="82"/>
        <v>28.5</v>
      </c>
      <c r="I376" s="297">
        <f t="shared" ca="1" si="75"/>
        <v>-29</v>
      </c>
    </row>
    <row r="377" spans="1:9">
      <c r="A377" s="295">
        <f t="shared" si="76"/>
        <v>360</v>
      </c>
      <c r="B377" s="300">
        <f t="shared" si="78"/>
        <v>10928</v>
      </c>
      <c r="C377" s="296">
        <f t="shared" ca="1" si="77"/>
        <v>28.5</v>
      </c>
      <c r="D377" s="296">
        <f ca="1">IF(H377&lt;0,0,0.5*(K47-L47))</f>
        <v>-0.5</v>
      </c>
      <c r="E377" s="296">
        <f t="shared" ca="1" si="84"/>
        <v>-0.5</v>
      </c>
      <c r="F377" s="296">
        <f t="shared" ca="1" si="80"/>
        <v>-0.5</v>
      </c>
      <c r="G377" s="296">
        <f t="shared" ca="1" si="81"/>
        <v>0</v>
      </c>
      <c r="H377" s="296">
        <f t="shared" ca="1" si="82"/>
        <v>29</v>
      </c>
      <c r="I377" s="297">
        <f t="shared" ca="1" si="75"/>
        <v>-30</v>
      </c>
    </row>
    <row r="378" spans="1:9">
      <c r="A378" s="295">
        <f t="shared" si="76"/>
        <v>361</v>
      </c>
      <c r="B378" s="300">
        <f t="shared" si="78"/>
        <v>10959</v>
      </c>
      <c r="C378" s="296">
        <f t="shared" ca="1" si="77"/>
        <v>29</v>
      </c>
      <c r="D378" s="295"/>
      <c r="E378" s="296">
        <f>IF($D$10=1,IF(OR(MONTH(B378)=MONTH(EDATE($D$7,0)),MONTH(B378)=MONTH(EDATE($D$7,6))),(MIN($D$377,H377)),0),IF($D$10=0,IF(OR(MONTH(B378)=MONTH(EDATE($D$7,5)),MONTH(B378)=MONTH(EDATE($D$7,11))),(MIN($D$377,H377)),0)))</f>
        <v>0</v>
      </c>
      <c r="F378" s="296">
        <f t="shared" ca="1" si="80"/>
        <v>0</v>
      </c>
      <c r="G378" s="296">
        <f t="shared" ca="1" si="81"/>
        <v>0</v>
      </c>
      <c r="H378" s="296">
        <f t="shared" ca="1" si="82"/>
        <v>29</v>
      </c>
      <c r="I378" s="297">
        <f t="shared" ca="1" si="75"/>
        <v>-29</v>
      </c>
    </row>
    <row r="379" spans="1:9">
      <c r="A379" s="295">
        <f t="shared" si="76"/>
        <v>362</v>
      </c>
      <c r="B379" s="300">
        <f t="shared" si="78"/>
        <v>10990</v>
      </c>
      <c r="C379" s="296">
        <f t="shared" ca="1" si="77"/>
        <v>29</v>
      </c>
      <c r="D379" s="295"/>
      <c r="E379" s="296">
        <f t="shared" ref="E379:E389" si="85">IF($D$10=1,IF(OR(MONTH(B379)=MONTH(EDATE($D$7,0)),MONTH(B379)=MONTH(EDATE($D$7,6))),(MIN($D$377,H378)),0),IF($D$10=0,IF(OR(MONTH(B379)=MONTH(EDATE($D$7,5)),MONTH(B379)=MONTH(EDATE($D$7,11))),(MIN($D$377,H378)),0)))</f>
        <v>0</v>
      </c>
      <c r="F379" s="296">
        <f t="shared" ca="1" si="80"/>
        <v>0</v>
      </c>
      <c r="G379" s="296">
        <f t="shared" ca="1" si="81"/>
        <v>0</v>
      </c>
      <c r="H379" s="296">
        <f t="shared" ca="1" si="82"/>
        <v>29</v>
      </c>
      <c r="I379" s="297">
        <f t="shared" ca="1" si="75"/>
        <v>-29</v>
      </c>
    </row>
    <row r="380" spans="1:9">
      <c r="A380" s="295">
        <f t="shared" si="76"/>
        <v>363</v>
      </c>
      <c r="B380" s="300">
        <f t="shared" si="78"/>
        <v>11018</v>
      </c>
      <c r="C380" s="296">
        <f t="shared" ca="1" si="77"/>
        <v>29</v>
      </c>
      <c r="D380" s="295"/>
      <c r="E380" s="296">
        <f t="shared" si="85"/>
        <v>0</v>
      </c>
      <c r="F380" s="296">
        <f t="shared" ca="1" si="80"/>
        <v>0</v>
      </c>
      <c r="G380" s="296">
        <f t="shared" ca="1" si="81"/>
        <v>0</v>
      </c>
      <c r="H380" s="296">
        <f t="shared" ca="1" si="82"/>
        <v>29</v>
      </c>
      <c r="I380" s="297">
        <f t="shared" ca="1" si="75"/>
        <v>-29</v>
      </c>
    </row>
    <row r="381" spans="1:9">
      <c r="A381" s="295">
        <f t="shared" si="76"/>
        <v>364</v>
      </c>
      <c r="B381" s="300">
        <f t="shared" si="78"/>
        <v>11049</v>
      </c>
      <c r="C381" s="296">
        <f t="shared" ca="1" si="77"/>
        <v>29</v>
      </c>
      <c r="D381" s="295"/>
      <c r="E381" s="296">
        <f t="shared" si="85"/>
        <v>0</v>
      </c>
      <c r="F381" s="296">
        <f t="shared" ca="1" si="80"/>
        <v>0</v>
      </c>
      <c r="G381" s="296">
        <f t="shared" ca="1" si="81"/>
        <v>0</v>
      </c>
      <c r="H381" s="296">
        <f t="shared" ca="1" si="82"/>
        <v>29</v>
      </c>
      <c r="I381" s="297">
        <f t="shared" ca="1" si="75"/>
        <v>-29</v>
      </c>
    </row>
    <row r="382" spans="1:9">
      <c r="A382" s="295">
        <f t="shared" si="76"/>
        <v>365</v>
      </c>
      <c r="B382" s="300">
        <f t="shared" si="78"/>
        <v>11079</v>
      </c>
      <c r="C382" s="296">
        <f t="shared" ca="1" si="77"/>
        <v>29</v>
      </c>
      <c r="D382" s="295"/>
      <c r="E382" s="296">
        <f t="shared" si="85"/>
        <v>0</v>
      </c>
      <c r="F382" s="296">
        <f t="shared" ca="1" si="80"/>
        <v>0</v>
      </c>
      <c r="G382" s="296">
        <f t="shared" ca="1" si="81"/>
        <v>0</v>
      </c>
      <c r="H382" s="296">
        <f t="shared" ca="1" si="82"/>
        <v>29</v>
      </c>
      <c r="I382" s="297">
        <f t="shared" ca="1" si="75"/>
        <v>-29</v>
      </c>
    </row>
    <row r="383" spans="1:9">
      <c r="A383" s="295">
        <f t="shared" si="76"/>
        <v>366</v>
      </c>
      <c r="B383" s="300">
        <f t="shared" si="78"/>
        <v>11110</v>
      </c>
      <c r="C383" s="296">
        <f t="shared" ca="1" si="77"/>
        <v>29</v>
      </c>
      <c r="D383" s="295"/>
      <c r="E383" s="296">
        <f t="shared" ca="1" si="85"/>
        <v>-0.5</v>
      </c>
      <c r="F383" s="296">
        <f t="shared" ca="1" si="80"/>
        <v>-0.5</v>
      </c>
      <c r="G383" s="296">
        <f t="shared" ca="1" si="81"/>
        <v>0</v>
      </c>
      <c r="H383" s="296">
        <f t="shared" ca="1" si="82"/>
        <v>29.5</v>
      </c>
      <c r="I383" s="297">
        <f t="shared" ca="1" si="75"/>
        <v>-30</v>
      </c>
    </row>
    <row r="384" spans="1:9">
      <c r="A384" s="295">
        <f t="shared" si="76"/>
        <v>367</v>
      </c>
      <c r="B384" s="300">
        <f t="shared" si="78"/>
        <v>11140</v>
      </c>
      <c r="C384" s="296">
        <f t="shared" ca="1" si="77"/>
        <v>29.5</v>
      </c>
      <c r="D384" s="295"/>
      <c r="E384" s="296">
        <f t="shared" si="85"/>
        <v>0</v>
      </c>
      <c r="F384" s="296">
        <f t="shared" ca="1" si="80"/>
        <v>0</v>
      </c>
      <c r="G384" s="296">
        <f t="shared" ca="1" si="81"/>
        <v>0</v>
      </c>
      <c r="H384" s="296">
        <f t="shared" ca="1" si="82"/>
        <v>29.5</v>
      </c>
      <c r="I384" s="297">
        <f t="shared" ca="1" si="75"/>
        <v>-30</v>
      </c>
    </row>
    <row r="385" spans="1:9">
      <c r="A385" s="295">
        <f t="shared" si="76"/>
        <v>368</v>
      </c>
      <c r="B385" s="300">
        <f t="shared" si="78"/>
        <v>11171</v>
      </c>
      <c r="C385" s="296">
        <f t="shared" ca="1" si="77"/>
        <v>29.5</v>
      </c>
      <c r="D385" s="295"/>
      <c r="E385" s="296">
        <f t="shared" si="85"/>
        <v>0</v>
      </c>
      <c r="F385" s="296">
        <f t="shared" ca="1" si="80"/>
        <v>0</v>
      </c>
      <c r="G385" s="296">
        <f t="shared" ca="1" si="81"/>
        <v>0</v>
      </c>
      <c r="H385" s="296">
        <f t="shared" ca="1" si="82"/>
        <v>29.5</v>
      </c>
      <c r="I385" s="297">
        <f t="shared" ca="1" si="75"/>
        <v>-30</v>
      </c>
    </row>
    <row r="386" spans="1:9">
      <c r="A386" s="295">
        <f t="shared" si="76"/>
        <v>369</v>
      </c>
      <c r="B386" s="300">
        <f t="shared" si="78"/>
        <v>11202</v>
      </c>
      <c r="C386" s="296">
        <f t="shared" ca="1" si="77"/>
        <v>29.5</v>
      </c>
      <c r="D386" s="295"/>
      <c r="E386" s="296">
        <f t="shared" si="85"/>
        <v>0</v>
      </c>
      <c r="F386" s="296">
        <f t="shared" ca="1" si="80"/>
        <v>0</v>
      </c>
      <c r="G386" s="296">
        <f t="shared" ca="1" si="81"/>
        <v>0</v>
      </c>
      <c r="H386" s="296">
        <f t="shared" ca="1" si="82"/>
        <v>29.5</v>
      </c>
      <c r="I386" s="297">
        <f t="shared" ca="1" si="75"/>
        <v>-30</v>
      </c>
    </row>
    <row r="387" spans="1:9">
      <c r="A387" s="295">
        <f t="shared" si="76"/>
        <v>370</v>
      </c>
      <c r="B387" s="300">
        <f t="shared" si="78"/>
        <v>11232</v>
      </c>
      <c r="C387" s="296">
        <f t="shared" ca="1" si="77"/>
        <v>29.5</v>
      </c>
      <c r="D387" s="295"/>
      <c r="E387" s="296">
        <f t="shared" si="85"/>
        <v>0</v>
      </c>
      <c r="F387" s="296">
        <f t="shared" ca="1" si="80"/>
        <v>0</v>
      </c>
      <c r="G387" s="296">
        <f t="shared" ca="1" si="81"/>
        <v>0</v>
      </c>
      <c r="H387" s="296">
        <f t="shared" ca="1" si="82"/>
        <v>29.5</v>
      </c>
      <c r="I387" s="297">
        <f t="shared" ca="1" si="75"/>
        <v>-30</v>
      </c>
    </row>
    <row r="388" spans="1:9">
      <c r="A388" s="295">
        <f t="shared" si="76"/>
        <v>371</v>
      </c>
      <c r="B388" s="300">
        <f t="shared" si="78"/>
        <v>11263</v>
      </c>
      <c r="C388" s="296">
        <f t="shared" ca="1" si="77"/>
        <v>29.5</v>
      </c>
      <c r="D388" s="295"/>
      <c r="E388" s="296">
        <f t="shared" si="85"/>
        <v>0</v>
      </c>
      <c r="F388" s="296">
        <f t="shared" ca="1" si="80"/>
        <v>0</v>
      </c>
      <c r="G388" s="296">
        <f t="shared" ca="1" si="81"/>
        <v>0</v>
      </c>
      <c r="H388" s="296">
        <f t="shared" ca="1" si="82"/>
        <v>29.5</v>
      </c>
      <c r="I388" s="297">
        <f t="shared" ca="1" si="75"/>
        <v>-30</v>
      </c>
    </row>
    <row r="389" spans="1:9">
      <c r="A389" s="295">
        <f t="shared" si="76"/>
        <v>372</v>
      </c>
      <c r="B389" s="300">
        <f t="shared" si="78"/>
        <v>11293</v>
      </c>
      <c r="C389" s="296">
        <f t="shared" ca="1" si="77"/>
        <v>29.5</v>
      </c>
      <c r="D389" s="296">
        <f ca="1">IF(H389&lt;0,0,0.5*(K48-L48))</f>
        <v>-0.5</v>
      </c>
      <c r="E389" s="296">
        <f t="shared" ca="1" si="85"/>
        <v>-0.5</v>
      </c>
      <c r="F389" s="296">
        <f t="shared" ca="1" si="80"/>
        <v>-0.5</v>
      </c>
      <c r="G389" s="296">
        <f t="shared" ca="1" si="81"/>
        <v>0</v>
      </c>
      <c r="H389" s="296">
        <f t="shared" ca="1" si="82"/>
        <v>30</v>
      </c>
      <c r="I389" s="297">
        <f t="shared" ca="1" si="75"/>
        <v>-31</v>
      </c>
    </row>
    <row r="390" spans="1:9">
      <c r="A390" s="295">
        <f t="shared" si="76"/>
        <v>373</v>
      </c>
      <c r="B390" s="300">
        <f t="shared" si="78"/>
        <v>11324</v>
      </c>
      <c r="C390" s="296">
        <f t="shared" ca="1" si="77"/>
        <v>30</v>
      </c>
      <c r="D390" s="295"/>
      <c r="E390" s="296">
        <f>IF($D$10=1,IF(OR(MONTH(B390)=MONTH(EDATE($D$7,0)),MONTH(B390)=MONTH(EDATE($D$7,6))),(MIN($D$389,H389)),0),IF($D$10=0,IF(OR(MONTH(B390)=MONTH(EDATE($D$7,5)),MONTH(B390)=MONTH(EDATE($D$7,11))),(MIN($D$389,H389)),0)))</f>
        <v>0</v>
      </c>
      <c r="F390" s="296">
        <f t="shared" ca="1" si="80"/>
        <v>0</v>
      </c>
      <c r="G390" s="296">
        <f t="shared" ca="1" si="81"/>
        <v>0</v>
      </c>
      <c r="H390" s="296">
        <f t="shared" ca="1" si="82"/>
        <v>30</v>
      </c>
      <c r="I390" s="297">
        <f t="shared" ca="1" si="75"/>
        <v>-30</v>
      </c>
    </row>
    <row r="391" spans="1:9">
      <c r="A391" s="295">
        <f t="shared" si="76"/>
        <v>374</v>
      </c>
      <c r="B391" s="300">
        <f t="shared" si="78"/>
        <v>11355</v>
      </c>
      <c r="C391" s="296">
        <f t="shared" ca="1" si="77"/>
        <v>30</v>
      </c>
      <c r="D391" s="295"/>
      <c r="E391" s="296">
        <f t="shared" ref="E391:E401" si="86">IF($D$10=1,IF(OR(MONTH(B391)=MONTH(EDATE($D$7,0)),MONTH(B391)=MONTH(EDATE($D$7,6))),(MIN($D$389,H390)),0),IF($D$10=0,IF(OR(MONTH(B391)=MONTH(EDATE($D$7,5)),MONTH(B391)=MONTH(EDATE($D$7,11))),(MIN($D$389,H390)),0)))</f>
        <v>0</v>
      </c>
      <c r="F391" s="296">
        <f t="shared" ca="1" si="80"/>
        <v>0</v>
      </c>
      <c r="G391" s="296">
        <f t="shared" ca="1" si="81"/>
        <v>0</v>
      </c>
      <c r="H391" s="296">
        <f t="shared" ca="1" si="82"/>
        <v>30</v>
      </c>
      <c r="I391" s="297">
        <f t="shared" ca="1" si="75"/>
        <v>-30</v>
      </c>
    </row>
    <row r="392" spans="1:9">
      <c r="A392" s="295">
        <f t="shared" si="76"/>
        <v>375</v>
      </c>
      <c r="B392" s="300">
        <f t="shared" si="78"/>
        <v>11383</v>
      </c>
      <c r="C392" s="296">
        <f t="shared" ca="1" si="77"/>
        <v>30</v>
      </c>
      <c r="D392" s="295"/>
      <c r="E392" s="296">
        <f t="shared" si="86"/>
        <v>0</v>
      </c>
      <c r="F392" s="296">
        <f t="shared" ca="1" si="80"/>
        <v>0</v>
      </c>
      <c r="G392" s="296">
        <f t="shared" ca="1" si="81"/>
        <v>0</v>
      </c>
      <c r="H392" s="296">
        <f t="shared" ca="1" si="82"/>
        <v>30</v>
      </c>
      <c r="I392" s="297">
        <f t="shared" ca="1" si="75"/>
        <v>-30</v>
      </c>
    </row>
    <row r="393" spans="1:9">
      <c r="A393" s="295">
        <f t="shared" si="76"/>
        <v>376</v>
      </c>
      <c r="B393" s="300">
        <f t="shared" si="78"/>
        <v>11414</v>
      </c>
      <c r="C393" s="296">
        <f t="shared" ca="1" si="77"/>
        <v>30</v>
      </c>
      <c r="D393" s="296"/>
      <c r="E393" s="296">
        <f t="shared" si="86"/>
        <v>0</v>
      </c>
      <c r="F393" s="296">
        <f t="shared" ca="1" si="80"/>
        <v>0</v>
      </c>
      <c r="G393" s="296">
        <f t="shared" ca="1" si="81"/>
        <v>0</v>
      </c>
      <c r="H393" s="296">
        <f t="shared" ca="1" si="82"/>
        <v>30</v>
      </c>
      <c r="I393" s="297">
        <f t="shared" ca="1" si="75"/>
        <v>-30</v>
      </c>
    </row>
    <row r="394" spans="1:9">
      <c r="A394" s="295">
        <f t="shared" si="76"/>
        <v>377</v>
      </c>
      <c r="B394" s="300">
        <f t="shared" si="78"/>
        <v>11444</v>
      </c>
      <c r="C394" s="296">
        <f t="shared" ca="1" si="77"/>
        <v>30</v>
      </c>
      <c r="D394" s="295"/>
      <c r="E394" s="296">
        <f t="shared" si="86"/>
        <v>0</v>
      </c>
      <c r="F394" s="296">
        <f t="shared" ca="1" si="80"/>
        <v>0</v>
      </c>
      <c r="G394" s="296">
        <f t="shared" ca="1" si="81"/>
        <v>0</v>
      </c>
      <c r="H394" s="296">
        <f t="shared" ca="1" si="82"/>
        <v>30</v>
      </c>
      <c r="I394" s="297">
        <f t="shared" ca="1" si="75"/>
        <v>-30</v>
      </c>
    </row>
    <row r="395" spans="1:9">
      <c r="A395" s="295">
        <f t="shared" si="76"/>
        <v>378</v>
      </c>
      <c r="B395" s="300">
        <f t="shared" si="78"/>
        <v>11475</v>
      </c>
      <c r="C395" s="296">
        <f t="shared" ca="1" si="77"/>
        <v>30</v>
      </c>
      <c r="D395" s="295"/>
      <c r="E395" s="296">
        <f t="shared" ca="1" si="86"/>
        <v>-0.5</v>
      </c>
      <c r="F395" s="296">
        <f t="shared" ca="1" si="80"/>
        <v>-0.5</v>
      </c>
      <c r="G395" s="296">
        <f t="shared" ca="1" si="81"/>
        <v>0</v>
      </c>
      <c r="H395" s="296">
        <f t="shared" ca="1" si="82"/>
        <v>30.5</v>
      </c>
      <c r="I395" s="297">
        <f t="shared" ca="1" si="75"/>
        <v>-31</v>
      </c>
    </row>
    <row r="396" spans="1:9">
      <c r="A396" s="295">
        <f t="shared" si="76"/>
        <v>379</v>
      </c>
      <c r="B396" s="300">
        <f t="shared" si="78"/>
        <v>11505</v>
      </c>
      <c r="C396" s="296">
        <f t="shared" ca="1" si="77"/>
        <v>30.5</v>
      </c>
      <c r="D396" s="295"/>
      <c r="E396" s="296">
        <f t="shared" si="86"/>
        <v>0</v>
      </c>
      <c r="F396" s="296">
        <f t="shared" ca="1" si="80"/>
        <v>0</v>
      </c>
      <c r="G396" s="296">
        <f t="shared" ca="1" si="81"/>
        <v>0</v>
      </c>
      <c r="H396" s="296">
        <f t="shared" ca="1" si="82"/>
        <v>30.5</v>
      </c>
      <c r="I396" s="297">
        <f t="shared" ca="1" si="75"/>
        <v>-31</v>
      </c>
    </row>
    <row r="397" spans="1:9">
      <c r="A397" s="295">
        <f t="shared" si="76"/>
        <v>380</v>
      </c>
      <c r="B397" s="300">
        <f t="shared" si="78"/>
        <v>11536</v>
      </c>
      <c r="C397" s="296">
        <f t="shared" ca="1" si="77"/>
        <v>30.5</v>
      </c>
      <c r="D397" s="295"/>
      <c r="E397" s="296">
        <f t="shared" si="86"/>
        <v>0</v>
      </c>
      <c r="F397" s="296">
        <f t="shared" ca="1" si="80"/>
        <v>0</v>
      </c>
      <c r="G397" s="296">
        <f t="shared" ca="1" si="81"/>
        <v>0</v>
      </c>
      <c r="H397" s="296">
        <f t="shared" ca="1" si="82"/>
        <v>30.5</v>
      </c>
      <c r="I397" s="297">
        <f t="shared" ca="1" si="75"/>
        <v>-31</v>
      </c>
    </row>
    <row r="398" spans="1:9">
      <c r="A398" s="295">
        <f t="shared" si="76"/>
        <v>381</v>
      </c>
      <c r="B398" s="300">
        <f t="shared" si="78"/>
        <v>11567</v>
      </c>
      <c r="C398" s="296">
        <f t="shared" ca="1" si="77"/>
        <v>30.5</v>
      </c>
      <c r="D398" s="295"/>
      <c r="E398" s="296">
        <f t="shared" si="86"/>
        <v>0</v>
      </c>
      <c r="F398" s="296">
        <f t="shared" ca="1" si="80"/>
        <v>0</v>
      </c>
      <c r="G398" s="296">
        <f t="shared" ca="1" si="81"/>
        <v>0</v>
      </c>
      <c r="H398" s="296">
        <f t="shared" ca="1" si="82"/>
        <v>30.5</v>
      </c>
      <c r="I398" s="297">
        <f t="shared" ca="1" si="75"/>
        <v>-31</v>
      </c>
    </row>
    <row r="399" spans="1:9">
      <c r="A399" s="295">
        <f t="shared" si="76"/>
        <v>382</v>
      </c>
      <c r="B399" s="300">
        <f t="shared" si="78"/>
        <v>11597</v>
      </c>
      <c r="C399" s="296">
        <f t="shared" ca="1" si="77"/>
        <v>30.5</v>
      </c>
      <c r="D399" s="295"/>
      <c r="E399" s="296">
        <f t="shared" si="86"/>
        <v>0</v>
      </c>
      <c r="F399" s="296">
        <f t="shared" ca="1" si="80"/>
        <v>0</v>
      </c>
      <c r="G399" s="296">
        <f t="shared" ca="1" si="81"/>
        <v>0</v>
      </c>
      <c r="H399" s="296">
        <f t="shared" ca="1" si="82"/>
        <v>30.5</v>
      </c>
      <c r="I399" s="297">
        <f t="shared" ca="1" si="75"/>
        <v>-31</v>
      </c>
    </row>
    <row r="400" spans="1:9">
      <c r="A400" s="295">
        <f t="shared" si="76"/>
        <v>383</v>
      </c>
      <c r="B400" s="300">
        <f t="shared" si="78"/>
        <v>11628</v>
      </c>
      <c r="C400" s="296">
        <f t="shared" ca="1" si="77"/>
        <v>30.5</v>
      </c>
      <c r="D400" s="295"/>
      <c r="E400" s="296">
        <f t="shared" si="86"/>
        <v>0</v>
      </c>
      <c r="F400" s="296">
        <f t="shared" ca="1" si="80"/>
        <v>0</v>
      </c>
      <c r="G400" s="296">
        <f t="shared" ca="1" si="81"/>
        <v>0</v>
      </c>
      <c r="H400" s="296">
        <f t="shared" ca="1" si="82"/>
        <v>30.5</v>
      </c>
      <c r="I400" s="297">
        <f t="shared" ca="1" si="75"/>
        <v>-31</v>
      </c>
    </row>
    <row r="401" spans="1:9">
      <c r="A401" s="295">
        <f t="shared" si="76"/>
        <v>384</v>
      </c>
      <c r="B401" s="300">
        <f t="shared" si="78"/>
        <v>11658</v>
      </c>
      <c r="C401" s="296">
        <f t="shared" ca="1" si="77"/>
        <v>30.5</v>
      </c>
      <c r="D401" s="296">
        <f ca="1">IF(H401&lt;0,0,0.5*(K49-L49))</f>
        <v>-0.5</v>
      </c>
      <c r="E401" s="296">
        <f t="shared" ca="1" si="86"/>
        <v>-0.5</v>
      </c>
      <c r="F401" s="296">
        <f t="shared" ca="1" si="80"/>
        <v>-0.5</v>
      </c>
      <c r="G401" s="296">
        <f t="shared" ca="1" si="81"/>
        <v>0</v>
      </c>
      <c r="H401" s="296">
        <f t="shared" ca="1" si="82"/>
        <v>31</v>
      </c>
      <c r="I401" s="297">
        <f t="shared" ca="1" si="75"/>
        <v>-32</v>
      </c>
    </row>
    <row r="402" spans="1:9">
      <c r="A402" s="295">
        <f t="shared" si="76"/>
        <v>385</v>
      </c>
      <c r="B402" s="300">
        <f t="shared" si="78"/>
        <v>11689</v>
      </c>
      <c r="C402" s="296">
        <f t="shared" ca="1" si="77"/>
        <v>31</v>
      </c>
      <c r="D402" s="295"/>
      <c r="E402" s="296">
        <f>IF($D$10=1,IF(OR(MONTH(B402)=MONTH(EDATE($D$7,0)),MONTH(B402)=MONTH(EDATE($D$7,6))),(MIN($D$401,H401)),0),IF($D$10=0,IF(OR(MONTH(B402)=MONTH(EDATE($D$7,5)),MONTH(B402)=MONTH(EDATE($D$7,11))),(MIN($D$401,H401)),0)))</f>
        <v>0</v>
      </c>
      <c r="F402" s="296">
        <f t="shared" ca="1" si="80"/>
        <v>0</v>
      </c>
      <c r="G402" s="296">
        <f t="shared" ca="1" si="81"/>
        <v>0</v>
      </c>
      <c r="H402" s="296">
        <f t="shared" ca="1" si="82"/>
        <v>31</v>
      </c>
      <c r="I402" s="297">
        <f t="shared" ref="I402:I465" ca="1" si="87">ROUND((D402-H402),0)</f>
        <v>-31</v>
      </c>
    </row>
    <row r="403" spans="1:9">
      <c r="A403" s="295">
        <f t="shared" ref="A403:A466" si="88">IF(A402="","",IF(A402=$D$6,"",A402+1))</f>
        <v>386</v>
      </c>
      <c r="B403" s="300">
        <f t="shared" si="78"/>
        <v>11720</v>
      </c>
      <c r="C403" s="296">
        <f t="shared" ref="C403:C466" ca="1" si="89">IF(H402=0,0,H402)</f>
        <v>31</v>
      </c>
      <c r="D403" s="295"/>
      <c r="E403" s="296">
        <f t="shared" ref="E403:E413" si="90">IF($D$10=1,IF(OR(MONTH(B403)=MONTH(EDATE($D$7,0)),MONTH(B403)=MONTH(EDATE($D$7,6))),(MIN($D$401,H402)),0),IF($D$10=0,IF(OR(MONTH(B403)=MONTH(EDATE($D$7,5)),MONTH(B403)=MONTH(EDATE($D$7,11))),(MIN($D$401,H402)),0)))</f>
        <v>0</v>
      </c>
      <c r="F403" s="296">
        <f t="shared" ca="1" si="80"/>
        <v>0</v>
      </c>
      <c r="G403" s="296">
        <f t="shared" ca="1" si="81"/>
        <v>0</v>
      </c>
      <c r="H403" s="296">
        <f t="shared" ca="1" si="82"/>
        <v>31</v>
      </c>
      <c r="I403" s="297">
        <f t="shared" ca="1" si="87"/>
        <v>-31</v>
      </c>
    </row>
    <row r="404" spans="1:9">
      <c r="A404" s="295">
        <f t="shared" si="88"/>
        <v>387</v>
      </c>
      <c r="B404" s="300">
        <f t="shared" ref="B404:B467" si="91">DATE(YEAR(B403),MONTH(B403)+1,1)</f>
        <v>11749</v>
      </c>
      <c r="C404" s="296">
        <f t="shared" ca="1" si="89"/>
        <v>31</v>
      </c>
      <c r="D404" s="295"/>
      <c r="E404" s="296">
        <f t="shared" si="90"/>
        <v>0</v>
      </c>
      <c r="F404" s="296">
        <f t="shared" ca="1" si="80"/>
        <v>0</v>
      </c>
      <c r="G404" s="296">
        <f t="shared" ca="1" si="81"/>
        <v>0</v>
      </c>
      <c r="H404" s="296">
        <f t="shared" ca="1" si="82"/>
        <v>31</v>
      </c>
      <c r="I404" s="297">
        <f t="shared" ca="1" si="87"/>
        <v>-31</v>
      </c>
    </row>
    <row r="405" spans="1:9">
      <c r="A405" s="295">
        <f t="shared" si="88"/>
        <v>388</v>
      </c>
      <c r="B405" s="300">
        <f t="shared" si="91"/>
        <v>11780</v>
      </c>
      <c r="C405" s="296">
        <f t="shared" ca="1" si="89"/>
        <v>31</v>
      </c>
      <c r="E405" s="296">
        <f t="shared" si="90"/>
        <v>0</v>
      </c>
      <c r="F405" s="296">
        <f t="shared" ca="1" si="80"/>
        <v>0</v>
      </c>
      <c r="G405" s="296">
        <f t="shared" ca="1" si="81"/>
        <v>0</v>
      </c>
      <c r="H405" s="296">
        <f t="shared" ca="1" si="82"/>
        <v>31</v>
      </c>
      <c r="I405" s="297">
        <f t="shared" ca="1" si="87"/>
        <v>-31</v>
      </c>
    </row>
    <row r="406" spans="1:9">
      <c r="A406" s="295">
        <f t="shared" si="88"/>
        <v>389</v>
      </c>
      <c r="B406" s="300">
        <f t="shared" si="91"/>
        <v>11810</v>
      </c>
      <c r="C406" s="296">
        <f t="shared" ca="1" si="89"/>
        <v>31</v>
      </c>
      <c r="D406" s="295"/>
      <c r="E406" s="296">
        <f t="shared" si="90"/>
        <v>0</v>
      </c>
      <c r="F406" s="296">
        <f t="shared" ca="1" si="80"/>
        <v>0</v>
      </c>
      <c r="G406" s="296">
        <f t="shared" ca="1" si="81"/>
        <v>0</v>
      </c>
      <c r="H406" s="296">
        <f t="shared" ca="1" si="82"/>
        <v>31</v>
      </c>
      <c r="I406" s="297">
        <f t="shared" ca="1" si="87"/>
        <v>-31</v>
      </c>
    </row>
    <row r="407" spans="1:9">
      <c r="A407" s="295">
        <f t="shared" si="88"/>
        <v>390</v>
      </c>
      <c r="B407" s="300">
        <f t="shared" si="91"/>
        <v>11841</v>
      </c>
      <c r="C407" s="296">
        <f t="shared" ca="1" si="89"/>
        <v>31</v>
      </c>
      <c r="D407" s="295"/>
      <c r="E407" s="296">
        <f t="shared" ca="1" si="90"/>
        <v>-0.5</v>
      </c>
      <c r="F407" s="296">
        <f t="shared" ca="1" si="80"/>
        <v>-0.5</v>
      </c>
      <c r="G407" s="296">
        <f t="shared" ca="1" si="81"/>
        <v>0</v>
      </c>
      <c r="H407" s="296">
        <f t="shared" ca="1" si="82"/>
        <v>31.5</v>
      </c>
      <c r="I407" s="297">
        <f t="shared" ca="1" si="87"/>
        <v>-32</v>
      </c>
    </row>
    <row r="408" spans="1:9">
      <c r="A408" s="295">
        <f t="shared" si="88"/>
        <v>391</v>
      </c>
      <c r="B408" s="300">
        <f t="shared" si="91"/>
        <v>11871</v>
      </c>
      <c r="C408" s="296">
        <f t="shared" ca="1" si="89"/>
        <v>31.5</v>
      </c>
      <c r="D408" s="295"/>
      <c r="E408" s="296">
        <f t="shared" si="90"/>
        <v>0</v>
      </c>
      <c r="F408" s="296">
        <f t="shared" ca="1" si="80"/>
        <v>0</v>
      </c>
      <c r="G408" s="296">
        <f t="shared" ca="1" si="81"/>
        <v>0</v>
      </c>
      <c r="H408" s="296">
        <f t="shared" ca="1" si="82"/>
        <v>31.5</v>
      </c>
      <c r="I408" s="297">
        <f t="shared" ca="1" si="87"/>
        <v>-32</v>
      </c>
    </row>
    <row r="409" spans="1:9">
      <c r="A409" s="295">
        <f t="shared" si="88"/>
        <v>392</v>
      </c>
      <c r="B409" s="300">
        <f t="shared" si="91"/>
        <v>11902</v>
      </c>
      <c r="C409" s="296">
        <f t="shared" ca="1" si="89"/>
        <v>31.5</v>
      </c>
      <c r="D409" s="295"/>
      <c r="E409" s="296">
        <f t="shared" si="90"/>
        <v>0</v>
      </c>
      <c r="F409" s="296">
        <f t="shared" ca="1" si="80"/>
        <v>0</v>
      </c>
      <c r="G409" s="296">
        <f t="shared" ca="1" si="81"/>
        <v>0</v>
      </c>
      <c r="H409" s="296">
        <f t="shared" ca="1" si="82"/>
        <v>31.5</v>
      </c>
      <c r="I409" s="297">
        <f t="shared" ca="1" si="87"/>
        <v>-32</v>
      </c>
    </row>
    <row r="410" spans="1:9">
      <c r="A410" s="295">
        <f t="shared" si="88"/>
        <v>393</v>
      </c>
      <c r="B410" s="300">
        <f t="shared" si="91"/>
        <v>11933</v>
      </c>
      <c r="C410" s="296">
        <f t="shared" ca="1" si="89"/>
        <v>31.5</v>
      </c>
      <c r="D410" s="295"/>
      <c r="E410" s="296">
        <f t="shared" si="90"/>
        <v>0</v>
      </c>
      <c r="F410" s="296">
        <f t="shared" ca="1" si="80"/>
        <v>0</v>
      </c>
      <c r="G410" s="296">
        <f t="shared" ca="1" si="81"/>
        <v>0</v>
      </c>
      <c r="H410" s="296">
        <f t="shared" ca="1" si="82"/>
        <v>31.5</v>
      </c>
      <c r="I410" s="297">
        <f t="shared" ca="1" si="87"/>
        <v>-32</v>
      </c>
    </row>
    <row r="411" spans="1:9">
      <c r="A411" s="295">
        <f t="shared" si="88"/>
        <v>394</v>
      </c>
      <c r="B411" s="300">
        <f t="shared" si="91"/>
        <v>11963</v>
      </c>
      <c r="C411" s="296">
        <f t="shared" ca="1" si="89"/>
        <v>31.5</v>
      </c>
      <c r="D411" s="295"/>
      <c r="E411" s="296">
        <f t="shared" si="90"/>
        <v>0</v>
      </c>
      <c r="F411" s="296">
        <f t="shared" ca="1" si="80"/>
        <v>0</v>
      </c>
      <c r="G411" s="296">
        <f t="shared" ca="1" si="81"/>
        <v>0</v>
      </c>
      <c r="H411" s="296">
        <f t="shared" ca="1" si="82"/>
        <v>31.5</v>
      </c>
      <c r="I411" s="297">
        <f t="shared" ca="1" si="87"/>
        <v>-32</v>
      </c>
    </row>
    <row r="412" spans="1:9">
      <c r="A412" s="295">
        <f t="shared" si="88"/>
        <v>395</v>
      </c>
      <c r="B412" s="300">
        <f t="shared" si="91"/>
        <v>11994</v>
      </c>
      <c r="C412" s="296">
        <f t="shared" ca="1" si="89"/>
        <v>31.5</v>
      </c>
      <c r="D412" s="295"/>
      <c r="E412" s="296">
        <f t="shared" si="90"/>
        <v>0</v>
      </c>
      <c r="F412" s="296">
        <f t="shared" ca="1" si="80"/>
        <v>0</v>
      </c>
      <c r="G412" s="296">
        <f t="shared" ca="1" si="81"/>
        <v>0</v>
      </c>
      <c r="H412" s="296">
        <f t="shared" ca="1" si="82"/>
        <v>31.5</v>
      </c>
      <c r="I412" s="297">
        <f t="shared" ca="1" si="87"/>
        <v>-32</v>
      </c>
    </row>
    <row r="413" spans="1:9">
      <c r="A413" s="295">
        <f t="shared" si="88"/>
        <v>396</v>
      </c>
      <c r="B413" s="300">
        <f t="shared" si="91"/>
        <v>12024</v>
      </c>
      <c r="C413" s="296">
        <f t="shared" ca="1" si="89"/>
        <v>31.5</v>
      </c>
      <c r="D413" s="296">
        <f ca="1">IF(H413&lt;0,0,0.5*(K50-L50))</f>
        <v>-0.5</v>
      </c>
      <c r="E413" s="296">
        <f t="shared" ca="1" si="90"/>
        <v>-0.5</v>
      </c>
      <c r="F413" s="296">
        <f t="shared" ca="1" si="80"/>
        <v>-0.5</v>
      </c>
      <c r="G413" s="296">
        <f t="shared" ca="1" si="81"/>
        <v>0</v>
      </c>
      <c r="H413" s="296">
        <f t="shared" ca="1" si="82"/>
        <v>32</v>
      </c>
      <c r="I413" s="297">
        <f t="shared" ca="1" si="87"/>
        <v>-33</v>
      </c>
    </row>
    <row r="414" spans="1:9">
      <c r="A414" s="295">
        <f t="shared" si="88"/>
        <v>397</v>
      </c>
      <c r="B414" s="300">
        <f t="shared" si="91"/>
        <v>12055</v>
      </c>
      <c r="C414" s="296">
        <f t="shared" ca="1" si="89"/>
        <v>32</v>
      </c>
      <c r="D414" s="295"/>
      <c r="E414" s="296">
        <f>IF($D$10=1,IF(OR(MONTH(B414)=MONTH(EDATE($D$7,0)),MONTH(B414)=MONTH(EDATE($D$7,6))),(MIN($D$413,H413)),0),IF($D$10=0,IF(OR(MONTH(B414)=MONTH(EDATE($D$7,5)),MONTH(B414)=MONTH(EDATE($D$7,11))),(MIN($D$413,H413)),0)))</f>
        <v>0</v>
      </c>
      <c r="F414" s="296">
        <f t="shared" ref="F414:F477" ca="1" si="92">IF(E414="","",E414-G414)</f>
        <v>0</v>
      </c>
      <c r="G414" s="296">
        <f t="shared" ref="G414:G477" ca="1" si="93">ROUND((C414-E414)*$D$5,3)</f>
        <v>0</v>
      </c>
      <c r="H414" s="296">
        <f t="shared" ref="H414:H477" ca="1" si="94">IF(E414="","",ROUND(H413-F414,4))</f>
        <v>32</v>
      </c>
      <c r="I414" s="297">
        <f t="shared" ca="1" si="87"/>
        <v>-32</v>
      </c>
    </row>
    <row r="415" spans="1:9">
      <c r="A415" s="295">
        <f t="shared" si="88"/>
        <v>398</v>
      </c>
      <c r="B415" s="300">
        <f t="shared" si="91"/>
        <v>12086</v>
      </c>
      <c r="C415" s="296">
        <f t="shared" ca="1" si="89"/>
        <v>32</v>
      </c>
      <c r="D415" s="295"/>
      <c r="E415" s="296">
        <f t="shared" ref="E415:E425" si="95">IF($D$10=1,IF(OR(MONTH(B415)=MONTH(EDATE($D$7,0)),MONTH(B415)=MONTH(EDATE($D$7,6))),(MIN($D$413,H414)),0),IF($D$10=0,IF(OR(MONTH(B415)=MONTH(EDATE($D$7,5)),MONTH(B415)=MONTH(EDATE($D$7,11))),(MIN($D$413,H414)),0)))</f>
        <v>0</v>
      </c>
      <c r="F415" s="296">
        <f t="shared" ca="1" si="92"/>
        <v>0</v>
      </c>
      <c r="G415" s="296">
        <f t="shared" ca="1" si="93"/>
        <v>0</v>
      </c>
      <c r="H415" s="296">
        <f t="shared" ca="1" si="94"/>
        <v>32</v>
      </c>
      <c r="I415" s="297">
        <f t="shared" ca="1" si="87"/>
        <v>-32</v>
      </c>
    </row>
    <row r="416" spans="1:9">
      <c r="A416" s="295">
        <f t="shared" si="88"/>
        <v>399</v>
      </c>
      <c r="B416" s="300">
        <f t="shared" si="91"/>
        <v>12114</v>
      </c>
      <c r="C416" s="296">
        <f t="shared" ca="1" si="89"/>
        <v>32</v>
      </c>
      <c r="D416" s="295"/>
      <c r="E416" s="296">
        <f t="shared" si="95"/>
        <v>0</v>
      </c>
      <c r="F416" s="296">
        <f t="shared" ca="1" si="92"/>
        <v>0</v>
      </c>
      <c r="G416" s="296">
        <f t="shared" ca="1" si="93"/>
        <v>0</v>
      </c>
      <c r="H416" s="296">
        <f t="shared" ca="1" si="94"/>
        <v>32</v>
      </c>
      <c r="I416" s="297">
        <f t="shared" ca="1" si="87"/>
        <v>-32</v>
      </c>
    </row>
    <row r="417" spans="1:9">
      <c r="A417" s="295">
        <f t="shared" si="88"/>
        <v>400</v>
      </c>
      <c r="B417" s="300">
        <f t="shared" si="91"/>
        <v>12145</v>
      </c>
      <c r="C417" s="296">
        <f t="shared" ca="1" si="89"/>
        <v>32</v>
      </c>
      <c r="E417" s="296">
        <f t="shared" si="95"/>
        <v>0</v>
      </c>
      <c r="F417" s="296">
        <f t="shared" ca="1" si="92"/>
        <v>0</v>
      </c>
      <c r="G417" s="296">
        <f t="shared" ca="1" si="93"/>
        <v>0</v>
      </c>
      <c r="H417" s="296">
        <f t="shared" ca="1" si="94"/>
        <v>32</v>
      </c>
      <c r="I417" s="297">
        <f t="shared" ca="1" si="87"/>
        <v>-32</v>
      </c>
    </row>
    <row r="418" spans="1:9">
      <c r="A418" s="295">
        <f t="shared" si="88"/>
        <v>401</v>
      </c>
      <c r="B418" s="300">
        <f t="shared" si="91"/>
        <v>12175</v>
      </c>
      <c r="C418" s="296">
        <f t="shared" ca="1" si="89"/>
        <v>32</v>
      </c>
      <c r="D418" s="295"/>
      <c r="E418" s="296">
        <f t="shared" si="95"/>
        <v>0</v>
      </c>
      <c r="F418" s="296">
        <f t="shared" ca="1" si="92"/>
        <v>0</v>
      </c>
      <c r="G418" s="296">
        <f t="shared" ca="1" si="93"/>
        <v>0</v>
      </c>
      <c r="H418" s="296">
        <f t="shared" ca="1" si="94"/>
        <v>32</v>
      </c>
      <c r="I418" s="297">
        <f t="shared" ca="1" si="87"/>
        <v>-32</v>
      </c>
    </row>
    <row r="419" spans="1:9">
      <c r="A419" s="295">
        <f t="shared" si="88"/>
        <v>402</v>
      </c>
      <c r="B419" s="300">
        <f t="shared" si="91"/>
        <v>12206</v>
      </c>
      <c r="C419" s="296">
        <f t="shared" ca="1" si="89"/>
        <v>32</v>
      </c>
      <c r="D419" s="295"/>
      <c r="E419" s="296">
        <f t="shared" ca="1" si="95"/>
        <v>-0.5</v>
      </c>
      <c r="F419" s="296">
        <f t="shared" ca="1" si="92"/>
        <v>-0.5</v>
      </c>
      <c r="G419" s="296">
        <f t="shared" ca="1" si="93"/>
        <v>0</v>
      </c>
      <c r="H419" s="296">
        <f t="shared" ca="1" si="94"/>
        <v>32.5</v>
      </c>
      <c r="I419" s="297">
        <f t="shared" ca="1" si="87"/>
        <v>-33</v>
      </c>
    </row>
    <row r="420" spans="1:9">
      <c r="A420" s="295">
        <f t="shared" si="88"/>
        <v>403</v>
      </c>
      <c r="B420" s="300">
        <f t="shared" si="91"/>
        <v>12236</v>
      </c>
      <c r="C420" s="296">
        <f t="shared" ca="1" si="89"/>
        <v>32.5</v>
      </c>
      <c r="D420" s="295"/>
      <c r="E420" s="296">
        <f t="shared" si="95"/>
        <v>0</v>
      </c>
      <c r="F420" s="296">
        <f t="shared" ca="1" si="92"/>
        <v>0</v>
      </c>
      <c r="G420" s="296">
        <f t="shared" ca="1" si="93"/>
        <v>0</v>
      </c>
      <c r="H420" s="296">
        <f t="shared" ca="1" si="94"/>
        <v>32.5</v>
      </c>
      <c r="I420" s="297">
        <f t="shared" ca="1" si="87"/>
        <v>-33</v>
      </c>
    </row>
    <row r="421" spans="1:9">
      <c r="A421" s="295">
        <f t="shared" si="88"/>
        <v>404</v>
      </c>
      <c r="B421" s="300">
        <f t="shared" si="91"/>
        <v>12267</v>
      </c>
      <c r="C421" s="296">
        <f t="shared" ca="1" si="89"/>
        <v>32.5</v>
      </c>
      <c r="D421" s="295"/>
      <c r="E421" s="296">
        <f t="shared" si="95"/>
        <v>0</v>
      </c>
      <c r="F421" s="296">
        <f t="shared" ca="1" si="92"/>
        <v>0</v>
      </c>
      <c r="G421" s="296">
        <f t="shared" ca="1" si="93"/>
        <v>0</v>
      </c>
      <c r="H421" s="296">
        <f t="shared" ca="1" si="94"/>
        <v>32.5</v>
      </c>
      <c r="I421" s="297">
        <f t="shared" ca="1" si="87"/>
        <v>-33</v>
      </c>
    </row>
    <row r="422" spans="1:9">
      <c r="A422" s="295">
        <f t="shared" si="88"/>
        <v>405</v>
      </c>
      <c r="B422" s="300">
        <f t="shared" si="91"/>
        <v>12298</v>
      </c>
      <c r="C422" s="296">
        <f t="shared" ca="1" si="89"/>
        <v>32.5</v>
      </c>
      <c r="D422" s="295"/>
      <c r="E422" s="296">
        <f t="shared" si="95"/>
        <v>0</v>
      </c>
      <c r="F422" s="296">
        <f t="shared" ca="1" si="92"/>
        <v>0</v>
      </c>
      <c r="G422" s="296">
        <f t="shared" ca="1" si="93"/>
        <v>0</v>
      </c>
      <c r="H422" s="296">
        <f t="shared" ca="1" si="94"/>
        <v>32.5</v>
      </c>
      <c r="I422" s="297">
        <f t="shared" ca="1" si="87"/>
        <v>-33</v>
      </c>
    </row>
    <row r="423" spans="1:9">
      <c r="A423" s="295">
        <f t="shared" si="88"/>
        <v>406</v>
      </c>
      <c r="B423" s="300">
        <f t="shared" si="91"/>
        <v>12328</v>
      </c>
      <c r="C423" s="296">
        <f t="shared" ca="1" si="89"/>
        <v>32.5</v>
      </c>
      <c r="D423" s="295"/>
      <c r="E423" s="296">
        <f t="shared" si="95"/>
        <v>0</v>
      </c>
      <c r="F423" s="296">
        <f t="shared" ca="1" si="92"/>
        <v>0</v>
      </c>
      <c r="G423" s="296">
        <f t="shared" ca="1" si="93"/>
        <v>0</v>
      </c>
      <c r="H423" s="296">
        <f t="shared" ca="1" si="94"/>
        <v>32.5</v>
      </c>
      <c r="I423" s="297">
        <f t="shared" ca="1" si="87"/>
        <v>-33</v>
      </c>
    </row>
    <row r="424" spans="1:9">
      <c r="A424" s="295">
        <f t="shared" si="88"/>
        <v>407</v>
      </c>
      <c r="B424" s="300">
        <f t="shared" si="91"/>
        <v>12359</v>
      </c>
      <c r="C424" s="296">
        <f t="shared" ca="1" si="89"/>
        <v>32.5</v>
      </c>
      <c r="D424" s="295"/>
      <c r="E424" s="296">
        <f t="shared" si="95"/>
        <v>0</v>
      </c>
      <c r="F424" s="296">
        <f t="shared" ca="1" si="92"/>
        <v>0</v>
      </c>
      <c r="G424" s="296">
        <f t="shared" ca="1" si="93"/>
        <v>0</v>
      </c>
      <c r="H424" s="296">
        <f t="shared" ca="1" si="94"/>
        <v>32.5</v>
      </c>
      <c r="I424" s="297">
        <f t="shared" ca="1" si="87"/>
        <v>-33</v>
      </c>
    </row>
    <row r="425" spans="1:9">
      <c r="A425" s="295">
        <f t="shared" si="88"/>
        <v>408</v>
      </c>
      <c r="B425" s="300">
        <f t="shared" si="91"/>
        <v>12389</v>
      </c>
      <c r="C425" s="296">
        <f t="shared" ca="1" si="89"/>
        <v>32.5</v>
      </c>
      <c r="D425" s="296">
        <f ca="1">IF(H425&lt;0,0,0.5*(K51-L51))</f>
        <v>-0.5</v>
      </c>
      <c r="E425" s="296">
        <f t="shared" ca="1" si="95"/>
        <v>-0.5</v>
      </c>
      <c r="F425" s="296">
        <f t="shared" ca="1" si="92"/>
        <v>-0.5</v>
      </c>
      <c r="G425" s="296">
        <f t="shared" ca="1" si="93"/>
        <v>0</v>
      </c>
      <c r="H425" s="296">
        <f t="shared" ca="1" si="94"/>
        <v>33</v>
      </c>
      <c r="I425" s="297">
        <f t="shared" ca="1" si="87"/>
        <v>-34</v>
      </c>
    </row>
    <row r="426" spans="1:9">
      <c r="A426" s="295">
        <f t="shared" si="88"/>
        <v>409</v>
      </c>
      <c r="B426" s="300">
        <f t="shared" si="91"/>
        <v>12420</v>
      </c>
      <c r="C426" s="296">
        <f t="shared" ca="1" si="89"/>
        <v>33</v>
      </c>
      <c r="D426" s="295"/>
      <c r="E426" s="296">
        <f>IF($D$10=1,IF(OR(MONTH(B426)=MONTH(EDATE($D$7,0)),MONTH(B426)=MONTH(EDATE($D$7,6))),(MIN($D$425,H425)),0),IF($D$10=0,IF(OR(MONTH(B426)=MONTH(EDATE($D$7,5)),MONTH(B426)=MONTH(EDATE($D$7,11))),(MIN($D$425,H425)),0)))</f>
        <v>0</v>
      </c>
      <c r="F426" s="296">
        <f t="shared" ca="1" si="92"/>
        <v>0</v>
      </c>
      <c r="G426" s="296">
        <f t="shared" ca="1" si="93"/>
        <v>0</v>
      </c>
      <c r="H426" s="296">
        <f t="shared" ca="1" si="94"/>
        <v>33</v>
      </c>
      <c r="I426" s="297">
        <f t="shared" ca="1" si="87"/>
        <v>-33</v>
      </c>
    </row>
    <row r="427" spans="1:9">
      <c r="A427" s="295">
        <f t="shared" si="88"/>
        <v>410</v>
      </c>
      <c r="B427" s="300">
        <f t="shared" si="91"/>
        <v>12451</v>
      </c>
      <c r="C427" s="296">
        <f t="shared" ca="1" si="89"/>
        <v>33</v>
      </c>
      <c r="D427" s="295"/>
      <c r="E427" s="296">
        <f t="shared" ref="E427:E437" si="96">IF($D$10=1,IF(OR(MONTH(B427)=MONTH(EDATE($D$7,0)),MONTH(B427)=MONTH(EDATE($D$7,6))),(MIN($D$425,H426)),0),IF($D$10=0,IF(OR(MONTH(B427)=MONTH(EDATE($D$7,5)),MONTH(B427)=MONTH(EDATE($D$7,11))),(MIN($D$425,H426)),0)))</f>
        <v>0</v>
      </c>
      <c r="F427" s="296">
        <f t="shared" ca="1" si="92"/>
        <v>0</v>
      </c>
      <c r="G427" s="296">
        <f t="shared" ca="1" si="93"/>
        <v>0</v>
      </c>
      <c r="H427" s="296">
        <f t="shared" ca="1" si="94"/>
        <v>33</v>
      </c>
      <c r="I427" s="297">
        <f t="shared" ca="1" si="87"/>
        <v>-33</v>
      </c>
    </row>
    <row r="428" spans="1:9">
      <c r="A428" s="295">
        <f t="shared" si="88"/>
        <v>411</v>
      </c>
      <c r="B428" s="300">
        <f t="shared" si="91"/>
        <v>12479</v>
      </c>
      <c r="C428" s="296">
        <f t="shared" ca="1" si="89"/>
        <v>33</v>
      </c>
      <c r="D428" s="295"/>
      <c r="E428" s="296">
        <f t="shared" si="96"/>
        <v>0</v>
      </c>
      <c r="F428" s="296">
        <f t="shared" ca="1" si="92"/>
        <v>0</v>
      </c>
      <c r="G428" s="296">
        <f t="shared" ca="1" si="93"/>
        <v>0</v>
      </c>
      <c r="H428" s="296">
        <f t="shared" ca="1" si="94"/>
        <v>33</v>
      </c>
      <c r="I428" s="297">
        <f t="shared" ca="1" si="87"/>
        <v>-33</v>
      </c>
    </row>
    <row r="429" spans="1:9">
      <c r="A429" s="295">
        <f t="shared" si="88"/>
        <v>412</v>
      </c>
      <c r="B429" s="300">
        <f t="shared" si="91"/>
        <v>12510</v>
      </c>
      <c r="C429" s="296">
        <f t="shared" ca="1" si="89"/>
        <v>33</v>
      </c>
      <c r="E429" s="296">
        <f t="shared" si="96"/>
        <v>0</v>
      </c>
      <c r="F429" s="296">
        <f t="shared" ca="1" si="92"/>
        <v>0</v>
      </c>
      <c r="G429" s="296">
        <f t="shared" ca="1" si="93"/>
        <v>0</v>
      </c>
      <c r="H429" s="296">
        <f t="shared" ca="1" si="94"/>
        <v>33</v>
      </c>
      <c r="I429" s="297">
        <f t="shared" ca="1" si="87"/>
        <v>-33</v>
      </c>
    </row>
    <row r="430" spans="1:9">
      <c r="A430" s="295">
        <f t="shared" si="88"/>
        <v>413</v>
      </c>
      <c r="B430" s="300">
        <f t="shared" si="91"/>
        <v>12540</v>
      </c>
      <c r="C430" s="296">
        <f t="shared" ca="1" si="89"/>
        <v>33</v>
      </c>
      <c r="D430" s="295"/>
      <c r="E430" s="296">
        <f t="shared" si="96"/>
        <v>0</v>
      </c>
      <c r="F430" s="296">
        <f t="shared" ca="1" si="92"/>
        <v>0</v>
      </c>
      <c r="G430" s="296">
        <f t="shared" ca="1" si="93"/>
        <v>0</v>
      </c>
      <c r="H430" s="296">
        <f t="shared" ca="1" si="94"/>
        <v>33</v>
      </c>
      <c r="I430" s="297">
        <f t="shared" ca="1" si="87"/>
        <v>-33</v>
      </c>
    </row>
    <row r="431" spans="1:9">
      <c r="A431" s="295">
        <f t="shared" si="88"/>
        <v>414</v>
      </c>
      <c r="B431" s="300">
        <f t="shared" si="91"/>
        <v>12571</v>
      </c>
      <c r="C431" s="296">
        <f t="shared" ca="1" si="89"/>
        <v>33</v>
      </c>
      <c r="D431" s="295"/>
      <c r="E431" s="296">
        <f t="shared" ca="1" si="96"/>
        <v>-0.5</v>
      </c>
      <c r="F431" s="296">
        <f t="shared" ca="1" si="92"/>
        <v>-0.5</v>
      </c>
      <c r="G431" s="296">
        <f t="shared" ca="1" si="93"/>
        <v>0</v>
      </c>
      <c r="H431" s="296">
        <f t="shared" ca="1" si="94"/>
        <v>33.5</v>
      </c>
      <c r="I431" s="297">
        <f t="shared" ca="1" si="87"/>
        <v>-34</v>
      </c>
    </row>
    <row r="432" spans="1:9">
      <c r="A432" s="295">
        <f t="shared" si="88"/>
        <v>415</v>
      </c>
      <c r="B432" s="300">
        <f t="shared" si="91"/>
        <v>12601</v>
      </c>
      <c r="C432" s="296">
        <f t="shared" ca="1" si="89"/>
        <v>33.5</v>
      </c>
      <c r="D432" s="295"/>
      <c r="E432" s="296">
        <f t="shared" si="96"/>
        <v>0</v>
      </c>
      <c r="F432" s="296">
        <f t="shared" ca="1" si="92"/>
        <v>0</v>
      </c>
      <c r="G432" s="296">
        <f t="shared" ca="1" si="93"/>
        <v>0</v>
      </c>
      <c r="H432" s="296">
        <f t="shared" ca="1" si="94"/>
        <v>33.5</v>
      </c>
      <c r="I432" s="297">
        <f t="shared" ca="1" si="87"/>
        <v>-34</v>
      </c>
    </row>
    <row r="433" spans="1:9">
      <c r="A433" s="295">
        <f t="shared" si="88"/>
        <v>416</v>
      </c>
      <c r="B433" s="300">
        <f t="shared" si="91"/>
        <v>12632</v>
      </c>
      <c r="C433" s="296">
        <f t="shared" ca="1" si="89"/>
        <v>33.5</v>
      </c>
      <c r="D433" s="295"/>
      <c r="E433" s="296">
        <f t="shared" si="96"/>
        <v>0</v>
      </c>
      <c r="F433" s="296">
        <f t="shared" ca="1" si="92"/>
        <v>0</v>
      </c>
      <c r="G433" s="296">
        <f t="shared" ca="1" si="93"/>
        <v>0</v>
      </c>
      <c r="H433" s="296">
        <f t="shared" ca="1" si="94"/>
        <v>33.5</v>
      </c>
      <c r="I433" s="297">
        <f t="shared" ca="1" si="87"/>
        <v>-34</v>
      </c>
    </row>
    <row r="434" spans="1:9">
      <c r="A434" s="295">
        <f t="shared" si="88"/>
        <v>417</v>
      </c>
      <c r="B434" s="300">
        <f t="shared" si="91"/>
        <v>12663</v>
      </c>
      <c r="C434" s="296">
        <f t="shared" ca="1" si="89"/>
        <v>33.5</v>
      </c>
      <c r="D434" s="295"/>
      <c r="E434" s="296">
        <f t="shared" si="96"/>
        <v>0</v>
      </c>
      <c r="F434" s="296">
        <f t="shared" ca="1" si="92"/>
        <v>0</v>
      </c>
      <c r="G434" s="296">
        <f t="shared" ca="1" si="93"/>
        <v>0</v>
      </c>
      <c r="H434" s="296">
        <f t="shared" ca="1" si="94"/>
        <v>33.5</v>
      </c>
      <c r="I434" s="297">
        <f t="shared" ca="1" si="87"/>
        <v>-34</v>
      </c>
    </row>
    <row r="435" spans="1:9">
      <c r="A435" s="295">
        <f t="shared" si="88"/>
        <v>418</v>
      </c>
      <c r="B435" s="300">
        <f t="shared" si="91"/>
        <v>12693</v>
      </c>
      <c r="C435" s="296">
        <f t="shared" ca="1" si="89"/>
        <v>33.5</v>
      </c>
      <c r="D435" s="295"/>
      <c r="E435" s="296">
        <f t="shared" si="96"/>
        <v>0</v>
      </c>
      <c r="F435" s="296">
        <f t="shared" ca="1" si="92"/>
        <v>0</v>
      </c>
      <c r="G435" s="296">
        <f t="shared" ca="1" si="93"/>
        <v>0</v>
      </c>
      <c r="H435" s="296">
        <f t="shared" ca="1" si="94"/>
        <v>33.5</v>
      </c>
      <c r="I435" s="297">
        <f t="shared" ca="1" si="87"/>
        <v>-34</v>
      </c>
    </row>
    <row r="436" spans="1:9">
      <c r="A436" s="295">
        <f t="shared" si="88"/>
        <v>419</v>
      </c>
      <c r="B436" s="300">
        <f t="shared" si="91"/>
        <v>12724</v>
      </c>
      <c r="C436" s="296">
        <f t="shared" ca="1" si="89"/>
        <v>33.5</v>
      </c>
      <c r="D436" s="295"/>
      <c r="E436" s="296">
        <f t="shared" si="96"/>
        <v>0</v>
      </c>
      <c r="F436" s="296">
        <f t="shared" ca="1" si="92"/>
        <v>0</v>
      </c>
      <c r="G436" s="296">
        <f t="shared" ca="1" si="93"/>
        <v>0</v>
      </c>
      <c r="H436" s="296">
        <f t="shared" ca="1" si="94"/>
        <v>33.5</v>
      </c>
      <c r="I436" s="297">
        <f t="shared" ca="1" si="87"/>
        <v>-34</v>
      </c>
    </row>
    <row r="437" spans="1:9">
      <c r="A437" s="295">
        <f t="shared" si="88"/>
        <v>420</v>
      </c>
      <c r="B437" s="300">
        <f t="shared" si="91"/>
        <v>12754</v>
      </c>
      <c r="C437" s="296">
        <f t="shared" ca="1" si="89"/>
        <v>33.5</v>
      </c>
      <c r="D437" s="296">
        <f ca="1">IF(H437&lt;0,0,0.5*(K52-L52))</f>
        <v>-0.5</v>
      </c>
      <c r="E437" s="296">
        <f t="shared" ca="1" si="96"/>
        <v>-0.5</v>
      </c>
      <c r="F437" s="296">
        <f t="shared" ca="1" si="92"/>
        <v>-0.5</v>
      </c>
      <c r="G437" s="296">
        <f t="shared" ca="1" si="93"/>
        <v>0</v>
      </c>
      <c r="H437" s="296">
        <f t="shared" ca="1" si="94"/>
        <v>34</v>
      </c>
      <c r="I437" s="297">
        <f t="shared" ca="1" si="87"/>
        <v>-35</v>
      </c>
    </row>
    <row r="438" spans="1:9">
      <c r="A438" s="295">
        <f t="shared" si="88"/>
        <v>421</v>
      </c>
      <c r="B438" s="300">
        <f t="shared" si="91"/>
        <v>12785</v>
      </c>
      <c r="C438" s="296">
        <f t="shared" ca="1" si="89"/>
        <v>34</v>
      </c>
      <c r="D438" s="295"/>
      <c r="E438" s="296">
        <f>IF($D$10=1,IF(OR(MONTH(B438)=MONTH(EDATE($D$7,0)),MONTH(B438)=MONTH(EDATE($D$7,6))),(MIN($D$437,H437)),0),IF($D$10=0,IF(OR(MONTH(B438)=MONTH(EDATE($D$7,5)),MONTH(B438)=MONTH(EDATE($D$7,11))),(MIN($D$437,H437)),0)))</f>
        <v>0</v>
      </c>
      <c r="F438" s="296">
        <f t="shared" ca="1" si="92"/>
        <v>0</v>
      </c>
      <c r="G438" s="296">
        <f t="shared" ca="1" si="93"/>
        <v>0</v>
      </c>
      <c r="H438" s="296">
        <f t="shared" ca="1" si="94"/>
        <v>34</v>
      </c>
      <c r="I438" s="297">
        <f t="shared" ca="1" si="87"/>
        <v>-34</v>
      </c>
    </row>
    <row r="439" spans="1:9">
      <c r="A439" s="295">
        <f t="shared" si="88"/>
        <v>422</v>
      </c>
      <c r="B439" s="300">
        <f t="shared" si="91"/>
        <v>12816</v>
      </c>
      <c r="C439" s="296">
        <f t="shared" ca="1" si="89"/>
        <v>34</v>
      </c>
      <c r="D439" s="295"/>
      <c r="E439" s="296">
        <f t="shared" ref="E439:E449" si="97">IF($D$10=1,IF(OR(MONTH(B439)=MONTH(EDATE($D$7,0)),MONTH(B439)=MONTH(EDATE($D$7,6))),(MIN($D$437,H438)),0),IF($D$10=0,IF(OR(MONTH(B439)=MONTH(EDATE($D$7,5)),MONTH(B439)=MONTH(EDATE($D$7,11))),(MIN($D$437,H438)),0)))</f>
        <v>0</v>
      </c>
      <c r="F439" s="296">
        <f t="shared" ca="1" si="92"/>
        <v>0</v>
      </c>
      <c r="G439" s="296">
        <f t="shared" ca="1" si="93"/>
        <v>0</v>
      </c>
      <c r="H439" s="296">
        <f t="shared" ca="1" si="94"/>
        <v>34</v>
      </c>
      <c r="I439" s="297">
        <f t="shared" ca="1" si="87"/>
        <v>-34</v>
      </c>
    </row>
    <row r="440" spans="1:9">
      <c r="A440" s="295">
        <f t="shared" si="88"/>
        <v>423</v>
      </c>
      <c r="B440" s="300">
        <f t="shared" si="91"/>
        <v>12844</v>
      </c>
      <c r="C440" s="296">
        <f t="shared" ca="1" si="89"/>
        <v>34</v>
      </c>
      <c r="D440" s="295"/>
      <c r="E440" s="296">
        <f t="shared" si="97"/>
        <v>0</v>
      </c>
      <c r="F440" s="296">
        <f t="shared" ca="1" si="92"/>
        <v>0</v>
      </c>
      <c r="G440" s="296">
        <f t="shared" ca="1" si="93"/>
        <v>0</v>
      </c>
      <c r="H440" s="296">
        <f t="shared" ca="1" si="94"/>
        <v>34</v>
      </c>
      <c r="I440" s="297">
        <f t="shared" ca="1" si="87"/>
        <v>-34</v>
      </c>
    </row>
    <row r="441" spans="1:9">
      <c r="A441" s="295">
        <f t="shared" si="88"/>
        <v>424</v>
      </c>
      <c r="B441" s="300">
        <f t="shared" si="91"/>
        <v>12875</v>
      </c>
      <c r="C441" s="296">
        <f t="shared" ca="1" si="89"/>
        <v>34</v>
      </c>
      <c r="E441" s="296">
        <f t="shared" si="97"/>
        <v>0</v>
      </c>
      <c r="F441" s="296">
        <f t="shared" ca="1" si="92"/>
        <v>0</v>
      </c>
      <c r="G441" s="296">
        <f t="shared" ca="1" si="93"/>
        <v>0</v>
      </c>
      <c r="H441" s="296">
        <f t="shared" ca="1" si="94"/>
        <v>34</v>
      </c>
      <c r="I441" s="297">
        <f t="shared" ca="1" si="87"/>
        <v>-34</v>
      </c>
    </row>
    <row r="442" spans="1:9">
      <c r="A442" s="295">
        <f t="shared" si="88"/>
        <v>425</v>
      </c>
      <c r="B442" s="300">
        <f t="shared" si="91"/>
        <v>12905</v>
      </c>
      <c r="C442" s="296">
        <f t="shared" ca="1" si="89"/>
        <v>34</v>
      </c>
      <c r="D442" s="295"/>
      <c r="E442" s="296">
        <f t="shared" si="97"/>
        <v>0</v>
      </c>
      <c r="F442" s="296">
        <f t="shared" ca="1" si="92"/>
        <v>0</v>
      </c>
      <c r="G442" s="296">
        <f t="shared" ca="1" si="93"/>
        <v>0</v>
      </c>
      <c r="H442" s="296">
        <f t="shared" ca="1" si="94"/>
        <v>34</v>
      </c>
      <c r="I442" s="297">
        <f t="shared" ca="1" si="87"/>
        <v>-34</v>
      </c>
    </row>
    <row r="443" spans="1:9">
      <c r="A443" s="295">
        <f t="shared" si="88"/>
        <v>426</v>
      </c>
      <c r="B443" s="300">
        <f t="shared" si="91"/>
        <v>12936</v>
      </c>
      <c r="C443" s="296">
        <f t="shared" ca="1" si="89"/>
        <v>34</v>
      </c>
      <c r="D443" s="295"/>
      <c r="E443" s="296">
        <f t="shared" ca="1" si="97"/>
        <v>-0.5</v>
      </c>
      <c r="F443" s="296">
        <f t="shared" ca="1" si="92"/>
        <v>-0.5</v>
      </c>
      <c r="G443" s="296">
        <f t="shared" ca="1" si="93"/>
        <v>0</v>
      </c>
      <c r="H443" s="296">
        <f t="shared" ca="1" si="94"/>
        <v>34.5</v>
      </c>
      <c r="I443" s="297">
        <f t="shared" ca="1" si="87"/>
        <v>-35</v>
      </c>
    </row>
    <row r="444" spans="1:9">
      <c r="A444" s="295">
        <f t="shared" si="88"/>
        <v>427</v>
      </c>
      <c r="B444" s="300">
        <f t="shared" si="91"/>
        <v>12966</v>
      </c>
      <c r="C444" s="296">
        <f t="shared" ca="1" si="89"/>
        <v>34.5</v>
      </c>
      <c r="D444" s="295"/>
      <c r="E444" s="296">
        <f t="shared" si="97"/>
        <v>0</v>
      </c>
      <c r="F444" s="296">
        <f t="shared" ca="1" si="92"/>
        <v>0</v>
      </c>
      <c r="G444" s="296">
        <f t="shared" ca="1" si="93"/>
        <v>0</v>
      </c>
      <c r="H444" s="296">
        <f t="shared" ca="1" si="94"/>
        <v>34.5</v>
      </c>
      <c r="I444" s="297">
        <f t="shared" ca="1" si="87"/>
        <v>-35</v>
      </c>
    </row>
    <row r="445" spans="1:9">
      <c r="A445" s="295">
        <f t="shared" si="88"/>
        <v>428</v>
      </c>
      <c r="B445" s="300">
        <f t="shared" si="91"/>
        <v>12997</v>
      </c>
      <c r="C445" s="296">
        <f t="shared" ca="1" si="89"/>
        <v>34.5</v>
      </c>
      <c r="D445" s="295"/>
      <c r="E445" s="296">
        <f t="shared" si="97"/>
        <v>0</v>
      </c>
      <c r="F445" s="296">
        <f t="shared" ca="1" si="92"/>
        <v>0</v>
      </c>
      <c r="G445" s="296">
        <f t="shared" ca="1" si="93"/>
        <v>0</v>
      </c>
      <c r="H445" s="296">
        <f t="shared" ca="1" si="94"/>
        <v>34.5</v>
      </c>
      <c r="I445" s="297">
        <f t="shared" ca="1" si="87"/>
        <v>-35</v>
      </c>
    </row>
    <row r="446" spans="1:9">
      <c r="A446" s="295">
        <f t="shared" si="88"/>
        <v>429</v>
      </c>
      <c r="B446" s="300">
        <f t="shared" si="91"/>
        <v>13028</v>
      </c>
      <c r="C446" s="296">
        <f t="shared" ca="1" si="89"/>
        <v>34.5</v>
      </c>
      <c r="D446" s="295"/>
      <c r="E446" s="296">
        <f t="shared" si="97"/>
        <v>0</v>
      </c>
      <c r="F446" s="296">
        <f t="shared" ca="1" si="92"/>
        <v>0</v>
      </c>
      <c r="G446" s="296">
        <f t="shared" ca="1" si="93"/>
        <v>0</v>
      </c>
      <c r="H446" s="296">
        <f t="shared" ca="1" si="94"/>
        <v>34.5</v>
      </c>
      <c r="I446" s="297">
        <f t="shared" ca="1" si="87"/>
        <v>-35</v>
      </c>
    </row>
    <row r="447" spans="1:9">
      <c r="A447" s="295">
        <f t="shared" si="88"/>
        <v>430</v>
      </c>
      <c r="B447" s="300">
        <f t="shared" si="91"/>
        <v>13058</v>
      </c>
      <c r="C447" s="296">
        <f t="shared" ca="1" si="89"/>
        <v>34.5</v>
      </c>
      <c r="D447" s="295"/>
      <c r="E447" s="296">
        <f t="shared" si="97"/>
        <v>0</v>
      </c>
      <c r="F447" s="296">
        <f t="shared" ca="1" si="92"/>
        <v>0</v>
      </c>
      <c r="G447" s="296">
        <f t="shared" ca="1" si="93"/>
        <v>0</v>
      </c>
      <c r="H447" s="296">
        <f t="shared" ca="1" si="94"/>
        <v>34.5</v>
      </c>
      <c r="I447" s="297">
        <f t="shared" ca="1" si="87"/>
        <v>-35</v>
      </c>
    </row>
    <row r="448" spans="1:9">
      <c r="A448" s="295">
        <f t="shared" si="88"/>
        <v>431</v>
      </c>
      <c r="B448" s="300">
        <f t="shared" si="91"/>
        <v>13089</v>
      </c>
      <c r="C448" s="296">
        <f t="shared" ca="1" si="89"/>
        <v>34.5</v>
      </c>
      <c r="D448" s="295"/>
      <c r="E448" s="296">
        <f t="shared" si="97"/>
        <v>0</v>
      </c>
      <c r="F448" s="296">
        <f t="shared" ca="1" si="92"/>
        <v>0</v>
      </c>
      <c r="G448" s="296">
        <f t="shared" ca="1" si="93"/>
        <v>0</v>
      </c>
      <c r="H448" s="296">
        <f t="shared" ca="1" si="94"/>
        <v>34.5</v>
      </c>
      <c r="I448" s="297">
        <f t="shared" ca="1" si="87"/>
        <v>-35</v>
      </c>
    </row>
    <row r="449" spans="1:9">
      <c r="A449" s="295">
        <f t="shared" si="88"/>
        <v>432</v>
      </c>
      <c r="B449" s="300">
        <f t="shared" si="91"/>
        <v>13119</v>
      </c>
      <c r="C449" s="296">
        <f t="shared" ca="1" si="89"/>
        <v>34.5</v>
      </c>
      <c r="D449" s="296">
        <f ca="1">IF(H449&lt;0,0,0.5*(K53-L53))</f>
        <v>-0.5</v>
      </c>
      <c r="E449" s="296">
        <f t="shared" ca="1" si="97"/>
        <v>-0.5</v>
      </c>
      <c r="F449" s="296">
        <f t="shared" ca="1" si="92"/>
        <v>-0.5</v>
      </c>
      <c r="G449" s="296">
        <f t="shared" ca="1" si="93"/>
        <v>0</v>
      </c>
      <c r="H449" s="296">
        <f t="shared" ca="1" si="94"/>
        <v>35</v>
      </c>
      <c r="I449" s="297">
        <f t="shared" ca="1" si="87"/>
        <v>-36</v>
      </c>
    </row>
    <row r="450" spans="1:9">
      <c r="A450" s="295">
        <f t="shared" si="88"/>
        <v>433</v>
      </c>
      <c r="B450" s="300">
        <f t="shared" si="91"/>
        <v>13150</v>
      </c>
      <c r="C450" s="296">
        <f t="shared" ca="1" si="89"/>
        <v>35</v>
      </c>
      <c r="D450" s="295"/>
      <c r="E450" s="296">
        <f>IF($D$10=1,IF(OR(MONTH(B450)=MONTH(EDATE($D$7,0)),MONTH(B450)=MONTH(EDATE($D$7,6))),(MIN($D$449,H449)),0),IF($D$10=0,IF(OR(MONTH(B450)=MONTH(EDATE($D$7,5)),MONTH(B450)=MONTH(EDATE($D$7,11))),(MIN($D$449,H449)),0)))</f>
        <v>0</v>
      </c>
      <c r="F450" s="296">
        <f t="shared" ca="1" si="92"/>
        <v>0</v>
      </c>
      <c r="G450" s="296">
        <f t="shared" ca="1" si="93"/>
        <v>0</v>
      </c>
      <c r="H450" s="296">
        <f t="shared" ca="1" si="94"/>
        <v>35</v>
      </c>
      <c r="I450" s="297">
        <f t="shared" ca="1" si="87"/>
        <v>-35</v>
      </c>
    </row>
    <row r="451" spans="1:9">
      <c r="A451" s="295">
        <f t="shared" si="88"/>
        <v>434</v>
      </c>
      <c r="B451" s="300">
        <f t="shared" si="91"/>
        <v>13181</v>
      </c>
      <c r="C451" s="296">
        <f t="shared" ca="1" si="89"/>
        <v>35</v>
      </c>
      <c r="D451" s="295"/>
      <c r="E451" s="296">
        <f t="shared" ref="E451:E461" si="98">IF($D$10=1,IF(OR(MONTH(B451)=MONTH(EDATE($D$7,0)),MONTH(B451)=MONTH(EDATE($D$7,6))),(MIN($D$449,H450)),0),IF($D$10=0,IF(OR(MONTH(B451)=MONTH(EDATE($D$7,5)),MONTH(B451)=MONTH(EDATE($D$7,11))),(MIN($D$449,H450)),0)))</f>
        <v>0</v>
      </c>
      <c r="F451" s="296">
        <f t="shared" ca="1" si="92"/>
        <v>0</v>
      </c>
      <c r="G451" s="296">
        <f t="shared" ca="1" si="93"/>
        <v>0</v>
      </c>
      <c r="H451" s="296">
        <f t="shared" ca="1" si="94"/>
        <v>35</v>
      </c>
      <c r="I451" s="297">
        <f t="shared" ca="1" si="87"/>
        <v>-35</v>
      </c>
    </row>
    <row r="452" spans="1:9">
      <c r="A452" s="295">
        <f t="shared" si="88"/>
        <v>435</v>
      </c>
      <c r="B452" s="300">
        <f t="shared" si="91"/>
        <v>13210</v>
      </c>
      <c r="C452" s="296">
        <f t="shared" ca="1" si="89"/>
        <v>35</v>
      </c>
      <c r="D452" s="295"/>
      <c r="E452" s="296">
        <f t="shared" si="98"/>
        <v>0</v>
      </c>
      <c r="F452" s="296">
        <f t="shared" ca="1" si="92"/>
        <v>0</v>
      </c>
      <c r="G452" s="296">
        <f t="shared" ca="1" si="93"/>
        <v>0</v>
      </c>
      <c r="H452" s="296">
        <f t="shared" ca="1" si="94"/>
        <v>35</v>
      </c>
      <c r="I452" s="297">
        <f t="shared" ca="1" si="87"/>
        <v>-35</v>
      </c>
    </row>
    <row r="453" spans="1:9">
      <c r="A453" s="295">
        <f t="shared" si="88"/>
        <v>436</v>
      </c>
      <c r="B453" s="300">
        <f t="shared" si="91"/>
        <v>13241</v>
      </c>
      <c r="C453" s="296">
        <f t="shared" ca="1" si="89"/>
        <v>35</v>
      </c>
      <c r="D453" s="296"/>
      <c r="E453" s="296">
        <f t="shared" si="98"/>
        <v>0</v>
      </c>
      <c r="F453" s="296">
        <f t="shared" ca="1" si="92"/>
        <v>0</v>
      </c>
      <c r="G453" s="296">
        <f t="shared" ca="1" si="93"/>
        <v>0</v>
      </c>
      <c r="H453" s="296">
        <f t="shared" ca="1" si="94"/>
        <v>35</v>
      </c>
      <c r="I453" s="297">
        <f t="shared" ca="1" si="87"/>
        <v>-35</v>
      </c>
    </row>
    <row r="454" spans="1:9">
      <c r="A454" s="295">
        <f t="shared" si="88"/>
        <v>437</v>
      </c>
      <c r="B454" s="300">
        <f t="shared" si="91"/>
        <v>13271</v>
      </c>
      <c r="C454" s="296">
        <f t="shared" ca="1" si="89"/>
        <v>35</v>
      </c>
      <c r="D454" s="295"/>
      <c r="E454" s="296">
        <f t="shared" si="98"/>
        <v>0</v>
      </c>
      <c r="F454" s="296">
        <f t="shared" ca="1" si="92"/>
        <v>0</v>
      </c>
      <c r="G454" s="296">
        <f t="shared" ca="1" si="93"/>
        <v>0</v>
      </c>
      <c r="H454" s="296">
        <f t="shared" ca="1" si="94"/>
        <v>35</v>
      </c>
      <c r="I454" s="297">
        <f t="shared" ca="1" si="87"/>
        <v>-35</v>
      </c>
    </row>
    <row r="455" spans="1:9">
      <c r="A455" s="295">
        <f t="shared" si="88"/>
        <v>438</v>
      </c>
      <c r="B455" s="300">
        <f t="shared" si="91"/>
        <v>13302</v>
      </c>
      <c r="C455" s="296">
        <f t="shared" ca="1" si="89"/>
        <v>35</v>
      </c>
      <c r="D455" s="295"/>
      <c r="E455" s="296">
        <f t="shared" ca="1" si="98"/>
        <v>-0.5</v>
      </c>
      <c r="F455" s="296">
        <f t="shared" ca="1" si="92"/>
        <v>-0.5</v>
      </c>
      <c r="G455" s="296">
        <f t="shared" ca="1" si="93"/>
        <v>0</v>
      </c>
      <c r="H455" s="296">
        <f t="shared" ca="1" si="94"/>
        <v>35.5</v>
      </c>
      <c r="I455" s="297">
        <f t="shared" ca="1" si="87"/>
        <v>-36</v>
      </c>
    </row>
    <row r="456" spans="1:9">
      <c r="A456" s="295">
        <f t="shared" si="88"/>
        <v>439</v>
      </c>
      <c r="B456" s="300">
        <f t="shared" si="91"/>
        <v>13332</v>
      </c>
      <c r="C456" s="296">
        <f t="shared" ca="1" si="89"/>
        <v>35.5</v>
      </c>
      <c r="D456" s="295"/>
      <c r="E456" s="296">
        <f t="shared" si="98"/>
        <v>0</v>
      </c>
      <c r="F456" s="296">
        <f t="shared" ca="1" si="92"/>
        <v>0</v>
      </c>
      <c r="G456" s="296">
        <f t="shared" ca="1" si="93"/>
        <v>0</v>
      </c>
      <c r="H456" s="296">
        <f t="shared" ca="1" si="94"/>
        <v>35.5</v>
      </c>
      <c r="I456" s="297">
        <f t="shared" ca="1" si="87"/>
        <v>-36</v>
      </c>
    </row>
    <row r="457" spans="1:9">
      <c r="A457" s="295">
        <f t="shared" si="88"/>
        <v>440</v>
      </c>
      <c r="B457" s="300">
        <f t="shared" si="91"/>
        <v>13363</v>
      </c>
      <c r="C457" s="296">
        <f t="shared" ca="1" si="89"/>
        <v>35.5</v>
      </c>
      <c r="D457" s="295"/>
      <c r="E457" s="296">
        <f t="shared" si="98"/>
        <v>0</v>
      </c>
      <c r="F457" s="296">
        <f t="shared" ca="1" si="92"/>
        <v>0</v>
      </c>
      <c r="G457" s="296">
        <f t="shared" ca="1" si="93"/>
        <v>0</v>
      </c>
      <c r="H457" s="296">
        <f t="shared" ca="1" si="94"/>
        <v>35.5</v>
      </c>
      <c r="I457" s="297">
        <f t="shared" ca="1" si="87"/>
        <v>-36</v>
      </c>
    </row>
    <row r="458" spans="1:9">
      <c r="A458" s="295">
        <f t="shared" si="88"/>
        <v>441</v>
      </c>
      <c r="B458" s="300">
        <f t="shared" si="91"/>
        <v>13394</v>
      </c>
      <c r="C458" s="296">
        <f t="shared" ca="1" si="89"/>
        <v>35.5</v>
      </c>
      <c r="D458" s="295"/>
      <c r="E458" s="296">
        <f t="shared" si="98"/>
        <v>0</v>
      </c>
      <c r="F458" s="296">
        <f t="shared" ca="1" si="92"/>
        <v>0</v>
      </c>
      <c r="G458" s="296">
        <f t="shared" ca="1" si="93"/>
        <v>0</v>
      </c>
      <c r="H458" s="296">
        <f t="shared" ca="1" si="94"/>
        <v>35.5</v>
      </c>
      <c r="I458" s="297">
        <f t="shared" ca="1" si="87"/>
        <v>-36</v>
      </c>
    </row>
    <row r="459" spans="1:9">
      <c r="A459" s="295">
        <f t="shared" si="88"/>
        <v>442</v>
      </c>
      <c r="B459" s="300">
        <f t="shared" si="91"/>
        <v>13424</v>
      </c>
      <c r="C459" s="296">
        <f t="shared" ca="1" si="89"/>
        <v>35.5</v>
      </c>
      <c r="D459" s="295"/>
      <c r="E459" s="296">
        <f t="shared" si="98"/>
        <v>0</v>
      </c>
      <c r="F459" s="296">
        <f t="shared" ca="1" si="92"/>
        <v>0</v>
      </c>
      <c r="G459" s="296">
        <f t="shared" ca="1" si="93"/>
        <v>0</v>
      </c>
      <c r="H459" s="296">
        <f t="shared" ca="1" si="94"/>
        <v>35.5</v>
      </c>
      <c r="I459" s="297">
        <f t="shared" ca="1" si="87"/>
        <v>-36</v>
      </c>
    </row>
    <row r="460" spans="1:9">
      <c r="A460" s="295">
        <f t="shared" si="88"/>
        <v>443</v>
      </c>
      <c r="B460" s="300">
        <f t="shared" si="91"/>
        <v>13455</v>
      </c>
      <c r="C460" s="296">
        <f t="shared" ca="1" si="89"/>
        <v>35.5</v>
      </c>
      <c r="D460" s="295"/>
      <c r="E460" s="296">
        <f t="shared" si="98"/>
        <v>0</v>
      </c>
      <c r="F460" s="296">
        <f t="shared" ca="1" si="92"/>
        <v>0</v>
      </c>
      <c r="G460" s="296">
        <f t="shared" ca="1" si="93"/>
        <v>0</v>
      </c>
      <c r="H460" s="296">
        <f t="shared" ca="1" si="94"/>
        <v>35.5</v>
      </c>
      <c r="I460" s="297">
        <f t="shared" ca="1" si="87"/>
        <v>-36</v>
      </c>
    </row>
    <row r="461" spans="1:9">
      <c r="A461" s="295">
        <f t="shared" si="88"/>
        <v>444</v>
      </c>
      <c r="B461" s="300">
        <f t="shared" si="91"/>
        <v>13485</v>
      </c>
      <c r="C461" s="296">
        <f t="shared" ca="1" si="89"/>
        <v>35.5</v>
      </c>
      <c r="D461" s="296">
        <f ca="1">IF(H461&lt;0,0,0.5*(K54-L54))</f>
        <v>-0.5</v>
      </c>
      <c r="E461" s="296">
        <f t="shared" ca="1" si="98"/>
        <v>-0.5</v>
      </c>
      <c r="F461" s="296">
        <f t="shared" ca="1" si="92"/>
        <v>-0.5</v>
      </c>
      <c r="G461" s="296">
        <f t="shared" ca="1" si="93"/>
        <v>0</v>
      </c>
      <c r="H461" s="296">
        <f t="shared" ca="1" si="94"/>
        <v>36</v>
      </c>
      <c r="I461" s="297">
        <f t="shared" ca="1" si="87"/>
        <v>-37</v>
      </c>
    </row>
    <row r="462" spans="1:9">
      <c r="A462" s="295">
        <f t="shared" si="88"/>
        <v>445</v>
      </c>
      <c r="B462" s="300">
        <f t="shared" si="91"/>
        <v>13516</v>
      </c>
      <c r="C462" s="296">
        <f t="shared" ca="1" si="89"/>
        <v>36</v>
      </c>
      <c r="D462" s="295"/>
      <c r="E462" s="296">
        <f>IF($D$10=1,IF(OR(MONTH(B462)=MONTH(EDATE($D$7,0)),MONTH(B462)=MONTH(EDATE($D$7,6))),(MIN($D$461,H461)),0),IF($D$10=0,IF(OR(MONTH(B462)=MONTH(EDATE($D$7,5)),MONTH(B462)=MONTH(EDATE($D$7,11))),(MIN($D$461,H461)),0)))</f>
        <v>0</v>
      </c>
      <c r="F462" s="296">
        <f t="shared" ca="1" si="92"/>
        <v>0</v>
      </c>
      <c r="G462" s="296">
        <f t="shared" ca="1" si="93"/>
        <v>0</v>
      </c>
      <c r="H462" s="296">
        <f t="shared" ca="1" si="94"/>
        <v>36</v>
      </c>
      <c r="I462" s="297">
        <f t="shared" ca="1" si="87"/>
        <v>-36</v>
      </c>
    </row>
    <row r="463" spans="1:9">
      <c r="A463" s="295">
        <f t="shared" si="88"/>
        <v>446</v>
      </c>
      <c r="B463" s="300">
        <f t="shared" si="91"/>
        <v>13547</v>
      </c>
      <c r="C463" s="296">
        <f t="shared" ca="1" si="89"/>
        <v>36</v>
      </c>
      <c r="D463" s="295"/>
      <c r="E463" s="296">
        <f t="shared" ref="E463:E473" si="99">IF($D$10=1,IF(OR(MONTH(B463)=MONTH(EDATE($D$7,0)),MONTH(B463)=MONTH(EDATE($D$7,6))),(MIN($D$461,H462)),0),IF($D$10=0,IF(OR(MONTH(B463)=MONTH(EDATE($D$7,5)),MONTH(B463)=MONTH(EDATE($D$7,11))),(MIN($D$461,H462)),0)))</f>
        <v>0</v>
      </c>
      <c r="F463" s="296">
        <f t="shared" ca="1" si="92"/>
        <v>0</v>
      </c>
      <c r="G463" s="296">
        <f t="shared" ca="1" si="93"/>
        <v>0</v>
      </c>
      <c r="H463" s="296">
        <f t="shared" ca="1" si="94"/>
        <v>36</v>
      </c>
      <c r="I463" s="297">
        <f t="shared" ca="1" si="87"/>
        <v>-36</v>
      </c>
    </row>
    <row r="464" spans="1:9">
      <c r="A464" s="295">
        <f t="shared" si="88"/>
        <v>447</v>
      </c>
      <c r="B464" s="300">
        <f t="shared" si="91"/>
        <v>13575</v>
      </c>
      <c r="C464" s="296">
        <f t="shared" ca="1" si="89"/>
        <v>36</v>
      </c>
      <c r="D464" s="295"/>
      <c r="E464" s="296">
        <f t="shared" si="99"/>
        <v>0</v>
      </c>
      <c r="F464" s="296">
        <f t="shared" ca="1" si="92"/>
        <v>0</v>
      </c>
      <c r="G464" s="296">
        <f t="shared" ca="1" si="93"/>
        <v>0</v>
      </c>
      <c r="H464" s="296">
        <f t="shared" ca="1" si="94"/>
        <v>36</v>
      </c>
      <c r="I464" s="297">
        <f t="shared" ca="1" si="87"/>
        <v>-36</v>
      </c>
    </row>
    <row r="465" spans="1:9">
      <c r="A465" s="295">
        <f t="shared" si="88"/>
        <v>448</v>
      </c>
      <c r="B465" s="300">
        <f t="shared" si="91"/>
        <v>13606</v>
      </c>
      <c r="C465" s="296">
        <f t="shared" ca="1" si="89"/>
        <v>36</v>
      </c>
      <c r="D465" s="296"/>
      <c r="E465" s="296">
        <f t="shared" si="99"/>
        <v>0</v>
      </c>
      <c r="F465" s="296">
        <f t="shared" ca="1" si="92"/>
        <v>0</v>
      </c>
      <c r="G465" s="296">
        <f t="shared" ca="1" si="93"/>
        <v>0</v>
      </c>
      <c r="H465" s="296">
        <f t="shared" ca="1" si="94"/>
        <v>36</v>
      </c>
      <c r="I465" s="297">
        <f t="shared" ca="1" si="87"/>
        <v>-36</v>
      </c>
    </row>
    <row r="466" spans="1:9">
      <c r="A466" s="295">
        <f t="shared" si="88"/>
        <v>449</v>
      </c>
      <c r="B466" s="300">
        <f t="shared" si="91"/>
        <v>13636</v>
      </c>
      <c r="C466" s="296">
        <f t="shared" ca="1" si="89"/>
        <v>36</v>
      </c>
      <c r="D466" s="295"/>
      <c r="E466" s="296">
        <f t="shared" si="99"/>
        <v>0</v>
      </c>
      <c r="F466" s="296">
        <f t="shared" ca="1" si="92"/>
        <v>0</v>
      </c>
      <c r="G466" s="296">
        <f t="shared" ca="1" si="93"/>
        <v>0</v>
      </c>
      <c r="H466" s="296">
        <f t="shared" ca="1" si="94"/>
        <v>36</v>
      </c>
      <c r="I466" s="297">
        <f t="shared" ref="I466:I497" ca="1" si="100">ROUND((D466-H466),0)</f>
        <v>-36</v>
      </c>
    </row>
    <row r="467" spans="1:9">
      <c r="A467" s="295">
        <f t="shared" ref="A467:A497" si="101">IF(A466="","",IF(A466=$D$6,"",A466+1))</f>
        <v>450</v>
      </c>
      <c r="B467" s="300">
        <f t="shared" si="91"/>
        <v>13667</v>
      </c>
      <c r="C467" s="296">
        <f t="shared" ref="C467:C497" ca="1" si="102">IF(H466=0,0,H466)</f>
        <v>36</v>
      </c>
      <c r="D467" s="295"/>
      <c r="E467" s="296">
        <f t="shared" ca="1" si="99"/>
        <v>-0.5</v>
      </c>
      <c r="F467" s="296">
        <f t="shared" ca="1" si="92"/>
        <v>-0.5</v>
      </c>
      <c r="G467" s="296">
        <f t="shared" ca="1" si="93"/>
        <v>0</v>
      </c>
      <c r="H467" s="296">
        <f t="shared" ca="1" si="94"/>
        <v>36.5</v>
      </c>
      <c r="I467" s="297">
        <f t="shared" ca="1" si="100"/>
        <v>-37</v>
      </c>
    </row>
    <row r="468" spans="1:9">
      <c r="A468" s="295">
        <f t="shared" si="101"/>
        <v>451</v>
      </c>
      <c r="B468" s="300">
        <f t="shared" ref="B468:B497" si="103">DATE(YEAR(B467),MONTH(B467)+1,1)</f>
        <v>13697</v>
      </c>
      <c r="C468" s="296">
        <f t="shared" ca="1" si="102"/>
        <v>36.5</v>
      </c>
      <c r="D468" s="295"/>
      <c r="E468" s="296">
        <f t="shared" si="99"/>
        <v>0</v>
      </c>
      <c r="F468" s="296">
        <f t="shared" ca="1" si="92"/>
        <v>0</v>
      </c>
      <c r="G468" s="296">
        <f t="shared" ca="1" si="93"/>
        <v>0</v>
      </c>
      <c r="H468" s="296">
        <f t="shared" ca="1" si="94"/>
        <v>36.5</v>
      </c>
      <c r="I468" s="297">
        <f t="shared" ca="1" si="100"/>
        <v>-37</v>
      </c>
    </row>
    <row r="469" spans="1:9">
      <c r="A469" s="295">
        <f t="shared" si="101"/>
        <v>452</v>
      </c>
      <c r="B469" s="300">
        <f t="shared" si="103"/>
        <v>13728</v>
      </c>
      <c r="C469" s="296">
        <f t="shared" ca="1" si="102"/>
        <v>36.5</v>
      </c>
      <c r="D469" s="295"/>
      <c r="E469" s="296">
        <f t="shared" si="99"/>
        <v>0</v>
      </c>
      <c r="F469" s="296">
        <f t="shared" ca="1" si="92"/>
        <v>0</v>
      </c>
      <c r="G469" s="296">
        <f t="shared" ca="1" si="93"/>
        <v>0</v>
      </c>
      <c r="H469" s="296">
        <f t="shared" ca="1" si="94"/>
        <v>36.5</v>
      </c>
      <c r="I469" s="297">
        <f t="shared" ca="1" si="100"/>
        <v>-37</v>
      </c>
    </row>
    <row r="470" spans="1:9">
      <c r="A470" s="295">
        <f t="shared" si="101"/>
        <v>453</v>
      </c>
      <c r="B470" s="300">
        <f t="shared" si="103"/>
        <v>13759</v>
      </c>
      <c r="C470" s="296">
        <f t="shared" ca="1" si="102"/>
        <v>36.5</v>
      </c>
      <c r="D470" s="295"/>
      <c r="E470" s="296">
        <f t="shared" si="99"/>
        <v>0</v>
      </c>
      <c r="F470" s="296">
        <f t="shared" ca="1" si="92"/>
        <v>0</v>
      </c>
      <c r="G470" s="296">
        <f t="shared" ca="1" si="93"/>
        <v>0</v>
      </c>
      <c r="H470" s="296">
        <f t="shared" ca="1" si="94"/>
        <v>36.5</v>
      </c>
      <c r="I470" s="297">
        <f t="shared" ca="1" si="100"/>
        <v>-37</v>
      </c>
    </row>
    <row r="471" spans="1:9">
      <c r="A471" s="295">
        <f t="shared" si="101"/>
        <v>454</v>
      </c>
      <c r="B471" s="300">
        <f t="shared" si="103"/>
        <v>13789</v>
      </c>
      <c r="C471" s="296">
        <f t="shared" ca="1" si="102"/>
        <v>36.5</v>
      </c>
      <c r="D471" s="295"/>
      <c r="E471" s="296">
        <f t="shared" si="99"/>
        <v>0</v>
      </c>
      <c r="F471" s="296">
        <f t="shared" ca="1" si="92"/>
        <v>0</v>
      </c>
      <c r="G471" s="296">
        <f t="shared" ca="1" si="93"/>
        <v>0</v>
      </c>
      <c r="H471" s="296">
        <f t="shared" ca="1" si="94"/>
        <v>36.5</v>
      </c>
      <c r="I471" s="297">
        <f t="shared" ca="1" si="100"/>
        <v>-37</v>
      </c>
    </row>
    <row r="472" spans="1:9">
      <c r="A472" s="295">
        <f t="shared" si="101"/>
        <v>455</v>
      </c>
      <c r="B472" s="300">
        <f t="shared" si="103"/>
        <v>13820</v>
      </c>
      <c r="C472" s="296">
        <f t="shared" ca="1" si="102"/>
        <v>36.5</v>
      </c>
      <c r="D472" s="295"/>
      <c r="E472" s="296">
        <f t="shared" si="99"/>
        <v>0</v>
      </c>
      <c r="F472" s="296">
        <f t="shared" ca="1" si="92"/>
        <v>0</v>
      </c>
      <c r="G472" s="296">
        <f t="shared" ca="1" si="93"/>
        <v>0</v>
      </c>
      <c r="H472" s="296">
        <f t="shared" ca="1" si="94"/>
        <v>36.5</v>
      </c>
      <c r="I472" s="297">
        <f t="shared" ca="1" si="100"/>
        <v>-37</v>
      </c>
    </row>
    <row r="473" spans="1:9">
      <c r="A473" s="295">
        <f t="shared" si="101"/>
        <v>456</v>
      </c>
      <c r="B473" s="300">
        <f t="shared" si="103"/>
        <v>13850</v>
      </c>
      <c r="C473" s="296">
        <f t="shared" ca="1" si="102"/>
        <v>36.5</v>
      </c>
      <c r="D473" s="296">
        <f ca="1">IF(H473&lt;0,0,0.5*(K55-L55))</f>
        <v>-0.5</v>
      </c>
      <c r="E473" s="296">
        <f t="shared" ca="1" si="99"/>
        <v>-0.5</v>
      </c>
      <c r="F473" s="296">
        <f t="shared" ca="1" si="92"/>
        <v>-0.5</v>
      </c>
      <c r="G473" s="296">
        <f t="shared" ca="1" si="93"/>
        <v>0</v>
      </c>
      <c r="H473" s="296">
        <f t="shared" ca="1" si="94"/>
        <v>37</v>
      </c>
      <c r="I473" s="297">
        <f t="shared" ca="1" si="100"/>
        <v>-38</v>
      </c>
    </row>
    <row r="474" spans="1:9">
      <c r="A474" s="295">
        <f t="shared" si="101"/>
        <v>457</v>
      </c>
      <c r="B474" s="300">
        <f t="shared" si="103"/>
        <v>13881</v>
      </c>
      <c r="C474" s="296">
        <f t="shared" ca="1" si="102"/>
        <v>37</v>
      </c>
      <c r="D474" s="295"/>
      <c r="E474" s="296">
        <f>IF($D$10=1,IF(OR(MONTH(B474)=MONTH(EDATE($D$7,0)),MONTH(B474)=MONTH(EDATE($D$7,6))),(MIN($D$473,H473)),0),IF($D$10=0,IF(OR(MONTH(B474)=MONTH(EDATE($D$7,5)),MONTH(B474)=MONTH(EDATE($D$7,11))),(MIN($D$473,H473)),0)))</f>
        <v>0</v>
      </c>
      <c r="F474" s="296">
        <f t="shared" ca="1" si="92"/>
        <v>0</v>
      </c>
      <c r="G474" s="296">
        <f t="shared" ca="1" si="93"/>
        <v>0</v>
      </c>
      <c r="H474" s="296">
        <f t="shared" ca="1" si="94"/>
        <v>37</v>
      </c>
      <c r="I474" s="297">
        <f t="shared" ca="1" si="100"/>
        <v>-37</v>
      </c>
    </row>
    <row r="475" spans="1:9">
      <c r="A475" s="295">
        <f t="shared" si="101"/>
        <v>458</v>
      </c>
      <c r="B475" s="300">
        <f t="shared" si="103"/>
        <v>13912</v>
      </c>
      <c r="C475" s="296">
        <f t="shared" ca="1" si="102"/>
        <v>37</v>
      </c>
      <c r="D475" s="295"/>
      <c r="E475" s="296">
        <f t="shared" ref="E475:E485" si="104">IF($D$10=1,IF(OR(MONTH(B475)=MONTH(EDATE($D$7,0)),MONTH(B475)=MONTH(EDATE($D$7,6))),(MIN($D$473,H474)),0),IF($D$10=0,IF(OR(MONTH(B475)=MONTH(EDATE($D$7,5)),MONTH(B475)=MONTH(EDATE($D$7,11))),(MIN($D$473,H474)),0)))</f>
        <v>0</v>
      </c>
      <c r="F475" s="296">
        <f t="shared" ca="1" si="92"/>
        <v>0</v>
      </c>
      <c r="G475" s="296">
        <f t="shared" ca="1" si="93"/>
        <v>0</v>
      </c>
      <c r="H475" s="296">
        <f t="shared" ca="1" si="94"/>
        <v>37</v>
      </c>
      <c r="I475" s="297">
        <f t="shared" ca="1" si="100"/>
        <v>-37</v>
      </c>
    </row>
    <row r="476" spans="1:9">
      <c r="A476" s="295">
        <f t="shared" si="101"/>
        <v>459</v>
      </c>
      <c r="B476" s="300">
        <f t="shared" si="103"/>
        <v>13940</v>
      </c>
      <c r="C476" s="296">
        <f t="shared" ca="1" si="102"/>
        <v>37</v>
      </c>
      <c r="D476" s="295"/>
      <c r="E476" s="296">
        <f t="shared" si="104"/>
        <v>0</v>
      </c>
      <c r="F476" s="296">
        <f t="shared" ca="1" si="92"/>
        <v>0</v>
      </c>
      <c r="G476" s="296">
        <f t="shared" ca="1" si="93"/>
        <v>0</v>
      </c>
      <c r="H476" s="296">
        <f t="shared" ca="1" si="94"/>
        <v>37</v>
      </c>
      <c r="I476" s="297">
        <f t="shared" ca="1" si="100"/>
        <v>-37</v>
      </c>
    </row>
    <row r="477" spans="1:9">
      <c r="A477" s="295">
        <f t="shared" si="101"/>
        <v>460</v>
      </c>
      <c r="B477" s="300">
        <f t="shared" si="103"/>
        <v>13971</v>
      </c>
      <c r="C477" s="296">
        <f t="shared" ca="1" si="102"/>
        <v>37</v>
      </c>
      <c r="D477" s="296"/>
      <c r="E477" s="296">
        <f t="shared" si="104"/>
        <v>0</v>
      </c>
      <c r="F477" s="296">
        <f t="shared" ca="1" si="92"/>
        <v>0</v>
      </c>
      <c r="G477" s="296">
        <f t="shared" ca="1" si="93"/>
        <v>0</v>
      </c>
      <c r="H477" s="296">
        <f t="shared" ca="1" si="94"/>
        <v>37</v>
      </c>
      <c r="I477" s="297">
        <f t="shared" ca="1" si="100"/>
        <v>-37</v>
      </c>
    </row>
    <row r="478" spans="1:9">
      <c r="A478" s="295">
        <f t="shared" si="101"/>
        <v>461</v>
      </c>
      <c r="B478" s="300">
        <f t="shared" si="103"/>
        <v>14001</v>
      </c>
      <c r="C478" s="296">
        <f t="shared" ca="1" si="102"/>
        <v>37</v>
      </c>
      <c r="D478" s="295"/>
      <c r="E478" s="296">
        <f t="shared" si="104"/>
        <v>0</v>
      </c>
      <c r="F478" s="296">
        <f t="shared" ref="F478:F497" ca="1" si="105">IF(E478="","",E478-G478)</f>
        <v>0</v>
      </c>
      <c r="G478" s="296">
        <f t="shared" ref="G478:G497" ca="1" si="106">ROUND((C478-E478)*$D$5,3)</f>
        <v>0</v>
      </c>
      <c r="H478" s="296">
        <f t="shared" ref="H478:H497" ca="1" si="107">IF(E478="","",ROUND(H477-F478,4))</f>
        <v>37</v>
      </c>
      <c r="I478" s="297">
        <f t="shared" ca="1" si="100"/>
        <v>-37</v>
      </c>
    </row>
    <row r="479" spans="1:9">
      <c r="A479" s="295">
        <f t="shared" si="101"/>
        <v>462</v>
      </c>
      <c r="B479" s="300">
        <f t="shared" si="103"/>
        <v>14032</v>
      </c>
      <c r="C479" s="296">
        <f t="shared" ca="1" si="102"/>
        <v>37</v>
      </c>
      <c r="D479" s="295"/>
      <c r="E479" s="296">
        <f t="shared" ca="1" si="104"/>
        <v>-0.5</v>
      </c>
      <c r="F479" s="296">
        <f t="shared" ca="1" si="105"/>
        <v>-0.5</v>
      </c>
      <c r="G479" s="296">
        <f t="shared" ca="1" si="106"/>
        <v>0</v>
      </c>
      <c r="H479" s="296">
        <f t="shared" ca="1" si="107"/>
        <v>37.5</v>
      </c>
      <c r="I479" s="297">
        <f t="shared" ca="1" si="100"/>
        <v>-38</v>
      </c>
    </row>
    <row r="480" spans="1:9">
      <c r="A480" s="295">
        <f t="shared" si="101"/>
        <v>463</v>
      </c>
      <c r="B480" s="300">
        <f t="shared" si="103"/>
        <v>14062</v>
      </c>
      <c r="C480" s="296">
        <f t="shared" ca="1" si="102"/>
        <v>37.5</v>
      </c>
      <c r="D480" s="295"/>
      <c r="E480" s="296">
        <f t="shared" si="104"/>
        <v>0</v>
      </c>
      <c r="F480" s="296">
        <f t="shared" ca="1" si="105"/>
        <v>0</v>
      </c>
      <c r="G480" s="296">
        <f t="shared" ca="1" si="106"/>
        <v>0</v>
      </c>
      <c r="H480" s="296">
        <f t="shared" ca="1" si="107"/>
        <v>37.5</v>
      </c>
      <c r="I480" s="297">
        <f t="shared" ca="1" si="100"/>
        <v>-38</v>
      </c>
    </row>
    <row r="481" spans="1:9">
      <c r="A481" s="295">
        <f t="shared" si="101"/>
        <v>464</v>
      </c>
      <c r="B481" s="300">
        <f t="shared" si="103"/>
        <v>14093</v>
      </c>
      <c r="C481" s="296">
        <f t="shared" ca="1" si="102"/>
        <v>37.5</v>
      </c>
      <c r="D481" s="295"/>
      <c r="E481" s="296">
        <f t="shared" si="104"/>
        <v>0</v>
      </c>
      <c r="F481" s="296">
        <f t="shared" ca="1" si="105"/>
        <v>0</v>
      </c>
      <c r="G481" s="296">
        <f t="shared" ca="1" si="106"/>
        <v>0</v>
      </c>
      <c r="H481" s="296">
        <f t="shared" ca="1" si="107"/>
        <v>37.5</v>
      </c>
      <c r="I481" s="297">
        <f t="shared" ca="1" si="100"/>
        <v>-38</v>
      </c>
    </row>
    <row r="482" spans="1:9">
      <c r="A482" s="295">
        <f t="shared" si="101"/>
        <v>465</v>
      </c>
      <c r="B482" s="300">
        <f t="shared" si="103"/>
        <v>14124</v>
      </c>
      <c r="C482" s="296">
        <f t="shared" ca="1" si="102"/>
        <v>37.5</v>
      </c>
      <c r="D482" s="295"/>
      <c r="E482" s="296">
        <f t="shared" si="104"/>
        <v>0</v>
      </c>
      <c r="F482" s="296">
        <f t="shared" ca="1" si="105"/>
        <v>0</v>
      </c>
      <c r="G482" s="296">
        <f t="shared" ca="1" si="106"/>
        <v>0</v>
      </c>
      <c r="H482" s="296">
        <f t="shared" ca="1" si="107"/>
        <v>37.5</v>
      </c>
      <c r="I482" s="297">
        <f t="shared" ca="1" si="100"/>
        <v>-38</v>
      </c>
    </row>
    <row r="483" spans="1:9">
      <c r="A483" s="295">
        <f t="shared" si="101"/>
        <v>466</v>
      </c>
      <c r="B483" s="300">
        <f t="shared" si="103"/>
        <v>14154</v>
      </c>
      <c r="C483" s="296">
        <f t="shared" ca="1" si="102"/>
        <v>37.5</v>
      </c>
      <c r="D483" s="295"/>
      <c r="E483" s="296">
        <f t="shared" si="104"/>
        <v>0</v>
      </c>
      <c r="F483" s="296">
        <f t="shared" ca="1" si="105"/>
        <v>0</v>
      </c>
      <c r="G483" s="296">
        <f t="shared" ca="1" si="106"/>
        <v>0</v>
      </c>
      <c r="H483" s="296">
        <f t="shared" ca="1" si="107"/>
        <v>37.5</v>
      </c>
      <c r="I483" s="297">
        <f t="shared" ca="1" si="100"/>
        <v>-38</v>
      </c>
    </row>
    <row r="484" spans="1:9">
      <c r="A484" s="295">
        <f t="shared" si="101"/>
        <v>467</v>
      </c>
      <c r="B484" s="300">
        <f t="shared" si="103"/>
        <v>14185</v>
      </c>
      <c r="C484" s="296">
        <f t="shared" ca="1" si="102"/>
        <v>37.5</v>
      </c>
      <c r="D484" s="295"/>
      <c r="E484" s="296">
        <f t="shared" si="104"/>
        <v>0</v>
      </c>
      <c r="F484" s="296">
        <f t="shared" ca="1" si="105"/>
        <v>0</v>
      </c>
      <c r="G484" s="296">
        <f t="shared" ca="1" si="106"/>
        <v>0</v>
      </c>
      <c r="H484" s="296">
        <f t="shared" ca="1" si="107"/>
        <v>37.5</v>
      </c>
      <c r="I484" s="297">
        <f t="shared" ca="1" si="100"/>
        <v>-38</v>
      </c>
    </row>
    <row r="485" spans="1:9">
      <c r="A485" s="295">
        <f t="shared" si="101"/>
        <v>468</v>
      </c>
      <c r="B485" s="300">
        <f t="shared" si="103"/>
        <v>14215</v>
      </c>
      <c r="C485" s="296">
        <f t="shared" ca="1" si="102"/>
        <v>37.5</v>
      </c>
      <c r="D485" s="296">
        <f ca="1">IF(H485&lt;0,0,0.5*(K56-L56))</f>
        <v>-0.5</v>
      </c>
      <c r="E485" s="296">
        <f t="shared" ca="1" si="104"/>
        <v>-0.5</v>
      </c>
      <c r="F485" s="296">
        <f t="shared" ca="1" si="105"/>
        <v>-0.5</v>
      </c>
      <c r="G485" s="296">
        <f t="shared" ca="1" si="106"/>
        <v>0</v>
      </c>
      <c r="H485" s="296">
        <f t="shared" ca="1" si="107"/>
        <v>38</v>
      </c>
      <c r="I485" s="297">
        <f t="shared" ca="1" si="100"/>
        <v>-39</v>
      </c>
    </row>
    <row r="486" spans="1:9">
      <c r="A486" s="295">
        <f t="shared" si="101"/>
        <v>469</v>
      </c>
      <c r="B486" s="300">
        <f t="shared" si="103"/>
        <v>14246</v>
      </c>
      <c r="C486" s="296">
        <f t="shared" ca="1" si="102"/>
        <v>38</v>
      </c>
      <c r="D486" s="295"/>
      <c r="E486" s="296">
        <f>IF($D$10=1,IF(OR(MONTH(B486)=MONTH(EDATE($D$7,0)),MONTH(B486)=MONTH(EDATE($D$7,6))),(MIN($D$485,H485)),0),IF($D$10=0,IF(OR(MONTH(B486)=MONTH(EDATE($D$7,5)),MONTH(B486)=MONTH(EDATE($D$7,11))),(MIN($D$485,H485)),0)))</f>
        <v>0</v>
      </c>
      <c r="F486" s="296">
        <f t="shared" ca="1" si="105"/>
        <v>0</v>
      </c>
      <c r="G486" s="296">
        <f t="shared" ca="1" si="106"/>
        <v>0</v>
      </c>
      <c r="H486" s="296">
        <f t="shared" ca="1" si="107"/>
        <v>38</v>
      </c>
      <c r="I486" s="297">
        <f t="shared" ca="1" si="100"/>
        <v>-38</v>
      </c>
    </row>
    <row r="487" spans="1:9">
      <c r="A487" s="295">
        <f t="shared" si="101"/>
        <v>470</v>
      </c>
      <c r="B487" s="300">
        <f t="shared" si="103"/>
        <v>14277</v>
      </c>
      <c r="C487" s="296">
        <f t="shared" ca="1" si="102"/>
        <v>38</v>
      </c>
      <c r="D487" s="295"/>
      <c r="E487" s="296">
        <f t="shared" ref="E487:E497" si="108">IF($D$10=1,IF(OR(MONTH(B487)=MONTH(EDATE($D$7,0)),MONTH(B487)=MONTH(EDATE($D$7,6))),(MIN($D$485,H486)),0),IF($D$10=0,IF(OR(MONTH(B487)=MONTH(EDATE($D$7,5)),MONTH(B487)=MONTH(EDATE($D$7,11))),(MIN($D$485,H486)),0)))</f>
        <v>0</v>
      </c>
      <c r="F487" s="296">
        <f t="shared" ca="1" si="105"/>
        <v>0</v>
      </c>
      <c r="G487" s="296">
        <f t="shared" ca="1" si="106"/>
        <v>0</v>
      </c>
      <c r="H487" s="296">
        <f t="shared" ca="1" si="107"/>
        <v>38</v>
      </c>
      <c r="I487" s="297">
        <f t="shared" ca="1" si="100"/>
        <v>-38</v>
      </c>
    </row>
    <row r="488" spans="1:9">
      <c r="A488" s="295">
        <f t="shared" si="101"/>
        <v>471</v>
      </c>
      <c r="B488" s="300">
        <f t="shared" si="103"/>
        <v>14305</v>
      </c>
      <c r="C488" s="296">
        <f t="shared" ca="1" si="102"/>
        <v>38</v>
      </c>
      <c r="D488" s="295"/>
      <c r="E488" s="296">
        <f t="shared" si="108"/>
        <v>0</v>
      </c>
      <c r="F488" s="296">
        <f t="shared" ca="1" si="105"/>
        <v>0</v>
      </c>
      <c r="G488" s="296">
        <f t="shared" ca="1" si="106"/>
        <v>0</v>
      </c>
      <c r="H488" s="296">
        <f t="shared" ca="1" si="107"/>
        <v>38</v>
      </c>
      <c r="I488" s="297">
        <f t="shared" ca="1" si="100"/>
        <v>-38</v>
      </c>
    </row>
    <row r="489" spans="1:9">
      <c r="A489" s="295">
        <f t="shared" si="101"/>
        <v>472</v>
      </c>
      <c r="B489" s="300">
        <f t="shared" si="103"/>
        <v>14336</v>
      </c>
      <c r="C489" s="296">
        <f t="shared" ca="1" si="102"/>
        <v>38</v>
      </c>
      <c r="D489" s="296"/>
      <c r="E489" s="296">
        <f t="shared" si="108"/>
        <v>0</v>
      </c>
      <c r="F489" s="296">
        <f t="shared" ca="1" si="105"/>
        <v>0</v>
      </c>
      <c r="G489" s="296">
        <f t="shared" ca="1" si="106"/>
        <v>0</v>
      </c>
      <c r="H489" s="296">
        <f t="shared" ca="1" si="107"/>
        <v>38</v>
      </c>
      <c r="I489" s="297">
        <f t="shared" ca="1" si="100"/>
        <v>-38</v>
      </c>
    </row>
    <row r="490" spans="1:9">
      <c r="A490" s="295">
        <f t="shared" si="101"/>
        <v>473</v>
      </c>
      <c r="B490" s="300">
        <f t="shared" si="103"/>
        <v>14366</v>
      </c>
      <c r="C490" s="296">
        <f t="shared" ca="1" si="102"/>
        <v>38</v>
      </c>
      <c r="D490" s="295"/>
      <c r="E490" s="296">
        <f t="shared" si="108"/>
        <v>0</v>
      </c>
      <c r="F490" s="296">
        <f t="shared" ca="1" si="105"/>
        <v>0</v>
      </c>
      <c r="G490" s="296">
        <f t="shared" ca="1" si="106"/>
        <v>0</v>
      </c>
      <c r="H490" s="296">
        <f t="shared" ca="1" si="107"/>
        <v>38</v>
      </c>
      <c r="I490" s="297">
        <f t="shared" ca="1" si="100"/>
        <v>-38</v>
      </c>
    </row>
    <row r="491" spans="1:9">
      <c r="A491" s="295">
        <f t="shared" si="101"/>
        <v>474</v>
      </c>
      <c r="B491" s="300">
        <f t="shared" si="103"/>
        <v>14397</v>
      </c>
      <c r="C491" s="296">
        <f t="shared" ca="1" si="102"/>
        <v>38</v>
      </c>
      <c r="D491" s="295"/>
      <c r="E491" s="296">
        <f t="shared" ca="1" si="108"/>
        <v>-0.5</v>
      </c>
      <c r="F491" s="296">
        <f t="shared" ca="1" si="105"/>
        <v>-0.5</v>
      </c>
      <c r="G491" s="296">
        <f t="shared" ca="1" si="106"/>
        <v>0</v>
      </c>
      <c r="H491" s="296">
        <f t="shared" ca="1" si="107"/>
        <v>38.5</v>
      </c>
      <c r="I491" s="297">
        <f t="shared" ca="1" si="100"/>
        <v>-39</v>
      </c>
    </row>
    <row r="492" spans="1:9">
      <c r="A492" s="295">
        <f t="shared" si="101"/>
        <v>475</v>
      </c>
      <c r="B492" s="300">
        <f t="shared" si="103"/>
        <v>14427</v>
      </c>
      <c r="C492" s="296">
        <f t="shared" ca="1" si="102"/>
        <v>38.5</v>
      </c>
      <c r="D492" s="295"/>
      <c r="E492" s="296">
        <f t="shared" si="108"/>
        <v>0</v>
      </c>
      <c r="F492" s="296">
        <f t="shared" ca="1" si="105"/>
        <v>0</v>
      </c>
      <c r="G492" s="296">
        <f t="shared" ca="1" si="106"/>
        <v>0</v>
      </c>
      <c r="H492" s="296">
        <f t="shared" ca="1" si="107"/>
        <v>38.5</v>
      </c>
      <c r="I492" s="297">
        <f t="shared" ca="1" si="100"/>
        <v>-39</v>
      </c>
    </row>
    <row r="493" spans="1:9">
      <c r="A493" s="295">
        <f t="shared" si="101"/>
        <v>476</v>
      </c>
      <c r="B493" s="300">
        <f t="shared" si="103"/>
        <v>14458</v>
      </c>
      <c r="C493" s="296">
        <f t="shared" ca="1" si="102"/>
        <v>38.5</v>
      </c>
      <c r="D493" s="295"/>
      <c r="E493" s="296">
        <f t="shared" si="108"/>
        <v>0</v>
      </c>
      <c r="F493" s="296">
        <f t="shared" ca="1" si="105"/>
        <v>0</v>
      </c>
      <c r="G493" s="296">
        <f t="shared" ca="1" si="106"/>
        <v>0</v>
      </c>
      <c r="H493" s="296">
        <f t="shared" ca="1" si="107"/>
        <v>38.5</v>
      </c>
      <c r="I493" s="297">
        <f t="shared" ca="1" si="100"/>
        <v>-39</v>
      </c>
    </row>
    <row r="494" spans="1:9">
      <c r="A494" s="295">
        <f t="shared" si="101"/>
        <v>477</v>
      </c>
      <c r="B494" s="300">
        <f t="shared" si="103"/>
        <v>14489</v>
      </c>
      <c r="C494" s="296">
        <f t="shared" ca="1" si="102"/>
        <v>38.5</v>
      </c>
      <c r="D494" s="295"/>
      <c r="E494" s="296">
        <f t="shared" si="108"/>
        <v>0</v>
      </c>
      <c r="F494" s="296">
        <f t="shared" ca="1" si="105"/>
        <v>0</v>
      </c>
      <c r="G494" s="296">
        <f t="shared" ca="1" si="106"/>
        <v>0</v>
      </c>
      <c r="H494" s="296">
        <f t="shared" ca="1" si="107"/>
        <v>38.5</v>
      </c>
      <c r="I494" s="297">
        <f t="shared" ca="1" si="100"/>
        <v>-39</v>
      </c>
    </row>
    <row r="495" spans="1:9">
      <c r="A495" s="295">
        <f t="shared" si="101"/>
        <v>478</v>
      </c>
      <c r="B495" s="300">
        <f t="shared" si="103"/>
        <v>14519</v>
      </c>
      <c r="C495" s="296">
        <f t="shared" ca="1" si="102"/>
        <v>38.5</v>
      </c>
      <c r="D495" s="295"/>
      <c r="E495" s="296">
        <f t="shared" si="108"/>
        <v>0</v>
      </c>
      <c r="F495" s="296">
        <f t="shared" ca="1" si="105"/>
        <v>0</v>
      </c>
      <c r="G495" s="296">
        <f t="shared" ca="1" si="106"/>
        <v>0</v>
      </c>
      <c r="H495" s="296">
        <f t="shared" ca="1" si="107"/>
        <v>38.5</v>
      </c>
      <c r="I495" s="297">
        <f t="shared" ca="1" si="100"/>
        <v>-39</v>
      </c>
    </row>
    <row r="496" spans="1:9">
      <c r="A496" s="295">
        <f t="shared" si="101"/>
        <v>479</v>
      </c>
      <c r="B496" s="300">
        <f t="shared" si="103"/>
        <v>14550</v>
      </c>
      <c r="C496" s="296">
        <f t="shared" ca="1" si="102"/>
        <v>38.5</v>
      </c>
      <c r="D496" s="295"/>
      <c r="E496" s="296">
        <f t="shared" si="108"/>
        <v>0</v>
      </c>
      <c r="F496" s="296">
        <f t="shared" ca="1" si="105"/>
        <v>0</v>
      </c>
      <c r="G496" s="296">
        <f t="shared" ca="1" si="106"/>
        <v>0</v>
      </c>
      <c r="H496" s="296">
        <f t="shared" ca="1" si="107"/>
        <v>38.5</v>
      </c>
      <c r="I496" s="297">
        <f t="shared" ca="1" si="100"/>
        <v>-39</v>
      </c>
    </row>
    <row r="497" spans="1:9">
      <c r="A497" s="295">
        <f t="shared" si="101"/>
        <v>480</v>
      </c>
      <c r="B497" s="300">
        <f t="shared" si="103"/>
        <v>14580</v>
      </c>
      <c r="C497" s="296">
        <f t="shared" ca="1" si="102"/>
        <v>38.5</v>
      </c>
      <c r="D497" s="296">
        <f ca="1">IF(H497&lt;0,0,0.5*(K57-L57))</f>
        <v>0</v>
      </c>
      <c r="E497" s="296">
        <f t="shared" ca="1" si="108"/>
        <v>-0.5</v>
      </c>
      <c r="F497" s="296">
        <f t="shared" ca="1" si="105"/>
        <v>-0.5</v>
      </c>
      <c r="G497" s="296">
        <f t="shared" ca="1" si="106"/>
        <v>0</v>
      </c>
      <c r="H497" s="296">
        <f t="shared" ca="1" si="107"/>
        <v>39</v>
      </c>
      <c r="I497" s="297">
        <f t="shared" ca="1" si="100"/>
        <v>-39</v>
      </c>
    </row>
    <row r="498" spans="1:9">
      <c r="H498" s="301" cm="1">
        <f t="array" ref="H498">INDEX(A17:A497,MATCH(TRUE,INDEX(I17:I497&gt;=0,),0))</f>
        <v>0</v>
      </c>
    </row>
  </sheetData>
  <mergeCells count="11">
    <mergeCell ref="A11:C11"/>
    <mergeCell ref="A12:C12"/>
    <mergeCell ref="A13:C13"/>
    <mergeCell ref="A14:C14"/>
    <mergeCell ref="A15:C15"/>
    <mergeCell ref="A10:C10"/>
    <mergeCell ref="A1:H1"/>
    <mergeCell ref="A4:C4"/>
    <mergeCell ref="A5:C5"/>
    <mergeCell ref="A6:C6"/>
    <mergeCell ref="A7:C7"/>
  </mergeCells>
  <pageMargins left="0.75" right="0.5" top="0.5" bottom="0.5" header="0.5" footer="0.5"/>
  <pageSetup orientation="portrait" horizontalDpi="4294967292" verticalDpi="4294967292"/>
  <headerFooter alignWithMargins="0">
    <oddFooter>&amp;C_x000D_&amp;1#&amp;"Calibri"&amp;6&amp;K626469 General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28747-09A9-CF41-9ABC-4AFB3BC3C84D}">
  <sheetPr>
    <pageSetUpPr fitToPage="1"/>
  </sheetPr>
  <dimension ref="A1:V497"/>
  <sheetViews>
    <sheetView showGridLines="0" zoomScale="89" zoomScaleNormal="89" zoomScalePageLayoutView="125" workbookViewId="0">
      <pane ySplit="16" topLeftCell="A17" activePane="bottomLeft" state="frozenSplit"/>
      <selection activeCell="D485" sqref="D485"/>
      <selection pane="bottomLeft" activeCell="L41" sqref="L41"/>
    </sheetView>
  </sheetViews>
  <sheetFormatPr defaultColWidth="8.83203125" defaultRowHeight="12.5"/>
  <cols>
    <col min="1" max="1" width="6.33203125" style="301" customWidth="1"/>
    <col min="2" max="2" width="12.5" style="301" customWidth="1"/>
    <col min="3" max="3" width="16.5" style="301" customWidth="1"/>
    <col min="4" max="4" width="15.5" style="301" customWidth="1"/>
    <col min="5" max="5" width="17" style="301" customWidth="1"/>
    <col min="6" max="6" width="16" style="301" customWidth="1"/>
    <col min="7" max="7" width="15" style="301" customWidth="1"/>
    <col min="8" max="8" width="21" style="301" customWidth="1"/>
    <col min="9" max="9" width="15" style="266" customWidth="1"/>
    <col min="10" max="10" width="8.33203125" style="267" customWidth="1"/>
    <col min="11" max="12" width="17.33203125" style="267" customWidth="1"/>
    <col min="13" max="13" width="14.33203125" style="267" customWidth="1"/>
    <col min="14" max="14" width="13" style="267" customWidth="1"/>
    <col min="15" max="15" width="13" style="267" bestFit="1" customWidth="1"/>
    <col min="16" max="16" width="8.83203125" style="267" customWidth="1"/>
    <col min="17" max="17" width="10.5" style="267" customWidth="1"/>
    <col min="18" max="253" width="8.83203125" style="267"/>
    <col min="254" max="254" width="4.5" style="267" customWidth="1"/>
    <col min="255" max="255" width="12.5" style="267" customWidth="1"/>
    <col min="256" max="256" width="11.83203125" style="267" customWidth="1"/>
    <col min="257" max="257" width="12.83203125" style="267" customWidth="1"/>
    <col min="258" max="258" width="11" style="267" customWidth="1"/>
    <col min="259" max="259" width="11.5" style="267" customWidth="1"/>
    <col min="260" max="261" width="11.33203125" style="267" customWidth="1"/>
    <col min="262" max="262" width="13.5" style="267" customWidth="1"/>
    <col min="263" max="509" width="8.83203125" style="267"/>
    <col min="510" max="510" width="4.5" style="267" customWidth="1"/>
    <col min="511" max="511" width="12.5" style="267" customWidth="1"/>
    <col min="512" max="512" width="11.83203125" style="267" customWidth="1"/>
    <col min="513" max="513" width="12.83203125" style="267" customWidth="1"/>
    <col min="514" max="514" width="11" style="267" customWidth="1"/>
    <col min="515" max="515" width="11.5" style="267" customWidth="1"/>
    <col min="516" max="517" width="11.33203125" style="267" customWidth="1"/>
    <col min="518" max="518" width="13.5" style="267" customWidth="1"/>
    <col min="519" max="765" width="8.83203125" style="267"/>
    <col min="766" max="766" width="4.5" style="267" customWidth="1"/>
    <col min="767" max="767" width="12.5" style="267" customWidth="1"/>
    <col min="768" max="768" width="11.83203125" style="267" customWidth="1"/>
    <col min="769" max="769" width="12.83203125" style="267" customWidth="1"/>
    <col min="770" max="770" width="11" style="267" customWidth="1"/>
    <col min="771" max="771" width="11.5" style="267" customWidth="1"/>
    <col min="772" max="773" width="11.33203125" style="267" customWidth="1"/>
    <col min="774" max="774" width="13.5" style="267" customWidth="1"/>
    <col min="775" max="1021" width="8.83203125" style="267"/>
    <col min="1022" max="1022" width="4.5" style="267" customWidth="1"/>
    <col min="1023" max="1023" width="12.5" style="267" customWidth="1"/>
    <col min="1024" max="1024" width="11.83203125" style="267" customWidth="1"/>
    <col min="1025" max="1025" width="12.83203125" style="267" customWidth="1"/>
    <col min="1026" max="1026" width="11" style="267" customWidth="1"/>
    <col min="1027" max="1027" width="11.5" style="267" customWidth="1"/>
    <col min="1028" max="1029" width="11.33203125" style="267" customWidth="1"/>
    <col min="1030" max="1030" width="13.5" style="267" customWidth="1"/>
    <col min="1031" max="1277" width="8.83203125" style="267"/>
    <col min="1278" max="1278" width="4.5" style="267" customWidth="1"/>
    <col min="1279" max="1279" width="12.5" style="267" customWidth="1"/>
    <col min="1280" max="1280" width="11.83203125" style="267" customWidth="1"/>
    <col min="1281" max="1281" width="12.83203125" style="267" customWidth="1"/>
    <col min="1282" max="1282" width="11" style="267" customWidth="1"/>
    <col min="1283" max="1283" width="11.5" style="267" customWidth="1"/>
    <col min="1284" max="1285" width="11.33203125" style="267" customWidth="1"/>
    <col min="1286" max="1286" width="13.5" style="267" customWidth="1"/>
    <col min="1287" max="1533" width="8.83203125" style="267"/>
    <col min="1534" max="1534" width="4.5" style="267" customWidth="1"/>
    <col min="1535" max="1535" width="12.5" style="267" customWidth="1"/>
    <col min="1536" max="1536" width="11.83203125" style="267" customWidth="1"/>
    <col min="1537" max="1537" width="12.83203125" style="267" customWidth="1"/>
    <col min="1538" max="1538" width="11" style="267" customWidth="1"/>
    <col min="1539" max="1539" width="11.5" style="267" customWidth="1"/>
    <col min="1540" max="1541" width="11.33203125" style="267" customWidth="1"/>
    <col min="1542" max="1542" width="13.5" style="267" customWidth="1"/>
    <col min="1543" max="1789" width="8.83203125" style="267"/>
    <col min="1790" max="1790" width="4.5" style="267" customWidth="1"/>
    <col min="1791" max="1791" width="12.5" style="267" customWidth="1"/>
    <col min="1792" max="1792" width="11.83203125" style="267" customWidth="1"/>
    <col min="1793" max="1793" width="12.83203125" style="267" customWidth="1"/>
    <col min="1794" max="1794" width="11" style="267" customWidth="1"/>
    <col min="1795" max="1795" width="11.5" style="267" customWidth="1"/>
    <col min="1796" max="1797" width="11.33203125" style="267" customWidth="1"/>
    <col min="1798" max="1798" width="13.5" style="267" customWidth="1"/>
    <col min="1799" max="2045" width="8.83203125" style="267"/>
    <col min="2046" max="2046" width="4.5" style="267" customWidth="1"/>
    <col min="2047" max="2047" width="12.5" style="267" customWidth="1"/>
    <col min="2048" max="2048" width="11.83203125" style="267" customWidth="1"/>
    <col min="2049" max="2049" width="12.83203125" style="267" customWidth="1"/>
    <col min="2050" max="2050" width="11" style="267" customWidth="1"/>
    <col min="2051" max="2051" width="11.5" style="267" customWidth="1"/>
    <col min="2052" max="2053" width="11.33203125" style="267" customWidth="1"/>
    <col min="2054" max="2054" width="13.5" style="267" customWidth="1"/>
    <col min="2055" max="2301" width="8.83203125" style="267"/>
    <col min="2302" max="2302" width="4.5" style="267" customWidth="1"/>
    <col min="2303" max="2303" width="12.5" style="267" customWidth="1"/>
    <col min="2304" max="2304" width="11.83203125" style="267" customWidth="1"/>
    <col min="2305" max="2305" width="12.83203125" style="267" customWidth="1"/>
    <col min="2306" max="2306" width="11" style="267" customWidth="1"/>
    <col min="2307" max="2307" width="11.5" style="267" customWidth="1"/>
    <col min="2308" max="2309" width="11.33203125" style="267" customWidth="1"/>
    <col min="2310" max="2310" width="13.5" style="267" customWidth="1"/>
    <col min="2311" max="2557" width="8.83203125" style="267"/>
    <col min="2558" max="2558" width="4.5" style="267" customWidth="1"/>
    <col min="2559" max="2559" width="12.5" style="267" customWidth="1"/>
    <col min="2560" max="2560" width="11.83203125" style="267" customWidth="1"/>
    <col min="2561" max="2561" width="12.83203125" style="267" customWidth="1"/>
    <col min="2562" max="2562" width="11" style="267" customWidth="1"/>
    <col min="2563" max="2563" width="11.5" style="267" customWidth="1"/>
    <col min="2564" max="2565" width="11.33203125" style="267" customWidth="1"/>
    <col min="2566" max="2566" width="13.5" style="267" customWidth="1"/>
    <col min="2567" max="2813" width="8.83203125" style="267"/>
    <col min="2814" max="2814" width="4.5" style="267" customWidth="1"/>
    <col min="2815" max="2815" width="12.5" style="267" customWidth="1"/>
    <col min="2816" max="2816" width="11.83203125" style="267" customWidth="1"/>
    <col min="2817" max="2817" width="12.83203125" style="267" customWidth="1"/>
    <col min="2818" max="2818" width="11" style="267" customWidth="1"/>
    <col min="2819" max="2819" width="11.5" style="267" customWidth="1"/>
    <col min="2820" max="2821" width="11.33203125" style="267" customWidth="1"/>
    <col min="2822" max="2822" width="13.5" style="267" customWidth="1"/>
    <col min="2823" max="3069" width="8.83203125" style="267"/>
    <col min="3070" max="3070" width="4.5" style="267" customWidth="1"/>
    <col min="3071" max="3071" width="12.5" style="267" customWidth="1"/>
    <col min="3072" max="3072" width="11.83203125" style="267" customWidth="1"/>
    <col min="3073" max="3073" width="12.83203125" style="267" customWidth="1"/>
    <col min="3074" max="3074" width="11" style="267" customWidth="1"/>
    <col min="3075" max="3075" width="11.5" style="267" customWidth="1"/>
    <col min="3076" max="3077" width="11.33203125" style="267" customWidth="1"/>
    <col min="3078" max="3078" width="13.5" style="267" customWidth="1"/>
    <col min="3079" max="3325" width="8.83203125" style="267"/>
    <col min="3326" max="3326" width="4.5" style="267" customWidth="1"/>
    <col min="3327" max="3327" width="12.5" style="267" customWidth="1"/>
    <col min="3328" max="3328" width="11.83203125" style="267" customWidth="1"/>
    <col min="3329" max="3329" width="12.83203125" style="267" customWidth="1"/>
    <col min="3330" max="3330" width="11" style="267" customWidth="1"/>
    <col min="3331" max="3331" width="11.5" style="267" customWidth="1"/>
    <col min="3332" max="3333" width="11.33203125" style="267" customWidth="1"/>
    <col min="3334" max="3334" width="13.5" style="267" customWidth="1"/>
    <col min="3335" max="3581" width="8.83203125" style="267"/>
    <col min="3582" max="3582" width="4.5" style="267" customWidth="1"/>
    <col min="3583" max="3583" width="12.5" style="267" customWidth="1"/>
    <col min="3584" max="3584" width="11.83203125" style="267" customWidth="1"/>
    <col min="3585" max="3585" width="12.83203125" style="267" customWidth="1"/>
    <col min="3586" max="3586" width="11" style="267" customWidth="1"/>
    <col min="3587" max="3587" width="11.5" style="267" customWidth="1"/>
    <col min="3588" max="3589" width="11.33203125" style="267" customWidth="1"/>
    <col min="3590" max="3590" width="13.5" style="267" customWidth="1"/>
    <col min="3591" max="3837" width="8.83203125" style="267"/>
    <col min="3838" max="3838" width="4.5" style="267" customWidth="1"/>
    <col min="3839" max="3839" width="12.5" style="267" customWidth="1"/>
    <col min="3840" max="3840" width="11.83203125" style="267" customWidth="1"/>
    <col min="3841" max="3841" width="12.83203125" style="267" customWidth="1"/>
    <col min="3842" max="3842" width="11" style="267" customWidth="1"/>
    <col min="3843" max="3843" width="11.5" style="267" customWidth="1"/>
    <col min="3844" max="3845" width="11.33203125" style="267" customWidth="1"/>
    <col min="3846" max="3846" width="13.5" style="267" customWidth="1"/>
    <col min="3847" max="4093" width="8.83203125" style="267"/>
    <col min="4094" max="4094" width="4.5" style="267" customWidth="1"/>
    <col min="4095" max="4095" width="12.5" style="267" customWidth="1"/>
    <col min="4096" max="4096" width="11.83203125" style="267" customWidth="1"/>
    <col min="4097" max="4097" width="12.83203125" style="267" customWidth="1"/>
    <col min="4098" max="4098" width="11" style="267" customWidth="1"/>
    <col min="4099" max="4099" width="11.5" style="267" customWidth="1"/>
    <col min="4100" max="4101" width="11.33203125" style="267" customWidth="1"/>
    <col min="4102" max="4102" width="13.5" style="267" customWidth="1"/>
    <col min="4103" max="4349" width="8.83203125" style="267"/>
    <col min="4350" max="4350" width="4.5" style="267" customWidth="1"/>
    <col min="4351" max="4351" width="12.5" style="267" customWidth="1"/>
    <col min="4352" max="4352" width="11.83203125" style="267" customWidth="1"/>
    <col min="4353" max="4353" width="12.83203125" style="267" customWidth="1"/>
    <col min="4354" max="4354" width="11" style="267" customWidth="1"/>
    <col min="4355" max="4355" width="11.5" style="267" customWidth="1"/>
    <col min="4356" max="4357" width="11.33203125" style="267" customWidth="1"/>
    <col min="4358" max="4358" width="13.5" style="267" customWidth="1"/>
    <col min="4359" max="4605" width="8.83203125" style="267"/>
    <col min="4606" max="4606" width="4.5" style="267" customWidth="1"/>
    <col min="4607" max="4607" width="12.5" style="267" customWidth="1"/>
    <col min="4608" max="4608" width="11.83203125" style="267" customWidth="1"/>
    <col min="4609" max="4609" width="12.83203125" style="267" customWidth="1"/>
    <col min="4610" max="4610" width="11" style="267" customWidth="1"/>
    <col min="4611" max="4611" width="11.5" style="267" customWidth="1"/>
    <col min="4612" max="4613" width="11.33203125" style="267" customWidth="1"/>
    <col min="4614" max="4614" width="13.5" style="267" customWidth="1"/>
    <col min="4615" max="4861" width="8.83203125" style="267"/>
    <col min="4862" max="4862" width="4.5" style="267" customWidth="1"/>
    <col min="4863" max="4863" width="12.5" style="267" customWidth="1"/>
    <col min="4864" max="4864" width="11.83203125" style="267" customWidth="1"/>
    <col min="4865" max="4865" width="12.83203125" style="267" customWidth="1"/>
    <col min="4866" max="4866" width="11" style="267" customWidth="1"/>
    <col min="4867" max="4867" width="11.5" style="267" customWidth="1"/>
    <col min="4868" max="4869" width="11.33203125" style="267" customWidth="1"/>
    <col min="4870" max="4870" width="13.5" style="267" customWidth="1"/>
    <col min="4871" max="5117" width="8.83203125" style="267"/>
    <col min="5118" max="5118" width="4.5" style="267" customWidth="1"/>
    <col min="5119" max="5119" width="12.5" style="267" customWidth="1"/>
    <col min="5120" max="5120" width="11.83203125" style="267" customWidth="1"/>
    <col min="5121" max="5121" width="12.83203125" style="267" customWidth="1"/>
    <col min="5122" max="5122" width="11" style="267" customWidth="1"/>
    <col min="5123" max="5123" width="11.5" style="267" customWidth="1"/>
    <col min="5124" max="5125" width="11.33203125" style="267" customWidth="1"/>
    <col min="5126" max="5126" width="13.5" style="267" customWidth="1"/>
    <col min="5127" max="5373" width="8.83203125" style="267"/>
    <col min="5374" max="5374" width="4.5" style="267" customWidth="1"/>
    <col min="5375" max="5375" width="12.5" style="267" customWidth="1"/>
    <col min="5376" max="5376" width="11.83203125" style="267" customWidth="1"/>
    <col min="5377" max="5377" width="12.83203125" style="267" customWidth="1"/>
    <col min="5378" max="5378" width="11" style="267" customWidth="1"/>
    <col min="5379" max="5379" width="11.5" style="267" customWidth="1"/>
    <col min="5380" max="5381" width="11.33203125" style="267" customWidth="1"/>
    <col min="5382" max="5382" width="13.5" style="267" customWidth="1"/>
    <col min="5383" max="5629" width="8.83203125" style="267"/>
    <col min="5630" max="5630" width="4.5" style="267" customWidth="1"/>
    <col min="5631" max="5631" width="12.5" style="267" customWidth="1"/>
    <col min="5632" max="5632" width="11.83203125" style="267" customWidth="1"/>
    <col min="5633" max="5633" width="12.83203125" style="267" customWidth="1"/>
    <col min="5634" max="5634" width="11" style="267" customWidth="1"/>
    <col min="5635" max="5635" width="11.5" style="267" customWidth="1"/>
    <col min="5636" max="5637" width="11.33203125" style="267" customWidth="1"/>
    <col min="5638" max="5638" width="13.5" style="267" customWidth="1"/>
    <col min="5639" max="5885" width="8.83203125" style="267"/>
    <col min="5886" max="5886" width="4.5" style="267" customWidth="1"/>
    <col min="5887" max="5887" width="12.5" style="267" customWidth="1"/>
    <col min="5888" max="5888" width="11.83203125" style="267" customWidth="1"/>
    <col min="5889" max="5889" width="12.83203125" style="267" customWidth="1"/>
    <col min="5890" max="5890" width="11" style="267" customWidth="1"/>
    <col min="5891" max="5891" width="11.5" style="267" customWidth="1"/>
    <col min="5892" max="5893" width="11.33203125" style="267" customWidth="1"/>
    <col min="5894" max="5894" width="13.5" style="267" customWidth="1"/>
    <col min="5895" max="6141" width="8.83203125" style="267"/>
    <col min="6142" max="6142" width="4.5" style="267" customWidth="1"/>
    <col min="6143" max="6143" width="12.5" style="267" customWidth="1"/>
    <col min="6144" max="6144" width="11.83203125" style="267" customWidth="1"/>
    <col min="6145" max="6145" width="12.83203125" style="267" customWidth="1"/>
    <col min="6146" max="6146" width="11" style="267" customWidth="1"/>
    <col min="6147" max="6147" width="11.5" style="267" customWidth="1"/>
    <col min="6148" max="6149" width="11.33203125" style="267" customWidth="1"/>
    <col min="6150" max="6150" width="13.5" style="267" customWidth="1"/>
    <col min="6151" max="6397" width="8.83203125" style="267"/>
    <col min="6398" max="6398" width="4.5" style="267" customWidth="1"/>
    <col min="6399" max="6399" width="12.5" style="267" customWidth="1"/>
    <col min="6400" max="6400" width="11.83203125" style="267" customWidth="1"/>
    <col min="6401" max="6401" width="12.83203125" style="267" customWidth="1"/>
    <col min="6402" max="6402" width="11" style="267" customWidth="1"/>
    <col min="6403" max="6403" width="11.5" style="267" customWidth="1"/>
    <col min="6404" max="6405" width="11.33203125" style="267" customWidth="1"/>
    <col min="6406" max="6406" width="13.5" style="267" customWidth="1"/>
    <col min="6407" max="6653" width="8.83203125" style="267"/>
    <col min="6654" max="6654" width="4.5" style="267" customWidth="1"/>
    <col min="6655" max="6655" width="12.5" style="267" customWidth="1"/>
    <col min="6656" max="6656" width="11.83203125" style="267" customWidth="1"/>
    <col min="6657" max="6657" width="12.83203125" style="267" customWidth="1"/>
    <col min="6658" max="6658" width="11" style="267" customWidth="1"/>
    <col min="6659" max="6659" width="11.5" style="267" customWidth="1"/>
    <col min="6660" max="6661" width="11.33203125" style="267" customWidth="1"/>
    <col min="6662" max="6662" width="13.5" style="267" customWidth="1"/>
    <col min="6663" max="6909" width="8.83203125" style="267"/>
    <col min="6910" max="6910" width="4.5" style="267" customWidth="1"/>
    <col min="6911" max="6911" width="12.5" style="267" customWidth="1"/>
    <col min="6912" max="6912" width="11.83203125" style="267" customWidth="1"/>
    <col min="6913" max="6913" width="12.83203125" style="267" customWidth="1"/>
    <col min="6914" max="6914" width="11" style="267" customWidth="1"/>
    <col min="6915" max="6915" width="11.5" style="267" customWidth="1"/>
    <col min="6916" max="6917" width="11.33203125" style="267" customWidth="1"/>
    <col min="6918" max="6918" width="13.5" style="267" customWidth="1"/>
    <col min="6919" max="7165" width="8.83203125" style="267"/>
    <col min="7166" max="7166" width="4.5" style="267" customWidth="1"/>
    <col min="7167" max="7167" width="12.5" style="267" customWidth="1"/>
    <col min="7168" max="7168" width="11.83203125" style="267" customWidth="1"/>
    <col min="7169" max="7169" width="12.83203125" style="267" customWidth="1"/>
    <col min="7170" max="7170" width="11" style="267" customWidth="1"/>
    <col min="7171" max="7171" width="11.5" style="267" customWidth="1"/>
    <col min="7172" max="7173" width="11.33203125" style="267" customWidth="1"/>
    <col min="7174" max="7174" width="13.5" style="267" customWidth="1"/>
    <col min="7175" max="7421" width="8.83203125" style="267"/>
    <col min="7422" max="7422" width="4.5" style="267" customWidth="1"/>
    <col min="7423" max="7423" width="12.5" style="267" customWidth="1"/>
    <col min="7424" max="7424" width="11.83203125" style="267" customWidth="1"/>
    <col min="7425" max="7425" width="12.83203125" style="267" customWidth="1"/>
    <col min="7426" max="7426" width="11" style="267" customWidth="1"/>
    <col min="7427" max="7427" width="11.5" style="267" customWidth="1"/>
    <col min="7428" max="7429" width="11.33203125" style="267" customWidth="1"/>
    <col min="7430" max="7430" width="13.5" style="267" customWidth="1"/>
    <col min="7431" max="7677" width="8.83203125" style="267"/>
    <col min="7678" max="7678" width="4.5" style="267" customWidth="1"/>
    <col min="7679" max="7679" width="12.5" style="267" customWidth="1"/>
    <col min="7680" max="7680" width="11.83203125" style="267" customWidth="1"/>
    <col min="7681" max="7681" width="12.83203125" style="267" customWidth="1"/>
    <col min="7682" max="7682" width="11" style="267" customWidth="1"/>
    <col min="7683" max="7683" width="11.5" style="267" customWidth="1"/>
    <col min="7684" max="7685" width="11.33203125" style="267" customWidth="1"/>
    <col min="7686" max="7686" width="13.5" style="267" customWidth="1"/>
    <col min="7687" max="7933" width="8.83203125" style="267"/>
    <col min="7934" max="7934" width="4.5" style="267" customWidth="1"/>
    <col min="7935" max="7935" width="12.5" style="267" customWidth="1"/>
    <col min="7936" max="7936" width="11.83203125" style="267" customWidth="1"/>
    <col min="7937" max="7937" width="12.83203125" style="267" customWidth="1"/>
    <col min="7938" max="7938" width="11" style="267" customWidth="1"/>
    <col min="7939" max="7939" width="11.5" style="267" customWidth="1"/>
    <col min="7940" max="7941" width="11.33203125" style="267" customWidth="1"/>
    <col min="7942" max="7942" width="13.5" style="267" customWidth="1"/>
    <col min="7943" max="8189" width="8.83203125" style="267"/>
    <col min="8190" max="8190" width="4.5" style="267" customWidth="1"/>
    <col min="8191" max="8191" width="12.5" style="267" customWidth="1"/>
    <col min="8192" max="8192" width="11.83203125" style="267" customWidth="1"/>
    <col min="8193" max="8193" width="12.83203125" style="267" customWidth="1"/>
    <col min="8194" max="8194" width="11" style="267" customWidth="1"/>
    <col min="8195" max="8195" width="11.5" style="267" customWidth="1"/>
    <col min="8196" max="8197" width="11.33203125" style="267" customWidth="1"/>
    <col min="8198" max="8198" width="13.5" style="267" customWidth="1"/>
    <col min="8199" max="8445" width="8.83203125" style="267"/>
    <col min="8446" max="8446" width="4.5" style="267" customWidth="1"/>
    <col min="8447" max="8447" width="12.5" style="267" customWidth="1"/>
    <col min="8448" max="8448" width="11.83203125" style="267" customWidth="1"/>
    <col min="8449" max="8449" width="12.83203125" style="267" customWidth="1"/>
    <col min="8450" max="8450" width="11" style="267" customWidth="1"/>
    <col min="8451" max="8451" width="11.5" style="267" customWidth="1"/>
    <col min="8452" max="8453" width="11.33203125" style="267" customWidth="1"/>
    <col min="8454" max="8454" width="13.5" style="267" customWidth="1"/>
    <col min="8455" max="8701" width="8.83203125" style="267"/>
    <col min="8702" max="8702" width="4.5" style="267" customWidth="1"/>
    <col min="8703" max="8703" width="12.5" style="267" customWidth="1"/>
    <col min="8704" max="8704" width="11.83203125" style="267" customWidth="1"/>
    <col min="8705" max="8705" width="12.83203125" style="267" customWidth="1"/>
    <col min="8706" max="8706" width="11" style="267" customWidth="1"/>
    <col min="8707" max="8707" width="11.5" style="267" customWidth="1"/>
    <col min="8708" max="8709" width="11.33203125" style="267" customWidth="1"/>
    <col min="8710" max="8710" width="13.5" style="267" customWidth="1"/>
    <col min="8711" max="8957" width="8.83203125" style="267"/>
    <col min="8958" max="8958" width="4.5" style="267" customWidth="1"/>
    <col min="8959" max="8959" width="12.5" style="267" customWidth="1"/>
    <col min="8960" max="8960" width="11.83203125" style="267" customWidth="1"/>
    <col min="8961" max="8961" width="12.83203125" style="267" customWidth="1"/>
    <col min="8962" max="8962" width="11" style="267" customWidth="1"/>
    <col min="8963" max="8963" width="11.5" style="267" customWidth="1"/>
    <col min="8964" max="8965" width="11.33203125" style="267" customWidth="1"/>
    <col min="8966" max="8966" width="13.5" style="267" customWidth="1"/>
    <col min="8967" max="9213" width="8.83203125" style="267"/>
    <col min="9214" max="9214" width="4.5" style="267" customWidth="1"/>
    <col min="9215" max="9215" width="12.5" style="267" customWidth="1"/>
    <col min="9216" max="9216" width="11.83203125" style="267" customWidth="1"/>
    <col min="9217" max="9217" width="12.83203125" style="267" customWidth="1"/>
    <col min="9218" max="9218" width="11" style="267" customWidth="1"/>
    <col min="9219" max="9219" width="11.5" style="267" customWidth="1"/>
    <col min="9220" max="9221" width="11.33203125" style="267" customWidth="1"/>
    <col min="9222" max="9222" width="13.5" style="267" customWidth="1"/>
    <col min="9223" max="9469" width="8.83203125" style="267"/>
    <col min="9470" max="9470" width="4.5" style="267" customWidth="1"/>
    <col min="9471" max="9471" width="12.5" style="267" customWidth="1"/>
    <col min="9472" max="9472" width="11.83203125" style="267" customWidth="1"/>
    <col min="9473" max="9473" width="12.83203125" style="267" customWidth="1"/>
    <col min="9474" max="9474" width="11" style="267" customWidth="1"/>
    <col min="9475" max="9475" width="11.5" style="267" customWidth="1"/>
    <col min="9476" max="9477" width="11.33203125" style="267" customWidth="1"/>
    <col min="9478" max="9478" width="13.5" style="267" customWidth="1"/>
    <col min="9479" max="9725" width="8.83203125" style="267"/>
    <col min="9726" max="9726" width="4.5" style="267" customWidth="1"/>
    <col min="9727" max="9727" width="12.5" style="267" customWidth="1"/>
    <col min="9728" max="9728" width="11.83203125" style="267" customWidth="1"/>
    <col min="9729" max="9729" width="12.83203125" style="267" customWidth="1"/>
    <col min="9730" max="9730" width="11" style="267" customWidth="1"/>
    <col min="9731" max="9731" width="11.5" style="267" customWidth="1"/>
    <col min="9732" max="9733" width="11.33203125" style="267" customWidth="1"/>
    <col min="9734" max="9734" width="13.5" style="267" customWidth="1"/>
    <col min="9735" max="9981" width="8.83203125" style="267"/>
    <col min="9982" max="9982" width="4.5" style="267" customWidth="1"/>
    <col min="9983" max="9983" width="12.5" style="267" customWidth="1"/>
    <col min="9984" max="9984" width="11.83203125" style="267" customWidth="1"/>
    <col min="9985" max="9985" width="12.83203125" style="267" customWidth="1"/>
    <col min="9986" max="9986" width="11" style="267" customWidth="1"/>
    <col min="9987" max="9987" width="11.5" style="267" customWidth="1"/>
    <col min="9988" max="9989" width="11.33203125" style="267" customWidth="1"/>
    <col min="9990" max="9990" width="13.5" style="267" customWidth="1"/>
    <col min="9991" max="10237" width="8.83203125" style="267"/>
    <col min="10238" max="10238" width="4.5" style="267" customWidth="1"/>
    <col min="10239" max="10239" width="12.5" style="267" customWidth="1"/>
    <col min="10240" max="10240" width="11.83203125" style="267" customWidth="1"/>
    <col min="10241" max="10241" width="12.83203125" style="267" customWidth="1"/>
    <col min="10242" max="10242" width="11" style="267" customWidth="1"/>
    <col min="10243" max="10243" width="11.5" style="267" customWidth="1"/>
    <col min="10244" max="10245" width="11.33203125" style="267" customWidth="1"/>
    <col min="10246" max="10246" width="13.5" style="267" customWidth="1"/>
    <col min="10247" max="10493" width="8.83203125" style="267"/>
    <col min="10494" max="10494" width="4.5" style="267" customWidth="1"/>
    <col min="10495" max="10495" width="12.5" style="267" customWidth="1"/>
    <col min="10496" max="10496" width="11.83203125" style="267" customWidth="1"/>
    <col min="10497" max="10497" width="12.83203125" style="267" customWidth="1"/>
    <col min="10498" max="10498" width="11" style="267" customWidth="1"/>
    <col min="10499" max="10499" width="11.5" style="267" customWidth="1"/>
    <col min="10500" max="10501" width="11.33203125" style="267" customWidth="1"/>
    <col min="10502" max="10502" width="13.5" style="267" customWidth="1"/>
    <col min="10503" max="10749" width="8.83203125" style="267"/>
    <col min="10750" max="10750" width="4.5" style="267" customWidth="1"/>
    <col min="10751" max="10751" width="12.5" style="267" customWidth="1"/>
    <col min="10752" max="10752" width="11.83203125" style="267" customWidth="1"/>
    <col min="10753" max="10753" width="12.83203125" style="267" customWidth="1"/>
    <col min="10754" max="10754" width="11" style="267" customWidth="1"/>
    <col min="10755" max="10755" width="11.5" style="267" customWidth="1"/>
    <col min="10756" max="10757" width="11.33203125" style="267" customWidth="1"/>
    <col min="10758" max="10758" width="13.5" style="267" customWidth="1"/>
    <col min="10759" max="11005" width="8.83203125" style="267"/>
    <col min="11006" max="11006" width="4.5" style="267" customWidth="1"/>
    <col min="11007" max="11007" width="12.5" style="267" customWidth="1"/>
    <col min="11008" max="11008" width="11.83203125" style="267" customWidth="1"/>
    <col min="11009" max="11009" width="12.83203125" style="267" customWidth="1"/>
    <col min="11010" max="11010" width="11" style="267" customWidth="1"/>
    <col min="11011" max="11011" width="11.5" style="267" customWidth="1"/>
    <col min="11012" max="11013" width="11.33203125" style="267" customWidth="1"/>
    <col min="11014" max="11014" width="13.5" style="267" customWidth="1"/>
    <col min="11015" max="11261" width="8.83203125" style="267"/>
    <col min="11262" max="11262" width="4.5" style="267" customWidth="1"/>
    <col min="11263" max="11263" width="12.5" style="267" customWidth="1"/>
    <col min="11264" max="11264" width="11.83203125" style="267" customWidth="1"/>
    <col min="11265" max="11265" width="12.83203125" style="267" customWidth="1"/>
    <col min="11266" max="11266" width="11" style="267" customWidth="1"/>
    <col min="11267" max="11267" width="11.5" style="267" customWidth="1"/>
    <col min="11268" max="11269" width="11.33203125" style="267" customWidth="1"/>
    <col min="11270" max="11270" width="13.5" style="267" customWidth="1"/>
    <col min="11271" max="11517" width="8.83203125" style="267"/>
    <col min="11518" max="11518" width="4.5" style="267" customWidth="1"/>
    <col min="11519" max="11519" width="12.5" style="267" customWidth="1"/>
    <col min="11520" max="11520" width="11.83203125" style="267" customWidth="1"/>
    <col min="11521" max="11521" width="12.83203125" style="267" customWidth="1"/>
    <col min="11522" max="11522" width="11" style="267" customWidth="1"/>
    <col min="11523" max="11523" width="11.5" style="267" customWidth="1"/>
    <col min="11524" max="11525" width="11.33203125" style="267" customWidth="1"/>
    <col min="11526" max="11526" width="13.5" style="267" customWidth="1"/>
    <col min="11527" max="11773" width="8.83203125" style="267"/>
    <col min="11774" max="11774" width="4.5" style="267" customWidth="1"/>
    <col min="11775" max="11775" width="12.5" style="267" customWidth="1"/>
    <col min="11776" max="11776" width="11.83203125" style="267" customWidth="1"/>
    <col min="11777" max="11777" width="12.83203125" style="267" customWidth="1"/>
    <col min="11778" max="11778" width="11" style="267" customWidth="1"/>
    <col min="11779" max="11779" width="11.5" style="267" customWidth="1"/>
    <col min="11780" max="11781" width="11.33203125" style="267" customWidth="1"/>
    <col min="11782" max="11782" width="13.5" style="267" customWidth="1"/>
    <col min="11783" max="12029" width="8.83203125" style="267"/>
    <col min="12030" max="12030" width="4.5" style="267" customWidth="1"/>
    <col min="12031" max="12031" width="12.5" style="267" customWidth="1"/>
    <col min="12032" max="12032" width="11.83203125" style="267" customWidth="1"/>
    <col min="12033" max="12033" width="12.83203125" style="267" customWidth="1"/>
    <col min="12034" max="12034" width="11" style="267" customWidth="1"/>
    <col min="12035" max="12035" width="11.5" style="267" customWidth="1"/>
    <col min="12036" max="12037" width="11.33203125" style="267" customWidth="1"/>
    <col min="12038" max="12038" width="13.5" style="267" customWidth="1"/>
    <col min="12039" max="12285" width="8.83203125" style="267"/>
    <col min="12286" max="12286" width="4.5" style="267" customWidth="1"/>
    <col min="12287" max="12287" width="12.5" style="267" customWidth="1"/>
    <col min="12288" max="12288" width="11.83203125" style="267" customWidth="1"/>
    <col min="12289" max="12289" width="12.83203125" style="267" customWidth="1"/>
    <col min="12290" max="12290" width="11" style="267" customWidth="1"/>
    <col min="12291" max="12291" width="11.5" style="267" customWidth="1"/>
    <col min="12292" max="12293" width="11.33203125" style="267" customWidth="1"/>
    <col min="12294" max="12294" width="13.5" style="267" customWidth="1"/>
    <col min="12295" max="12541" width="8.83203125" style="267"/>
    <col min="12542" max="12542" width="4.5" style="267" customWidth="1"/>
    <col min="12543" max="12543" width="12.5" style="267" customWidth="1"/>
    <col min="12544" max="12544" width="11.83203125" style="267" customWidth="1"/>
    <col min="12545" max="12545" width="12.83203125" style="267" customWidth="1"/>
    <col min="12546" max="12546" width="11" style="267" customWidth="1"/>
    <col min="12547" max="12547" width="11.5" style="267" customWidth="1"/>
    <col min="12548" max="12549" width="11.33203125" style="267" customWidth="1"/>
    <col min="12550" max="12550" width="13.5" style="267" customWidth="1"/>
    <col min="12551" max="12797" width="8.83203125" style="267"/>
    <col min="12798" max="12798" width="4.5" style="267" customWidth="1"/>
    <col min="12799" max="12799" width="12.5" style="267" customWidth="1"/>
    <col min="12800" max="12800" width="11.83203125" style="267" customWidth="1"/>
    <col min="12801" max="12801" width="12.83203125" style="267" customWidth="1"/>
    <col min="12802" max="12802" width="11" style="267" customWidth="1"/>
    <col min="12803" max="12803" width="11.5" style="267" customWidth="1"/>
    <col min="12804" max="12805" width="11.33203125" style="267" customWidth="1"/>
    <col min="12806" max="12806" width="13.5" style="267" customWidth="1"/>
    <col min="12807" max="13053" width="8.83203125" style="267"/>
    <col min="13054" max="13054" width="4.5" style="267" customWidth="1"/>
    <col min="13055" max="13055" width="12.5" style="267" customWidth="1"/>
    <col min="13056" max="13056" width="11.83203125" style="267" customWidth="1"/>
    <col min="13057" max="13057" width="12.83203125" style="267" customWidth="1"/>
    <col min="13058" max="13058" width="11" style="267" customWidth="1"/>
    <col min="13059" max="13059" width="11.5" style="267" customWidth="1"/>
    <col min="13060" max="13061" width="11.33203125" style="267" customWidth="1"/>
    <col min="13062" max="13062" width="13.5" style="267" customWidth="1"/>
    <col min="13063" max="13309" width="8.83203125" style="267"/>
    <col min="13310" max="13310" width="4.5" style="267" customWidth="1"/>
    <col min="13311" max="13311" width="12.5" style="267" customWidth="1"/>
    <col min="13312" max="13312" width="11.83203125" style="267" customWidth="1"/>
    <col min="13313" max="13313" width="12.83203125" style="267" customWidth="1"/>
    <col min="13314" max="13314" width="11" style="267" customWidth="1"/>
    <col min="13315" max="13315" width="11.5" style="267" customWidth="1"/>
    <col min="13316" max="13317" width="11.33203125" style="267" customWidth="1"/>
    <col min="13318" max="13318" width="13.5" style="267" customWidth="1"/>
    <col min="13319" max="13565" width="8.83203125" style="267"/>
    <col min="13566" max="13566" width="4.5" style="267" customWidth="1"/>
    <col min="13567" max="13567" width="12.5" style="267" customWidth="1"/>
    <col min="13568" max="13568" width="11.83203125" style="267" customWidth="1"/>
    <col min="13569" max="13569" width="12.83203125" style="267" customWidth="1"/>
    <col min="13570" max="13570" width="11" style="267" customWidth="1"/>
    <col min="13571" max="13571" width="11.5" style="267" customWidth="1"/>
    <col min="13572" max="13573" width="11.33203125" style="267" customWidth="1"/>
    <col min="13574" max="13574" width="13.5" style="267" customWidth="1"/>
    <col min="13575" max="13821" width="8.83203125" style="267"/>
    <col min="13822" max="13822" width="4.5" style="267" customWidth="1"/>
    <col min="13823" max="13823" width="12.5" style="267" customWidth="1"/>
    <col min="13824" max="13824" width="11.83203125" style="267" customWidth="1"/>
    <col min="13825" max="13825" width="12.83203125" style="267" customWidth="1"/>
    <col min="13826" max="13826" width="11" style="267" customWidth="1"/>
    <col min="13827" max="13827" width="11.5" style="267" customWidth="1"/>
    <col min="13828" max="13829" width="11.33203125" style="267" customWidth="1"/>
    <col min="13830" max="13830" width="13.5" style="267" customWidth="1"/>
    <col min="13831" max="14077" width="8.83203125" style="267"/>
    <col min="14078" max="14078" width="4.5" style="267" customWidth="1"/>
    <col min="14079" max="14079" width="12.5" style="267" customWidth="1"/>
    <col min="14080" max="14080" width="11.83203125" style="267" customWidth="1"/>
    <col min="14081" max="14081" width="12.83203125" style="267" customWidth="1"/>
    <col min="14082" max="14082" width="11" style="267" customWidth="1"/>
    <col min="14083" max="14083" width="11.5" style="267" customWidth="1"/>
    <col min="14084" max="14085" width="11.33203125" style="267" customWidth="1"/>
    <col min="14086" max="14086" width="13.5" style="267" customWidth="1"/>
    <col min="14087" max="14333" width="8.83203125" style="267"/>
    <col min="14334" max="14334" width="4.5" style="267" customWidth="1"/>
    <col min="14335" max="14335" width="12.5" style="267" customWidth="1"/>
    <col min="14336" max="14336" width="11.83203125" style="267" customWidth="1"/>
    <col min="14337" max="14337" width="12.83203125" style="267" customWidth="1"/>
    <col min="14338" max="14338" width="11" style="267" customWidth="1"/>
    <col min="14339" max="14339" width="11.5" style="267" customWidth="1"/>
    <col min="14340" max="14341" width="11.33203125" style="267" customWidth="1"/>
    <col min="14342" max="14342" width="13.5" style="267" customWidth="1"/>
    <col min="14343" max="14589" width="8.83203125" style="267"/>
    <col min="14590" max="14590" width="4.5" style="267" customWidth="1"/>
    <col min="14591" max="14591" width="12.5" style="267" customWidth="1"/>
    <col min="14592" max="14592" width="11.83203125" style="267" customWidth="1"/>
    <col min="14593" max="14593" width="12.83203125" style="267" customWidth="1"/>
    <col min="14594" max="14594" width="11" style="267" customWidth="1"/>
    <col min="14595" max="14595" width="11.5" style="267" customWidth="1"/>
    <col min="14596" max="14597" width="11.33203125" style="267" customWidth="1"/>
    <col min="14598" max="14598" width="13.5" style="267" customWidth="1"/>
    <col min="14599" max="14845" width="8.83203125" style="267"/>
    <col min="14846" max="14846" width="4.5" style="267" customWidth="1"/>
    <col min="14847" max="14847" width="12.5" style="267" customWidth="1"/>
    <col min="14848" max="14848" width="11.83203125" style="267" customWidth="1"/>
    <col min="14849" max="14849" width="12.83203125" style="267" customWidth="1"/>
    <col min="14850" max="14850" width="11" style="267" customWidth="1"/>
    <col min="14851" max="14851" width="11.5" style="267" customWidth="1"/>
    <col min="14852" max="14853" width="11.33203125" style="267" customWidth="1"/>
    <col min="14854" max="14854" width="13.5" style="267" customWidth="1"/>
    <col min="14855" max="15101" width="8.83203125" style="267"/>
    <col min="15102" max="15102" width="4.5" style="267" customWidth="1"/>
    <col min="15103" max="15103" width="12.5" style="267" customWidth="1"/>
    <col min="15104" max="15104" width="11.83203125" style="267" customWidth="1"/>
    <col min="15105" max="15105" width="12.83203125" style="267" customWidth="1"/>
    <col min="15106" max="15106" width="11" style="267" customWidth="1"/>
    <col min="15107" max="15107" width="11.5" style="267" customWidth="1"/>
    <col min="15108" max="15109" width="11.33203125" style="267" customWidth="1"/>
    <col min="15110" max="15110" width="13.5" style="267" customWidth="1"/>
    <col min="15111" max="15357" width="8.83203125" style="267"/>
    <col min="15358" max="15358" width="4.5" style="267" customWidth="1"/>
    <col min="15359" max="15359" width="12.5" style="267" customWidth="1"/>
    <col min="15360" max="15360" width="11.83203125" style="267" customWidth="1"/>
    <col min="15361" max="15361" width="12.83203125" style="267" customWidth="1"/>
    <col min="15362" max="15362" width="11" style="267" customWidth="1"/>
    <col min="15363" max="15363" width="11.5" style="267" customWidth="1"/>
    <col min="15364" max="15365" width="11.33203125" style="267" customWidth="1"/>
    <col min="15366" max="15366" width="13.5" style="267" customWidth="1"/>
    <col min="15367" max="15613" width="8.83203125" style="267"/>
    <col min="15614" max="15614" width="4.5" style="267" customWidth="1"/>
    <col min="15615" max="15615" width="12.5" style="267" customWidth="1"/>
    <col min="15616" max="15616" width="11.83203125" style="267" customWidth="1"/>
    <col min="15617" max="15617" width="12.83203125" style="267" customWidth="1"/>
    <col min="15618" max="15618" width="11" style="267" customWidth="1"/>
    <col min="15619" max="15619" width="11.5" style="267" customWidth="1"/>
    <col min="15620" max="15621" width="11.33203125" style="267" customWidth="1"/>
    <col min="15622" max="15622" width="13.5" style="267" customWidth="1"/>
    <col min="15623" max="15869" width="8.83203125" style="267"/>
    <col min="15870" max="15870" width="4.5" style="267" customWidth="1"/>
    <col min="15871" max="15871" width="12.5" style="267" customWidth="1"/>
    <col min="15872" max="15872" width="11.83203125" style="267" customWidth="1"/>
    <col min="15873" max="15873" width="12.83203125" style="267" customWidth="1"/>
    <col min="15874" max="15874" width="11" style="267" customWidth="1"/>
    <col min="15875" max="15875" width="11.5" style="267" customWidth="1"/>
    <col min="15876" max="15877" width="11.33203125" style="267" customWidth="1"/>
    <col min="15878" max="15878" width="13.5" style="267" customWidth="1"/>
    <col min="15879" max="16125" width="8.83203125" style="267"/>
    <col min="16126" max="16126" width="4.5" style="267" customWidth="1"/>
    <col min="16127" max="16127" width="12.5" style="267" customWidth="1"/>
    <col min="16128" max="16128" width="11.83203125" style="267" customWidth="1"/>
    <col min="16129" max="16129" width="12.83203125" style="267" customWidth="1"/>
    <col min="16130" max="16130" width="11" style="267" customWidth="1"/>
    <col min="16131" max="16131" width="11.5" style="267" customWidth="1"/>
    <col min="16132" max="16133" width="11.33203125" style="267" customWidth="1"/>
    <col min="16134" max="16134" width="13.5" style="267" customWidth="1"/>
    <col min="16135" max="16384" width="8.83203125" style="267"/>
  </cols>
  <sheetData>
    <row r="1" spans="1:16" ht="33" customHeight="1">
      <c r="A1" s="739" t="s">
        <v>104</v>
      </c>
      <c r="B1" s="740"/>
      <c r="C1" s="740"/>
      <c r="D1" s="740"/>
      <c r="E1" s="740"/>
      <c r="F1" s="740"/>
      <c r="G1" s="740"/>
      <c r="H1" s="740"/>
    </row>
    <row r="2" spans="1:16" ht="22" customHeight="1">
      <c r="A2" s="268" t="str">
        <f>'Amortization-HIDDEN-B'!A2</f>
        <v>4.2.9.c</v>
      </c>
      <c r="B2" s="268" t="str">
        <f>'Amortization-HIDDEN-B'!B2</f>
        <v>02112025</v>
      </c>
      <c r="C2" s="268"/>
      <c r="D2" s="268"/>
      <c r="E2" s="268"/>
      <c r="F2" s="268"/>
      <c r="G2" s="268"/>
      <c r="H2" s="268"/>
    </row>
    <row r="3" spans="1:16" ht="19.5" customHeight="1" thickBot="1">
      <c r="A3" s="269"/>
      <c r="B3" s="269"/>
      <c r="C3" s="269"/>
      <c r="D3" s="270" t="s">
        <v>92</v>
      </c>
      <c r="E3" s="270"/>
      <c r="F3" s="269"/>
      <c r="G3" s="269"/>
      <c r="H3" s="266"/>
      <c r="I3" s="271"/>
      <c r="J3" s="271"/>
      <c r="L3" s="271"/>
    </row>
    <row r="4" spans="1:16">
      <c r="A4" s="738" t="s">
        <v>93</v>
      </c>
      <c r="B4" s="738"/>
      <c r="C4" s="738"/>
      <c r="D4" s="272">
        <f>'Summary Schedule'!G26+'Summary Schedule'!G27+'Summary Schedule'!G28-'Summary Schedule'!G29</f>
        <v>0</v>
      </c>
      <c r="E4" s="269" t="s">
        <v>102</v>
      </c>
      <c r="F4" s="267"/>
      <c r="G4" s="267"/>
      <c r="H4" s="267"/>
      <c r="I4" s="267"/>
      <c r="L4" s="271"/>
    </row>
    <row r="5" spans="1:16">
      <c r="A5" s="738" t="s">
        <v>117</v>
      </c>
      <c r="B5" s="738"/>
      <c r="C5" s="738"/>
      <c r="D5" s="273">
        <f>'Summary Schedule'!C30/12</f>
        <v>0</v>
      </c>
      <c r="E5" s="269" t="s">
        <v>102</v>
      </c>
      <c r="F5" s="267"/>
      <c r="G5" s="267"/>
      <c r="H5" s="274"/>
      <c r="I5" s="267"/>
      <c r="L5" s="271"/>
    </row>
    <row r="6" spans="1:16">
      <c r="A6" s="738" t="s">
        <v>118</v>
      </c>
      <c r="B6" s="738"/>
      <c r="C6" s="738"/>
      <c r="D6" s="275">
        <v>480</v>
      </c>
      <c r="E6" s="269" t="s">
        <v>108</v>
      </c>
      <c r="F6" s="267"/>
      <c r="G6" s="276"/>
      <c r="H6" s="267"/>
      <c r="I6" s="277"/>
      <c r="L6" s="271"/>
    </row>
    <row r="7" spans="1:16" ht="13" thickBot="1">
      <c r="A7" s="738" t="s">
        <v>94</v>
      </c>
      <c r="B7" s="738"/>
      <c r="C7" s="738"/>
      <c r="D7" s="278">
        <f>IF('Summary Schedule'!G32="",1/1/1,'Summary Schedule'!G32)</f>
        <v>1</v>
      </c>
      <c r="E7" s="269" t="s">
        <v>102</v>
      </c>
      <c r="F7" s="267"/>
      <c r="G7" s="267"/>
      <c r="H7" s="267"/>
      <c r="I7" s="267"/>
      <c r="L7" s="271"/>
    </row>
    <row r="8" spans="1:16">
      <c r="A8" s="279"/>
      <c r="B8" s="279"/>
      <c r="C8" s="279"/>
      <c r="D8" s="280"/>
      <c r="E8" s="279"/>
      <c r="F8" s="267"/>
      <c r="G8" s="267"/>
      <c r="H8" s="267"/>
      <c r="I8" s="267"/>
      <c r="L8" s="271"/>
    </row>
    <row r="9" spans="1:16" ht="14.25" customHeight="1" thickBot="1">
      <c r="A9" s="269"/>
      <c r="B9" s="269"/>
      <c r="C9" s="269"/>
      <c r="D9" s="269"/>
      <c r="E9" s="269"/>
      <c r="F9" s="267"/>
      <c r="G9" s="267"/>
      <c r="H9" s="267"/>
      <c r="I9" s="267"/>
      <c r="L9" s="271"/>
      <c r="M9" s="274"/>
    </row>
    <row r="10" spans="1:16" ht="14.25" customHeight="1" thickBot="1">
      <c r="A10" s="738" t="s">
        <v>357</v>
      </c>
      <c r="B10" s="738"/>
      <c r="C10" s="738"/>
      <c r="D10" s="302">
        <f>IF('Summary Schedule'!C36="Beginning",1,0)</f>
        <v>0</v>
      </c>
      <c r="E10" s="269" t="s">
        <v>103</v>
      </c>
      <c r="F10" s="267"/>
      <c r="G10" s="267"/>
      <c r="H10" s="267"/>
      <c r="I10" s="267"/>
      <c r="L10" s="271"/>
    </row>
    <row r="11" spans="1:16" ht="14.25" customHeight="1">
      <c r="A11" s="738" t="s">
        <v>127</v>
      </c>
      <c r="B11" s="738"/>
      <c r="C11" s="738"/>
      <c r="D11" s="275">
        <f ca="1">M15</f>
        <v>0</v>
      </c>
      <c r="E11" s="269"/>
      <c r="F11" s="267"/>
      <c r="G11" s="282"/>
      <c r="H11" s="267"/>
      <c r="I11" s="267"/>
    </row>
    <row r="12" spans="1:16">
      <c r="A12" s="738" t="s">
        <v>125</v>
      </c>
      <c r="B12" s="738"/>
      <c r="C12" s="738"/>
      <c r="D12" s="283"/>
      <c r="E12" s="284"/>
      <c r="F12" s="83"/>
      <c r="G12" s="83"/>
      <c r="H12" s="267"/>
      <c r="I12" s="267"/>
    </row>
    <row r="13" spans="1:16">
      <c r="A13" s="738" t="s">
        <v>95</v>
      </c>
      <c r="B13" s="738"/>
      <c r="C13" s="738"/>
      <c r="D13" s="285"/>
      <c r="E13" s="284"/>
      <c r="F13" s="267"/>
      <c r="G13" s="267"/>
      <c r="H13" s="267"/>
      <c r="I13" s="267"/>
    </row>
    <row r="14" spans="1:16" ht="14.25" customHeight="1" thickBot="1">
      <c r="A14" s="738" t="s">
        <v>128</v>
      </c>
      <c r="B14" s="738"/>
      <c r="C14" s="738"/>
      <c r="D14" s="286"/>
      <c r="E14" s="269"/>
      <c r="F14" s="287"/>
      <c r="G14" s="287"/>
      <c r="H14" s="287"/>
      <c r="I14" s="267"/>
    </row>
    <row r="15" spans="1:16" ht="15.75" customHeight="1">
      <c r="A15" s="738"/>
      <c r="B15" s="738"/>
      <c r="C15" s="738"/>
      <c r="D15" s="288" t="s">
        <v>122</v>
      </c>
      <c r="E15" s="280"/>
      <c r="F15" s="267"/>
      <c r="G15" s="267"/>
      <c r="H15" s="287"/>
      <c r="I15" s="267"/>
      <c r="M15" s="267">
        <f ca="1">COUNTIF(M17:M56,"&gt;0")</f>
        <v>0</v>
      </c>
    </row>
    <row r="16" spans="1:16" s="294" customFormat="1" ht="28.5" customHeight="1">
      <c r="A16" s="289" t="s">
        <v>96</v>
      </c>
      <c r="B16" s="289" t="s">
        <v>97</v>
      </c>
      <c r="C16" s="289" t="s">
        <v>98</v>
      </c>
      <c r="D16" s="290"/>
      <c r="E16" s="289" t="s">
        <v>126</v>
      </c>
      <c r="F16" s="289" t="s">
        <v>99</v>
      </c>
      <c r="G16" s="289" t="s">
        <v>100</v>
      </c>
      <c r="H16" s="289" t="s">
        <v>101</v>
      </c>
      <c r="I16" s="291"/>
      <c r="J16" s="292" t="s">
        <v>115</v>
      </c>
      <c r="K16" s="292" t="s">
        <v>114</v>
      </c>
      <c r="L16" s="292" t="s">
        <v>124</v>
      </c>
      <c r="M16" s="292" t="s">
        <v>116</v>
      </c>
      <c r="N16" s="292" t="str">
        <f>F16</f>
        <v>Principal</v>
      </c>
      <c r="O16" s="292" t="str">
        <f>G16</f>
        <v>Interest</v>
      </c>
      <c r="P16" s="293"/>
    </row>
    <row r="17" spans="1:22">
      <c r="A17" s="295">
        <v>0</v>
      </c>
      <c r="B17" s="295"/>
      <c r="C17" s="296"/>
      <c r="D17" s="296">
        <f>IF(H17&lt;=0,0,(K17-L17)/11)</f>
        <v>0</v>
      </c>
      <c r="E17" s="296"/>
      <c r="F17" s="296"/>
      <c r="G17" s="296"/>
      <c r="H17" s="296">
        <f>D4</f>
        <v>0</v>
      </c>
      <c r="I17" s="297">
        <f>ROUND((D17-H17),0)</f>
        <v>0</v>
      </c>
      <c r="J17" s="298">
        <v>1</v>
      </c>
      <c r="K17" s="299">
        <f ca="1">'Itemized Costs-HIDDEN'!N5-INDIRECT("'Sch3-Perf Period Cash Flow'!D"&amp;7&amp;"")</f>
        <v>-1</v>
      </c>
      <c r="L17" s="424" cm="1">
        <f t="array" ref="L17:L56">TRANSPOSE('Sch3-Perf Period Cash Flow'!D21:AQ21)</f>
        <v>0</v>
      </c>
      <c r="M17" s="299">
        <f ca="1">N17+O17</f>
        <v>0</v>
      </c>
      <c r="N17" s="299">
        <f ca="1">ROUND(SUM(INDIRECT(S17):INDIRECT(T17)),0)</f>
        <v>0</v>
      </c>
      <c r="O17" s="299">
        <f ca="1">IF(N17=0,0,ROUND(SUM(INDIRECT(U17):INDIRECT(V17)),0))</f>
        <v>0</v>
      </c>
      <c r="P17" s="461" t="str">
        <f ca="1">IF(N17&gt;0.005,J17,"")</f>
        <v/>
      </c>
      <c r="Q17" s="267">
        <v>18</v>
      </c>
      <c r="R17" s="267">
        <f t="shared" ref="R17:R34" si="0">Q17+11</f>
        <v>29</v>
      </c>
      <c r="S17" s="267" t="str">
        <f>CONCATENATE("f",Q17)</f>
        <v>f18</v>
      </c>
      <c r="T17" s="267" t="str">
        <f>CONCATENATE("f",R17)</f>
        <v>f29</v>
      </c>
      <c r="U17" s="267" t="str">
        <f t="shared" ref="U17:V32" si="1">CONCATENATE("G",Q17)</f>
        <v>G18</v>
      </c>
      <c r="V17" s="267" t="str">
        <f t="shared" si="1"/>
        <v>G29</v>
      </c>
    </row>
    <row r="18" spans="1:22">
      <c r="A18" s="295">
        <f>IF(A17="","",IF(A17=$D$6,"",A17+1))</f>
        <v>1</v>
      </c>
      <c r="B18" s="300">
        <f>D7</f>
        <v>1</v>
      </c>
      <c r="C18" s="296">
        <f>IF(H17=0,0,H17)</f>
        <v>0</v>
      </c>
      <c r="D18" s="295"/>
      <c r="E18" s="296">
        <f>IF($D$10=1,
 IF(OR(MONTH(B18)=MONTH(EDATE($D$7,0)),MONTH(B18)=MONTH(EDATE($D$7,1)),MONTH(B18)=MONTH(EDATE($D$7,2)),MONTH(B18)=MONTH(EDATE($D$7,3)), MONTH(B18)=MONTH(EDATE($D$7,4)),MONTH(B18)=MONTH(EDATE($D$7,5)),MONTH(B18)=MONTH(EDATE($D$7,6)),MONTH(B18)=MONTH(EDATE($D$7,7)),MONTH(B18)=MONTH(EDATE($D$7,8)),MONTH(B18)=MONTH(EDATE($D$7,9)),MONTH(B18)=MONTH(EDATE($D$7,10))),(MIN($D$17,H17)),0),
IF($D$10=0,
 IF(OR(MONTH(B18)=MONTH(EDATE($D$7,1)),MONTH(B18)=MONTH(EDATE($D$7,2)),MONTH(B18)=MONTH(EDATE($D$7,3)),MONTH(B18)=MONTH(EDATE($D$7,4)), MONTH(B18)=MONTH(EDATE($D$7,5)),MONTH(B18)=MONTH(EDATE($D$7,6)),MONTH(B18)=MONTH(EDATE($D$7,7)),MONTH(B18)=MONTH(EDATE($D$7,8)),MONTH(B18)=MONTH(EDATE($D$7,9)),MONTH(B18)=MONTH(EDATE($D$7,10)),MONTH(B18)=MONTH(EDATE($D$7,11))),(MIN($D$17,H17)),0)))</f>
        <v>0</v>
      </c>
      <c r="F18" s="296">
        <f t="shared" ref="F18:F81" si="2">IF(E18="","",E18-G18)</f>
        <v>0</v>
      </c>
      <c r="G18" s="303">
        <f>ROUND((C18-E18)*$D$5,3)</f>
        <v>0</v>
      </c>
      <c r="H18" s="296">
        <f>IF(E18="","",ROUND(H17-F18,4))</f>
        <v>0</v>
      </c>
      <c r="I18" s="297">
        <f t="shared" ref="I18:I81" si="3">ROUND((D18-H18),0)</f>
        <v>0</v>
      </c>
      <c r="J18" s="298">
        <v>2</v>
      </c>
      <c r="K18" s="299">
        <f ca="1">'Itemized Costs-HIDDEN'!N6-INDIRECT("'Sch3-Perf Period Cash Flow'!D"&amp;7&amp;"")</f>
        <v>-1</v>
      </c>
      <c r="L18" s="425">
        <v>0</v>
      </c>
      <c r="M18" s="299">
        <f t="shared" ref="M18:M56" ca="1" si="4">N18+O18</f>
        <v>-1</v>
      </c>
      <c r="N18" s="299">
        <f ca="1">ROUND(SUM(INDIRECT(S18):INDIRECT(T18)),0)</f>
        <v>-1</v>
      </c>
      <c r="O18" s="299">
        <f ca="1">IF(N18=0,0,ROUND(SUM(INDIRECT(U18):INDIRECT(V18)),0))</f>
        <v>0</v>
      </c>
      <c r="P18" s="461" t="str">
        <f t="shared" ref="P18:P56" ca="1" si="5">IF(N18&gt;0.005,J18,"")</f>
        <v/>
      </c>
      <c r="Q18" s="267">
        <f>Q17+12</f>
        <v>30</v>
      </c>
      <c r="R18" s="267">
        <f t="shared" si="0"/>
        <v>41</v>
      </c>
      <c r="S18" s="267" t="str">
        <f t="shared" ref="S18:T56" si="6">CONCATENATE("f",Q18)</f>
        <v>f30</v>
      </c>
      <c r="T18" s="267" t="str">
        <f t="shared" si="6"/>
        <v>f41</v>
      </c>
      <c r="U18" s="267" t="str">
        <f t="shared" si="1"/>
        <v>G30</v>
      </c>
      <c r="V18" s="267" t="str">
        <f t="shared" si="1"/>
        <v>G41</v>
      </c>
    </row>
    <row r="19" spans="1:22">
      <c r="A19" s="295">
        <f t="shared" ref="A19:A82" si="7">IF(A18="","",IF(A18=$D$6,"",A18+1))</f>
        <v>2</v>
      </c>
      <c r="B19" s="300">
        <f>DATE(YEAR(B18),MONTH(B18)+1,1)</f>
        <v>32</v>
      </c>
      <c r="C19" s="296">
        <f t="shared" ref="C19:C82" si="8">IF(H18=0,0,H18)</f>
        <v>0</v>
      </c>
      <c r="D19" s="295"/>
      <c r="E19" s="296">
        <f t="shared" ref="E19:E29" si="9">IF($D$10=1,
 IF(OR(MONTH(B19)=MONTH(EDATE($D$7,0)),MONTH(B19)=MONTH(EDATE($D$7,1)),MONTH(B19)=MONTH(EDATE($D$7,2)),MONTH(B19)=MONTH(EDATE($D$7,3)), MONTH(B19)=MONTH(EDATE($D$7,4)),MONTH(B19)=MONTH(EDATE($D$7,5)),MONTH(B19)=MONTH(EDATE($D$7,6)),MONTH(B19)=MONTH(EDATE($D$7,7)),MONTH(B19)=MONTH(EDATE($D$7,8)),MONTH(B19)=MONTH(EDATE($D$7,9)),MONTH(B19)=MONTH(EDATE($D$7,10))),(MIN($D$17,H18)),0),
IF($D$10=0,
 IF(OR(MONTH(B19)=MONTH(EDATE($D$7,1)),MONTH(B19)=MONTH(EDATE($D$7,2)),MONTH(B19)=MONTH(EDATE($D$7,3)),MONTH(B19)=MONTH(EDATE($D$7,4)), MONTH(B19)=MONTH(EDATE($D$7,5)),MONTH(B19)=MONTH(EDATE($D$7,6)),MONTH(B19)=MONTH(EDATE($D$7,7)),MONTH(B19)=MONTH(EDATE($D$7,8)),MONTH(B19)=MONTH(EDATE($D$7,9)),MONTH(B19)=MONTH(EDATE($D$7,10)),MONTH(B19)=MONTH(EDATE($D$7,11))),(MIN($D$17,H18)),0)))</f>
        <v>0</v>
      </c>
      <c r="F19" s="296">
        <f t="shared" si="2"/>
        <v>0</v>
      </c>
      <c r="G19" s="303">
        <f t="shared" ref="G19:G82" si="10">ROUND((C19-E19)*$D$5,3)</f>
        <v>0</v>
      </c>
      <c r="H19" s="296">
        <f t="shared" ref="H19:H82" si="11">IF(E19="","",ROUND(H18-F19,4))</f>
        <v>0</v>
      </c>
      <c r="I19" s="297">
        <f t="shared" si="3"/>
        <v>0</v>
      </c>
      <c r="J19" s="298">
        <v>3</v>
      </c>
      <c r="K19" s="299">
        <f ca="1">'Itemized Costs-HIDDEN'!N7-INDIRECT("'Sch3-Perf Period Cash Flow'!D"&amp;7&amp;"")</f>
        <v>-1</v>
      </c>
      <c r="L19" s="425">
        <v>0</v>
      </c>
      <c r="M19" s="299">
        <f t="shared" ca="1" si="4"/>
        <v>-1</v>
      </c>
      <c r="N19" s="299">
        <f ca="1">ROUND(SUM(INDIRECT(S19):INDIRECT(T19)),0)</f>
        <v>-1</v>
      </c>
      <c r="O19" s="299">
        <f ca="1">IF(N19=0,0,ROUND(SUM(INDIRECT(U19):INDIRECT(V19)),0))</f>
        <v>0</v>
      </c>
      <c r="P19" s="461" t="str">
        <f t="shared" ca="1" si="5"/>
        <v/>
      </c>
      <c r="Q19" s="267">
        <f t="shared" ref="Q19:Q56" si="12">Q18+12</f>
        <v>42</v>
      </c>
      <c r="R19" s="267">
        <f t="shared" si="0"/>
        <v>53</v>
      </c>
      <c r="S19" s="267" t="str">
        <f t="shared" si="6"/>
        <v>f42</v>
      </c>
      <c r="T19" s="267" t="str">
        <f t="shared" si="6"/>
        <v>f53</v>
      </c>
      <c r="U19" s="267" t="str">
        <f t="shared" si="1"/>
        <v>G42</v>
      </c>
      <c r="V19" s="267" t="str">
        <f t="shared" si="1"/>
        <v>G53</v>
      </c>
    </row>
    <row r="20" spans="1:22">
      <c r="A20" s="295">
        <f t="shared" si="7"/>
        <v>3</v>
      </c>
      <c r="B20" s="300">
        <f t="shared" ref="B20:B83" si="13">DATE(YEAR(B19),MONTH(B19)+1,1)</f>
        <v>61</v>
      </c>
      <c r="C20" s="296">
        <f t="shared" si="8"/>
        <v>0</v>
      </c>
      <c r="D20" s="295"/>
      <c r="E20" s="296">
        <f t="shared" si="9"/>
        <v>0</v>
      </c>
      <c r="F20" s="296">
        <f t="shared" si="2"/>
        <v>0</v>
      </c>
      <c r="G20" s="303">
        <f t="shared" si="10"/>
        <v>0</v>
      </c>
      <c r="H20" s="296">
        <f t="shared" si="11"/>
        <v>0</v>
      </c>
      <c r="I20" s="297">
        <f t="shared" si="3"/>
        <v>0</v>
      </c>
      <c r="J20" s="298">
        <v>4</v>
      </c>
      <c r="K20" s="299">
        <f ca="1">'Itemized Costs-HIDDEN'!N8-INDIRECT("'Sch3-Perf Period Cash Flow'!D"&amp;7&amp;"")</f>
        <v>-1</v>
      </c>
      <c r="L20" s="425">
        <v>0</v>
      </c>
      <c r="M20" s="299">
        <f t="shared" ca="1" si="4"/>
        <v>-1</v>
      </c>
      <c r="N20" s="299">
        <f ca="1">ROUND(SUM(INDIRECT(S20):INDIRECT(T20)),0)</f>
        <v>-1</v>
      </c>
      <c r="O20" s="299">
        <f ca="1">IF(N20=0,0,ROUND(SUM(INDIRECT(U20):INDIRECT(V20)),0))</f>
        <v>0</v>
      </c>
      <c r="P20" s="461" t="str">
        <f t="shared" ca="1" si="5"/>
        <v/>
      </c>
      <c r="Q20" s="267">
        <f t="shared" si="12"/>
        <v>54</v>
      </c>
      <c r="R20" s="267">
        <f t="shared" si="0"/>
        <v>65</v>
      </c>
      <c r="S20" s="267" t="str">
        <f t="shared" si="6"/>
        <v>f54</v>
      </c>
      <c r="T20" s="267" t="str">
        <f t="shared" si="6"/>
        <v>f65</v>
      </c>
      <c r="U20" s="267" t="str">
        <f t="shared" si="1"/>
        <v>G54</v>
      </c>
      <c r="V20" s="267" t="str">
        <f t="shared" si="1"/>
        <v>G65</v>
      </c>
    </row>
    <row r="21" spans="1:22">
      <c r="A21" s="295">
        <f t="shared" si="7"/>
        <v>4</v>
      </c>
      <c r="B21" s="300">
        <f t="shared" si="13"/>
        <v>92</v>
      </c>
      <c r="C21" s="296">
        <f t="shared" si="8"/>
        <v>0</v>
      </c>
      <c r="D21" s="295"/>
      <c r="E21" s="296">
        <f t="shared" si="9"/>
        <v>0</v>
      </c>
      <c r="F21" s="296">
        <f t="shared" si="2"/>
        <v>0</v>
      </c>
      <c r="G21" s="303">
        <f t="shared" si="10"/>
        <v>0</v>
      </c>
      <c r="H21" s="296">
        <f t="shared" si="11"/>
        <v>0</v>
      </c>
      <c r="I21" s="297">
        <f t="shared" si="3"/>
        <v>0</v>
      </c>
      <c r="J21" s="298">
        <v>5</v>
      </c>
      <c r="K21" s="299">
        <f ca="1">'Itemized Costs-HIDDEN'!N9-INDIRECT("'Sch3-Perf Period Cash Flow'!D"&amp;7&amp;"")</f>
        <v>-1</v>
      </c>
      <c r="L21" s="425">
        <v>0</v>
      </c>
      <c r="M21" s="299">
        <f t="shared" ca="1" si="4"/>
        <v>-1</v>
      </c>
      <c r="N21" s="299">
        <f ca="1">ROUND(SUM(INDIRECT(S21):INDIRECT(T21)),0)</f>
        <v>-1</v>
      </c>
      <c r="O21" s="299">
        <f ca="1">IF(N21=0,0,ROUND(SUM(INDIRECT(U21):INDIRECT(V21)),0))</f>
        <v>0</v>
      </c>
      <c r="P21" s="461" t="str">
        <f t="shared" ca="1" si="5"/>
        <v/>
      </c>
      <c r="Q21" s="267">
        <f t="shared" si="12"/>
        <v>66</v>
      </c>
      <c r="R21" s="267">
        <f t="shared" si="0"/>
        <v>77</v>
      </c>
      <c r="S21" s="267" t="str">
        <f t="shared" si="6"/>
        <v>f66</v>
      </c>
      <c r="T21" s="267" t="str">
        <f t="shared" si="6"/>
        <v>f77</v>
      </c>
      <c r="U21" s="267" t="str">
        <f t="shared" si="1"/>
        <v>G66</v>
      </c>
      <c r="V21" s="267" t="str">
        <f t="shared" si="1"/>
        <v>G77</v>
      </c>
    </row>
    <row r="22" spans="1:22">
      <c r="A22" s="295">
        <f t="shared" si="7"/>
        <v>5</v>
      </c>
      <c r="B22" s="300">
        <f t="shared" si="13"/>
        <v>122</v>
      </c>
      <c r="C22" s="296">
        <f t="shared" si="8"/>
        <v>0</v>
      </c>
      <c r="D22" s="295"/>
      <c r="E22" s="296">
        <f t="shared" si="9"/>
        <v>0</v>
      </c>
      <c r="F22" s="296">
        <f t="shared" si="2"/>
        <v>0</v>
      </c>
      <c r="G22" s="303">
        <f t="shared" si="10"/>
        <v>0</v>
      </c>
      <c r="H22" s="296">
        <f t="shared" si="11"/>
        <v>0</v>
      </c>
      <c r="I22" s="297">
        <f t="shared" si="3"/>
        <v>0</v>
      </c>
      <c r="J22" s="298">
        <v>6</v>
      </c>
      <c r="K22" s="299">
        <f ca="1">'Itemized Costs-HIDDEN'!N10-INDIRECT("'Sch3-Perf Period Cash Flow'!D"&amp;7&amp;"")</f>
        <v>-1</v>
      </c>
      <c r="L22" s="425">
        <v>0</v>
      </c>
      <c r="M22" s="299">
        <f t="shared" ca="1" si="4"/>
        <v>-1</v>
      </c>
      <c r="N22" s="299">
        <f ca="1">ROUND(SUM(INDIRECT(S22):INDIRECT(T22)),0)</f>
        <v>-1</v>
      </c>
      <c r="O22" s="299">
        <f ca="1">IF(N22=0,0,ROUND(SUM(INDIRECT(U22):INDIRECT(V22)),0))</f>
        <v>0</v>
      </c>
      <c r="P22" s="461" t="str">
        <f t="shared" ca="1" si="5"/>
        <v/>
      </c>
      <c r="Q22" s="267">
        <f t="shared" si="12"/>
        <v>78</v>
      </c>
      <c r="R22" s="267">
        <f t="shared" si="0"/>
        <v>89</v>
      </c>
      <c r="S22" s="267" t="str">
        <f t="shared" si="6"/>
        <v>f78</v>
      </c>
      <c r="T22" s="267" t="str">
        <f t="shared" si="6"/>
        <v>f89</v>
      </c>
      <c r="U22" s="267" t="str">
        <f t="shared" si="1"/>
        <v>G78</v>
      </c>
      <c r="V22" s="267" t="str">
        <f t="shared" si="1"/>
        <v>G89</v>
      </c>
    </row>
    <row r="23" spans="1:22">
      <c r="A23" s="295">
        <f t="shared" si="7"/>
        <v>6</v>
      </c>
      <c r="B23" s="300">
        <f t="shared" si="13"/>
        <v>153</v>
      </c>
      <c r="C23" s="296">
        <f t="shared" si="8"/>
        <v>0</v>
      </c>
      <c r="D23" s="295"/>
      <c r="E23" s="296">
        <f t="shared" si="9"/>
        <v>0</v>
      </c>
      <c r="F23" s="296">
        <f t="shared" si="2"/>
        <v>0</v>
      </c>
      <c r="G23" s="303">
        <f t="shared" si="10"/>
        <v>0</v>
      </c>
      <c r="H23" s="296">
        <f t="shared" si="11"/>
        <v>0</v>
      </c>
      <c r="I23" s="297">
        <f t="shared" si="3"/>
        <v>0</v>
      </c>
      <c r="J23" s="298">
        <v>7</v>
      </c>
      <c r="K23" s="299">
        <f ca="1">'Itemized Costs-HIDDEN'!N11-INDIRECT("'Sch3-Perf Period Cash Flow'!D"&amp;7&amp;"")</f>
        <v>-1</v>
      </c>
      <c r="L23" s="425">
        <v>0</v>
      </c>
      <c r="M23" s="299">
        <f t="shared" ca="1" si="4"/>
        <v>-1</v>
      </c>
      <c r="N23" s="299">
        <f ca="1">ROUND(SUM(INDIRECT(S23):INDIRECT(T23)),0)</f>
        <v>-1</v>
      </c>
      <c r="O23" s="299">
        <f ca="1">IF(N23=0,0,ROUND(SUM(INDIRECT(U23):INDIRECT(V23)),0))</f>
        <v>0</v>
      </c>
      <c r="P23" s="461" t="str">
        <f t="shared" ca="1" si="5"/>
        <v/>
      </c>
      <c r="Q23" s="267">
        <f t="shared" si="12"/>
        <v>90</v>
      </c>
      <c r="R23" s="267">
        <f t="shared" si="0"/>
        <v>101</v>
      </c>
      <c r="S23" s="267" t="str">
        <f t="shared" si="6"/>
        <v>f90</v>
      </c>
      <c r="T23" s="267" t="str">
        <f t="shared" si="6"/>
        <v>f101</v>
      </c>
      <c r="U23" s="267" t="str">
        <f t="shared" si="1"/>
        <v>G90</v>
      </c>
      <c r="V23" s="267" t="str">
        <f t="shared" si="1"/>
        <v>G101</v>
      </c>
    </row>
    <row r="24" spans="1:22">
      <c r="A24" s="295">
        <f t="shared" si="7"/>
        <v>7</v>
      </c>
      <c r="B24" s="300">
        <f t="shared" si="13"/>
        <v>183</v>
      </c>
      <c r="C24" s="296">
        <f t="shared" si="8"/>
        <v>0</v>
      </c>
      <c r="D24" s="295"/>
      <c r="E24" s="296">
        <f t="shared" si="9"/>
        <v>0</v>
      </c>
      <c r="F24" s="296">
        <f t="shared" si="2"/>
        <v>0</v>
      </c>
      <c r="G24" s="303">
        <f t="shared" si="10"/>
        <v>0</v>
      </c>
      <c r="H24" s="296">
        <f t="shared" si="11"/>
        <v>0</v>
      </c>
      <c r="I24" s="297">
        <f t="shared" si="3"/>
        <v>0</v>
      </c>
      <c r="J24" s="298">
        <v>8</v>
      </c>
      <c r="K24" s="299">
        <f ca="1">'Itemized Costs-HIDDEN'!N12-INDIRECT("'Sch3-Perf Period Cash Flow'!D"&amp;7&amp;"")</f>
        <v>-1</v>
      </c>
      <c r="L24" s="425">
        <v>0</v>
      </c>
      <c r="M24" s="299">
        <f t="shared" ca="1" si="4"/>
        <v>-1</v>
      </c>
      <c r="N24" s="299">
        <f ca="1">ROUND(SUM(INDIRECT(S24):INDIRECT(T24)),0)</f>
        <v>-1</v>
      </c>
      <c r="O24" s="299">
        <f ca="1">IF(N24=0,0,ROUND(SUM(INDIRECT(U24):INDIRECT(V24)),0))</f>
        <v>0</v>
      </c>
      <c r="P24" s="461" t="str">
        <f t="shared" ca="1" si="5"/>
        <v/>
      </c>
      <c r="Q24" s="267">
        <f t="shared" si="12"/>
        <v>102</v>
      </c>
      <c r="R24" s="267">
        <f t="shared" si="0"/>
        <v>113</v>
      </c>
      <c r="S24" s="267" t="str">
        <f t="shared" si="6"/>
        <v>f102</v>
      </c>
      <c r="T24" s="267" t="str">
        <f t="shared" si="6"/>
        <v>f113</v>
      </c>
      <c r="U24" s="267" t="str">
        <f t="shared" si="1"/>
        <v>G102</v>
      </c>
      <c r="V24" s="267" t="str">
        <f t="shared" si="1"/>
        <v>G113</v>
      </c>
    </row>
    <row r="25" spans="1:22">
      <c r="A25" s="295">
        <f t="shared" si="7"/>
        <v>8</v>
      </c>
      <c r="B25" s="300">
        <f t="shared" si="13"/>
        <v>214</v>
      </c>
      <c r="C25" s="296">
        <f t="shared" si="8"/>
        <v>0</v>
      </c>
      <c r="D25" s="295"/>
      <c r="E25" s="296">
        <f t="shared" si="9"/>
        <v>0</v>
      </c>
      <c r="F25" s="296">
        <f t="shared" si="2"/>
        <v>0</v>
      </c>
      <c r="G25" s="303">
        <f t="shared" si="10"/>
        <v>0</v>
      </c>
      <c r="H25" s="296">
        <f t="shared" si="11"/>
        <v>0</v>
      </c>
      <c r="I25" s="297">
        <f t="shared" si="3"/>
        <v>0</v>
      </c>
      <c r="J25" s="298">
        <v>9</v>
      </c>
      <c r="K25" s="299">
        <f ca="1">'Itemized Costs-HIDDEN'!N13-INDIRECT("'Sch3-Perf Period Cash Flow'!D"&amp;7&amp;"")</f>
        <v>-1</v>
      </c>
      <c r="L25" s="425">
        <v>0</v>
      </c>
      <c r="M25" s="299">
        <f t="shared" ca="1" si="4"/>
        <v>-1</v>
      </c>
      <c r="N25" s="299">
        <f ca="1">ROUND(SUM(INDIRECT(S25):INDIRECT(T25)),0)</f>
        <v>-1</v>
      </c>
      <c r="O25" s="299">
        <f ca="1">IF(N25=0,0,ROUND(SUM(INDIRECT(U25):INDIRECT(V25)),0))</f>
        <v>0</v>
      </c>
      <c r="P25" s="461" t="str">
        <f t="shared" ca="1" si="5"/>
        <v/>
      </c>
      <c r="Q25" s="267">
        <f t="shared" si="12"/>
        <v>114</v>
      </c>
      <c r="R25" s="267">
        <f t="shared" si="0"/>
        <v>125</v>
      </c>
      <c r="S25" s="267" t="str">
        <f t="shared" si="6"/>
        <v>f114</v>
      </c>
      <c r="T25" s="267" t="str">
        <f t="shared" si="6"/>
        <v>f125</v>
      </c>
      <c r="U25" s="267" t="str">
        <f t="shared" si="1"/>
        <v>G114</v>
      </c>
      <c r="V25" s="267" t="str">
        <f t="shared" si="1"/>
        <v>G125</v>
      </c>
    </row>
    <row r="26" spans="1:22">
      <c r="A26" s="295">
        <f t="shared" si="7"/>
        <v>9</v>
      </c>
      <c r="B26" s="300">
        <f t="shared" si="13"/>
        <v>245</v>
      </c>
      <c r="C26" s="296">
        <f t="shared" si="8"/>
        <v>0</v>
      </c>
      <c r="D26" s="295"/>
      <c r="E26" s="296">
        <f t="shared" si="9"/>
        <v>0</v>
      </c>
      <c r="F26" s="296">
        <f t="shared" si="2"/>
        <v>0</v>
      </c>
      <c r="G26" s="303">
        <f t="shared" si="10"/>
        <v>0</v>
      </c>
      <c r="H26" s="296">
        <f t="shared" si="11"/>
        <v>0</v>
      </c>
      <c r="I26" s="297">
        <f t="shared" si="3"/>
        <v>0</v>
      </c>
      <c r="J26" s="298">
        <v>10</v>
      </c>
      <c r="K26" s="299">
        <f ca="1">'Itemized Costs-HIDDEN'!N14-INDIRECT("'Sch3-Perf Period Cash Flow'!D"&amp;7&amp;"")</f>
        <v>-1</v>
      </c>
      <c r="L26" s="425">
        <v>0</v>
      </c>
      <c r="M26" s="299">
        <f t="shared" ca="1" si="4"/>
        <v>-1</v>
      </c>
      <c r="N26" s="299">
        <f ca="1">ROUND(SUM(INDIRECT(S26):INDIRECT(T26)),0)</f>
        <v>-1</v>
      </c>
      <c r="O26" s="299">
        <f ca="1">IF(N26=0,0,ROUND(SUM(INDIRECT(U26):INDIRECT(V26)),0))</f>
        <v>0</v>
      </c>
      <c r="P26" s="461" t="str">
        <f t="shared" ca="1" si="5"/>
        <v/>
      </c>
      <c r="Q26" s="267">
        <f t="shared" si="12"/>
        <v>126</v>
      </c>
      <c r="R26" s="267">
        <f t="shared" si="0"/>
        <v>137</v>
      </c>
      <c r="S26" s="267" t="str">
        <f t="shared" si="6"/>
        <v>f126</v>
      </c>
      <c r="T26" s="267" t="str">
        <f t="shared" si="6"/>
        <v>f137</v>
      </c>
      <c r="U26" s="267" t="str">
        <f t="shared" si="1"/>
        <v>G126</v>
      </c>
      <c r="V26" s="267" t="str">
        <f t="shared" si="1"/>
        <v>G137</v>
      </c>
    </row>
    <row r="27" spans="1:22">
      <c r="A27" s="295">
        <f t="shared" si="7"/>
        <v>10</v>
      </c>
      <c r="B27" s="300">
        <f t="shared" si="13"/>
        <v>275</v>
      </c>
      <c r="C27" s="296">
        <f t="shared" si="8"/>
        <v>0</v>
      </c>
      <c r="D27" s="295"/>
      <c r="E27" s="296">
        <f t="shared" si="9"/>
        <v>0</v>
      </c>
      <c r="F27" s="296">
        <f t="shared" si="2"/>
        <v>0</v>
      </c>
      <c r="G27" s="303">
        <f t="shared" si="10"/>
        <v>0</v>
      </c>
      <c r="H27" s="296">
        <f t="shared" si="11"/>
        <v>0</v>
      </c>
      <c r="I27" s="297">
        <f t="shared" si="3"/>
        <v>0</v>
      </c>
      <c r="J27" s="298">
        <v>11</v>
      </c>
      <c r="K27" s="299">
        <f ca="1">'Itemized Costs-HIDDEN'!N15-INDIRECT("'Sch3-Perf Period Cash Flow'!D"&amp;7&amp;"")</f>
        <v>-1</v>
      </c>
      <c r="L27" s="425">
        <v>0</v>
      </c>
      <c r="M27" s="299">
        <f t="shared" ca="1" si="4"/>
        <v>-1</v>
      </c>
      <c r="N27" s="299">
        <f ca="1">ROUND(SUM(INDIRECT(S27):INDIRECT(T27)),0)</f>
        <v>-1</v>
      </c>
      <c r="O27" s="299">
        <f ca="1">IF(N27=0,0,ROUND(SUM(INDIRECT(U27):INDIRECT(V27)),0))</f>
        <v>0</v>
      </c>
      <c r="P27" s="461" t="str">
        <f t="shared" ca="1" si="5"/>
        <v/>
      </c>
      <c r="Q27" s="267">
        <f t="shared" si="12"/>
        <v>138</v>
      </c>
      <c r="R27" s="267">
        <f t="shared" si="0"/>
        <v>149</v>
      </c>
      <c r="S27" s="267" t="str">
        <f t="shared" si="6"/>
        <v>f138</v>
      </c>
      <c r="T27" s="267" t="str">
        <f t="shared" si="6"/>
        <v>f149</v>
      </c>
      <c r="U27" s="267" t="str">
        <f t="shared" si="1"/>
        <v>G138</v>
      </c>
      <c r="V27" s="267" t="str">
        <f t="shared" si="1"/>
        <v>G149</v>
      </c>
    </row>
    <row r="28" spans="1:22">
      <c r="A28" s="295">
        <f t="shared" si="7"/>
        <v>11</v>
      </c>
      <c r="B28" s="300">
        <f t="shared" si="13"/>
        <v>306</v>
      </c>
      <c r="C28" s="296">
        <f t="shared" si="8"/>
        <v>0</v>
      </c>
      <c r="D28" s="295"/>
      <c r="E28" s="296">
        <f t="shared" si="9"/>
        <v>0</v>
      </c>
      <c r="F28" s="296">
        <f t="shared" si="2"/>
        <v>0</v>
      </c>
      <c r="G28" s="303">
        <f t="shared" si="10"/>
        <v>0</v>
      </c>
      <c r="H28" s="296">
        <f>IF(E28="","",ROUND(H27-F28,4))</f>
        <v>0</v>
      </c>
      <c r="I28" s="297">
        <f t="shared" si="3"/>
        <v>0</v>
      </c>
      <c r="J28" s="298">
        <v>12</v>
      </c>
      <c r="K28" s="299">
        <f ca="1">'Itemized Costs-HIDDEN'!N16-INDIRECT("'Sch3-Perf Period Cash Flow'!D"&amp;7&amp;"")</f>
        <v>-1</v>
      </c>
      <c r="L28" s="425">
        <v>0</v>
      </c>
      <c r="M28" s="299">
        <f t="shared" ca="1" si="4"/>
        <v>-1</v>
      </c>
      <c r="N28" s="299">
        <f ca="1">ROUND(SUM(INDIRECT(S28):INDIRECT(T28)),0)</f>
        <v>-1</v>
      </c>
      <c r="O28" s="299">
        <f ca="1">IF(N28=0,0,ROUND(SUM(INDIRECT(U28):INDIRECT(V28)),0))</f>
        <v>0</v>
      </c>
      <c r="P28" s="461" t="str">
        <f t="shared" ca="1" si="5"/>
        <v/>
      </c>
      <c r="Q28" s="267">
        <f t="shared" si="12"/>
        <v>150</v>
      </c>
      <c r="R28" s="267">
        <f t="shared" si="0"/>
        <v>161</v>
      </c>
      <c r="S28" s="267" t="str">
        <f t="shared" si="6"/>
        <v>f150</v>
      </c>
      <c r="T28" s="267" t="str">
        <f t="shared" si="6"/>
        <v>f161</v>
      </c>
      <c r="U28" s="267" t="str">
        <f t="shared" si="1"/>
        <v>G150</v>
      </c>
      <c r="V28" s="267" t="str">
        <f t="shared" si="1"/>
        <v>G161</v>
      </c>
    </row>
    <row r="29" spans="1:22">
      <c r="A29" s="295">
        <f t="shared" si="7"/>
        <v>12</v>
      </c>
      <c r="B29" s="300">
        <f t="shared" si="13"/>
        <v>336</v>
      </c>
      <c r="C29" s="296">
        <f t="shared" si="8"/>
        <v>0</v>
      </c>
      <c r="D29" s="296">
        <f ca="1">IF(H29&lt;0,0,(K18-L18)/11)</f>
        <v>-9.0909090909090912E-2</v>
      </c>
      <c r="E29" s="296">
        <f t="shared" si="9"/>
        <v>0</v>
      </c>
      <c r="F29" s="296">
        <f>IF(E29="","",E29-G29)</f>
        <v>0</v>
      </c>
      <c r="G29" s="303">
        <f t="shared" si="10"/>
        <v>0</v>
      </c>
      <c r="H29" s="296">
        <f>IF(E29="","",ROUND(H28-F29,4))</f>
        <v>0</v>
      </c>
      <c r="I29" s="297">
        <f t="shared" ca="1" si="3"/>
        <v>0</v>
      </c>
      <c r="J29" s="298">
        <v>13</v>
      </c>
      <c r="K29" s="299">
        <f ca="1">'Itemized Costs-HIDDEN'!N17-INDIRECT("'Sch3-Perf Period Cash Flow'!D"&amp;7&amp;"")</f>
        <v>-1</v>
      </c>
      <c r="L29" s="425">
        <v>0</v>
      </c>
      <c r="M29" s="299">
        <f t="shared" ca="1" si="4"/>
        <v>-1</v>
      </c>
      <c r="N29" s="299">
        <f ca="1">ROUND(SUM(INDIRECT(S29):INDIRECT(T29)),0)</f>
        <v>-1</v>
      </c>
      <c r="O29" s="299">
        <f ca="1">IF(N29=0,0,ROUND(SUM(INDIRECT(U29):INDIRECT(V29)),0))</f>
        <v>0</v>
      </c>
      <c r="P29" s="461" t="str">
        <f t="shared" ca="1" si="5"/>
        <v/>
      </c>
      <c r="Q29" s="267">
        <f t="shared" si="12"/>
        <v>162</v>
      </c>
      <c r="R29" s="267">
        <f t="shared" si="0"/>
        <v>173</v>
      </c>
      <c r="S29" s="267" t="str">
        <f t="shared" si="6"/>
        <v>f162</v>
      </c>
      <c r="T29" s="267" t="str">
        <f t="shared" si="6"/>
        <v>f173</v>
      </c>
      <c r="U29" s="267" t="str">
        <f t="shared" si="1"/>
        <v>G162</v>
      </c>
      <c r="V29" s="267" t="str">
        <f t="shared" si="1"/>
        <v>G173</v>
      </c>
    </row>
    <row r="30" spans="1:22">
      <c r="A30" s="295">
        <f t="shared" si="7"/>
        <v>13</v>
      </c>
      <c r="B30" s="300">
        <f t="shared" si="13"/>
        <v>367</v>
      </c>
      <c r="C30" s="296">
        <f t="shared" si="8"/>
        <v>0</v>
      </c>
      <c r="D30" s="295"/>
      <c r="E30" s="296">
        <f t="shared" ref="E30:E41" si="14">IF($D$10=1,
 IF(OR(MONTH(B30)=MONTH(EDATE($D$7,0)),MONTH(B30)=MONTH(EDATE($D$7,1)),MONTH(B30)=MONTH(EDATE($D$7,2)),MONTH(B30)=MONTH(EDATE($D$7,3)), MONTH(B30)=MONTH(EDATE($D$7,4)),MONTH(B30)=MONTH(EDATE($D$7,5)),MONTH(B30)=MONTH(EDATE($D$7,6)),MONTH(B30)=MONTH(EDATE($D$7,7)),MONTH(B30)=MONTH(EDATE($D$7,8)),MONTH(B30)=MONTH(EDATE($D$7,9)),MONTH(B30)=MONTH(EDATE($D$7,10))),(MIN($D$29,H29)),0),
IF($D$10=0,
 IF(OR(MONTH(B30)=MONTH(EDATE($D$7,1)),MONTH(B30)=MONTH(EDATE($D$7,2)),MONTH(B30)=MONTH(EDATE($D$7,3)),MONTH(B30)=MONTH(EDATE($D$7,4)), MONTH(B30)=MONTH(EDATE($D$7,5)),MONTH(B30)=MONTH(EDATE($D$7,6)),MONTH(B30)=MONTH(EDATE($D$7,7)),MONTH(B30)=MONTH(EDATE($D$7,8)),MONTH(B30)=MONTH(EDATE($D$7,9)),MONTH(B30)=MONTH(EDATE($D$7,10)),MONTH(B30)=MONTH(EDATE($D$7,11))),(MIN($D$29,H29)),0)))</f>
        <v>0</v>
      </c>
      <c r="F30" s="296">
        <f t="shared" si="2"/>
        <v>0</v>
      </c>
      <c r="G30" s="303">
        <f t="shared" si="10"/>
        <v>0</v>
      </c>
      <c r="H30" s="296">
        <f t="shared" si="11"/>
        <v>0</v>
      </c>
      <c r="I30" s="297">
        <f t="shared" si="3"/>
        <v>0</v>
      </c>
      <c r="J30" s="298">
        <v>14</v>
      </c>
      <c r="K30" s="299">
        <f ca="1">'Itemized Costs-HIDDEN'!N18-INDIRECT("'Sch3-Perf Period Cash Flow'!D"&amp;7&amp;"")</f>
        <v>-1</v>
      </c>
      <c r="L30" s="425">
        <v>0</v>
      </c>
      <c r="M30" s="299">
        <f t="shared" ca="1" si="4"/>
        <v>-1</v>
      </c>
      <c r="N30" s="299">
        <f ca="1">ROUND(SUM(INDIRECT(S30):INDIRECT(T30)),0)</f>
        <v>-1</v>
      </c>
      <c r="O30" s="299">
        <f ca="1">IF(N30=0,0,ROUND(SUM(INDIRECT(U30):INDIRECT(V30)),0))</f>
        <v>0</v>
      </c>
      <c r="P30" s="461" t="str">
        <f t="shared" ca="1" si="5"/>
        <v/>
      </c>
      <c r="Q30" s="267">
        <f t="shared" si="12"/>
        <v>174</v>
      </c>
      <c r="R30" s="267">
        <f t="shared" si="0"/>
        <v>185</v>
      </c>
      <c r="S30" s="267" t="str">
        <f t="shared" si="6"/>
        <v>f174</v>
      </c>
      <c r="T30" s="267" t="str">
        <f t="shared" si="6"/>
        <v>f185</v>
      </c>
      <c r="U30" s="267" t="str">
        <f t="shared" si="1"/>
        <v>G174</v>
      </c>
      <c r="V30" s="267" t="str">
        <f t="shared" si="1"/>
        <v>G185</v>
      </c>
    </row>
    <row r="31" spans="1:22">
      <c r="A31" s="295">
        <f t="shared" si="7"/>
        <v>14</v>
      </c>
      <c r="B31" s="300">
        <f t="shared" si="13"/>
        <v>398</v>
      </c>
      <c r="C31" s="296">
        <f t="shared" si="8"/>
        <v>0</v>
      </c>
      <c r="D31" s="295"/>
      <c r="E31" s="296">
        <f t="shared" ca="1" si="14"/>
        <v>-9.0909090909090912E-2</v>
      </c>
      <c r="F31" s="296">
        <f t="shared" ca="1" si="2"/>
        <v>-9.0909090909090912E-2</v>
      </c>
      <c r="G31" s="303">
        <f t="shared" ca="1" si="10"/>
        <v>0</v>
      </c>
      <c r="H31" s="296">
        <f t="shared" ca="1" si="11"/>
        <v>9.0899999999999995E-2</v>
      </c>
      <c r="I31" s="297">
        <f t="shared" ca="1" si="3"/>
        <v>0</v>
      </c>
      <c r="J31" s="298">
        <v>15</v>
      </c>
      <c r="K31" s="299">
        <f ca="1">'Itemized Costs-HIDDEN'!N19-INDIRECT("'Sch3-Perf Period Cash Flow'!D"&amp;7&amp;"")</f>
        <v>-1</v>
      </c>
      <c r="L31" s="425">
        <v>0</v>
      </c>
      <c r="M31" s="299">
        <f t="shared" ca="1" si="4"/>
        <v>-1</v>
      </c>
      <c r="N31" s="299">
        <f ca="1">ROUND(SUM(INDIRECT(S31):INDIRECT(T31)),0)</f>
        <v>-1</v>
      </c>
      <c r="O31" s="299">
        <f ca="1">IF(N31=0,0,ROUND(SUM(INDIRECT(U31):INDIRECT(V31)),0))</f>
        <v>0</v>
      </c>
      <c r="P31" s="461" t="str">
        <f t="shared" ca="1" si="5"/>
        <v/>
      </c>
      <c r="Q31" s="267">
        <f t="shared" si="12"/>
        <v>186</v>
      </c>
      <c r="R31" s="267">
        <f t="shared" si="0"/>
        <v>197</v>
      </c>
      <c r="S31" s="267" t="str">
        <f t="shared" si="6"/>
        <v>f186</v>
      </c>
      <c r="T31" s="267" t="str">
        <f t="shared" si="6"/>
        <v>f197</v>
      </c>
      <c r="U31" s="267" t="str">
        <f t="shared" si="1"/>
        <v>G186</v>
      </c>
      <c r="V31" s="267" t="str">
        <f t="shared" si="1"/>
        <v>G197</v>
      </c>
    </row>
    <row r="32" spans="1:22">
      <c r="A32" s="295">
        <f t="shared" si="7"/>
        <v>15</v>
      </c>
      <c r="B32" s="300">
        <f t="shared" si="13"/>
        <v>426</v>
      </c>
      <c r="C32" s="296">
        <f t="shared" ca="1" si="8"/>
        <v>9.0899999999999995E-2</v>
      </c>
      <c r="D32" s="295"/>
      <c r="E32" s="296">
        <f t="shared" ca="1" si="14"/>
        <v>-9.0909090909090912E-2</v>
      </c>
      <c r="F32" s="296">
        <f t="shared" ca="1" si="2"/>
        <v>-9.0909090909090912E-2</v>
      </c>
      <c r="G32" s="303">
        <f t="shared" ca="1" si="10"/>
        <v>0</v>
      </c>
      <c r="H32" s="296">
        <f t="shared" ca="1" si="11"/>
        <v>0.18179999999999999</v>
      </c>
      <c r="I32" s="297">
        <f t="shared" ca="1" si="3"/>
        <v>0</v>
      </c>
      <c r="J32" s="298">
        <v>16</v>
      </c>
      <c r="K32" s="299">
        <f ca="1">'Itemized Costs-HIDDEN'!N20-INDIRECT("'Sch3-Perf Period Cash Flow'!D"&amp;7&amp;"")</f>
        <v>-1</v>
      </c>
      <c r="L32" s="425">
        <v>0</v>
      </c>
      <c r="M32" s="299">
        <f t="shared" ca="1" si="4"/>
        <v>-1</v>
      </c>
      <c r="N32" s="299">
        <f ca="1">ROUND(SUM(INDIRECT(S32):INDIRECT(T32)),0)</f>
        <v>-1</v>
      </c>
      <c r="O32" s="299">
        <f ca="1">IF(N32=0,0,ROUND(SUM(INDIRECT(U32):INDIRECT(V32)),0))</f>
        <v>0</v>
      </c>
      <c r="P32" s="461" t="str">
        <f t="shared" ca="1" si="5"/>
        <v/>
      </c>
      <c r="Q32" s="267">
        <f t="shared" si="12"/>
        <v>198</v>
      </c>
      <c r="R32" s="267">
        <f t="shared" si="0"/>
        <v>209</v>
      </c>
      <c r="S32" s="267" t="str">
        <f t="shared" si="6"/>
        <v>f198</v>
      </c>
      <c r="T32" s="267" t="str">
        <f t="shared" si="6"/>
        <v>f209</v>
      </c>
      <c r="U32" s="267" t="str">
        <f t="shared" si="1"/>
        <v>G198</v>
      </c>
      <c r="V32" s="267" t="str">
        <f t="shared" si="1"/>
        <v>G209</v>
      </c>
    </row>
    <row r="33" spans="1:22">
      <c r="A33" s="295">
        <f t="shared" si="7"/>
        <v>16</v>
      </c>
      <c r="B33" s="300">
        <f t="shared" si="13"/>
        <v>457</v>
      </c>
      <c r="C33" s="296">
        <f t="shared" ca="1" si="8"/>
        <v>0.18179999999999999</v>
      </c>
      <c r="D33" s="295"/>
      <c r="E33" s="296">
        <f t="shared" ca="1" si="14"/>
        <v>-9.0909090909090912E-2</v>
      </c>
      <c r="F33" s="296">
        <f t="shared" ca="1" si="2"/>
        <v>-9.0909090909090912E-2</v>
      </c>
      <c r="G33" s="303">
        <f t="shared" ca="1" si="10"/>
        <v>0</v>
      </c>
      <c r="H33" s="296">
        <f t="shared" ca="1" si="11"/>
        <v>0.2727</v>
      </c>
      <c r="I33" s="297">
        <f t="shared" ca="1" si="3"/>
        <v>0</v>
      </c>
      <c r="J33" s="298">
        <v>17</v>
      </c>
      <c r="K33" s="299">
        <f ca="1">'Itemized Costs-HIDDEN'!N21-INDIRECT("'Sch3-Perf Period Cash Flow'!D"&amp;7&amp;"")</f>
        <v>-1</v>
      </c>
      <c r="L33" s="425">
        <v>0</v>
      </c>
      <c r="M33" s="299">
        <f t="shared" ca="1" si="4"/>
        <v>-1</v>
      </c>
      <c r="N33" s="299">
        <f ca="1">ROUND(SUM(INDIRECT(S33):INDIRECT(T33)),0)</f>
        <v>-1</v>
      </c>
      <c r="O33" s="299">
        <f ca="1">IF(N33=0,0,ROUND(SUM(INDIRECT(U33):INDIRECT(V33)),0))</f>
        <v>0</v>
      </c>
      <c r="P33" s="461" t="str">
        <f t="shared" ca="1" si="5"/>
        <v/>
      </c>
      <c r="Q33" s="267">
        <f t="shared" si="12"/>
        <v>210</v>
      </c>
      <c r="R33" s="267">
        <f t="shared" si="0"/>
        <v>221</v>
      </c>
      <c r="S33" s="267" t="str">
        <f t="shared" si="6"/>
        <v>f210</v>
      </c>
      <c r="T33" s="267" t="str">
        <f t="shared" si="6"/>
        <v>f221</v>
      </c>
      <c r="U33" s="267" t="str">
        <f t="shared" ref="U33:V40" si="15">CONCATENATE("G",Q33)</f>
        <v>G210</v>
      </c>
      <c r="V33" s="267" t="str">
        <f t="shared" si="15"/>
        <v>G221</v>
      </c>
    </row>
    <row r="34" spans="1:22">
      <c r="A34" s="295">
        <f t="shared" si="7"/>
        <v>17</v>
      </c>
      <c r="B34" s="300">
        <f t="shared" si="13"/>
        <v>487</v>
      </c>
      <c r="C34" s="296">
        <f t="shared" ca="1" si="8"/>
        <v>0.2727</v>
      </c>
      <c r="D34" s="295"/>
      <c r="E34" s="296">
        <f t="shared" ca="1" si="14"/>
        <v>-9.0909090909090912E-2</v>
      </c>
      <c r="F34" s="296">
        <f t="shared" ca="1" si="2"/>
        <v>-9.0909090909090912E-2</v>
      </c>
      <c r="G34" s="303">
        <f t="shared" ca="1" si="10"/>
        <v>0</v>
      </c>
      <c r="H34" s="296">
        <f t="shared" ca="1" si="11"/>
        <v>0.36359999999999998</v>
      </c>
      <c r="I34" s="297">
        <f t="shared" ca="1" si="3"/>
        <v>0</v>
      </c>
      <c r="J34" s="298">
        <v>18</v>
      </c>
      <c r="K34" s="299">
        <f ca="1">'Itemized Costs-HIDDEN'!N22-INDIRECT("'Sch3-Perf Period Cash Flow'!D"&amp;7&amp;"")</f>
        <v>-1</v>
      </c>
      <c r="L34" s="425">
        <v>0</v>
      </c>
      <c r="M34" s="299">
        <f t="shared" ca="1" si="4"/>
        <v>-1</v>
      </c>
      <c r="N34" s="299">
        <f ca="1">ROUND(SUM(INDIRECT(S34):INDIRECT(T34)),0)</f>
        <v>-1</v>
      </c>
      <c r="O34" s="299">
        <f ca="1">IF(N34=0,0,ROUND(SUM(INDIRECT(U34):INDIRECT(V34)),0))</f>
        <v>0</v>
      </c>
      <c r="P34" s="461" t="str">
        <f t="shared" ca="1" si="5"/>
        <v/>
      </c>
      <c r="Q34" s="267">
        <f t="shared" si="12"/>
        <v>222</v>
      </c>
      <c r="R34" s="267">
        <f t="shared" si="0"/>
        <v>233</v>
      </c>
      <c r="S34" s="267" t="str">
        <f t="shared" si="6"/>
        <v>f222</v>
      </c>
      <c r="T34" s="267" t="str">
        <f t="shared" si="6"/>
        <v>f233</v>
      </c>
      <c r="U34" s="267" t="str">
        <f t="shared" si="15"/>
        <v>G222</v>
      </c>
      <c r="V34" s="267" t="str">
        <f t="shared" si="15"/>
        <v>G233</v>
      </c>
    </row>
    <row r="35" spans="1:22">
      <c r="A35" s="295">
        <f t="shared" si="7"/>
        <v>18</v>
      </c>
      <c r="B35" s="300">
        <f t="shared" si="13"/>
        <v>518</v>
      </c>
      <c r="C35" s="296">
        <f t="shared" ca="1" si="8"/>
        <v>0.36359999999999998</v>
      </c>
      <c r="D35" s="295"/>
      <c r="E35" s="296">
        <f t="shared" ca="1" si="14"/>
        <v>-9.0909090909090912E-2</v>
      </c>
      <c r="F35" s="296">
        <f t="shared" ca="1" si="2"/>
        <v>-9.0909090909090912E-2</v>
      </c>
      <c r="G35" s="303">
        <f t="shared" ca="1" si="10"/>
        <v>0</v>
      </c>
      <c r="H35" s="296">
        <f t="shared" ca="1" si="11"/>
        <v>0.45450000000000002</v>
      </c>
      <c r="I35" s="297">
        <f t="shared" ca="1" si="3"/>
        <v>0</v>
      </c>
      <c r="J35" s="298">
        <v>19</v>
      </c>
      <c r="K35" s="299">
        <f ca="1">'Itemized Costs-HIDDEN'!N23-INDIRECT("'Sch3-Perf Period Cash Flow'!D"&amp;7&amp;"")</f>
        <v>-1</v>
      </c>
      <c r="L35" s="425">
        <v>0</v>
      </c>
      <c r="M35" s="299">
        <f t="shared" ca="1" si="4"/>
        <v>-1</v>
      </c>
      <c r="N35" s="299">
        <f ca="1">ROUND(SUM(INDIRECT(S35):INDIRECT(T35)),0)</f>
        <v>-1</v>
      </c>
      <c r="O35" s="299">
        <f ca="1">IF(N35=0,0,ROUND(SUM(INDIRECT(U35):INDIRECT(V35)),0))</f>
        <v>0</v>
      </c>
      <c r="P35" s="461" t="str">
        <f t="shared" ca="1" si="5"/>
        <v/>
      </c>
      <c r="Q35" s="267">
        <f t="shared" si="12"/>
        <v>234</v>
      </c>
      <c r="R35" s="267">
        <f>Q35+11</f>
        <v>245</v>
      </c>
      <c r="S35" s="267" t="str">
        <f t="shared" si="6"/>
        <v>f234</v>
      </c>
      <c r="T35" s="267" t="str">
        <f t="shared" si="6"/>
        <v>f245</v>
      </c>
      <c r="U35" s="267" t="str">
        <f t="shared" si="15"/>
        <v>G234</v>
      </c>
      <c r="V35" s="267" t="str">
        <f t="shared" si="15"/>
        <v>G245</v>
      </c>
    </row>
    <row r="36" spans="1:22">
      <c r="A36" s="295">
        <f t="shared" si="7"/>
        <v>19</v>
      </c>
      <c r="B36" s="300">
        <f t="shared" si="13"/>
        <v>548</v>
      </c>
      <c r="C36" s="296">
        <f t="shared" ca="1" si="8"/>
        <v>0.45450000000000002</v>
      </c>
      <c r="D36" s="295"/>
      <c r="E36" s="296">
        <f t="shared" ca="1" si="14"/>
        <v>-9.0909090909090912E-2</v>
      </c>
      <c r="F36" s="296">
        <f t="shared" ca="1" si="2"/>
        <v>-9.0909090909090912E-2</v>
      </c>
      <c r="G36" s="303">
        <f t="shared" ca="1" si="10"/>
        <v>0</v>
      </c>
      <c r="H36" s="296">
        <f t="shared" ca="1" si="11"/>
        <v>0.5454</v>
      </c>
      <c r="I36" s="297">
        <f t="shared" ca="1" si="3"/>
        <v>-1</v>
      </c>
      <c r="J36" s="298">
        <v>20</v>
      </c>
      <c r="K36" s="299">
        <f ca="1">'Itemized Costs-HIDDEN'!N24-INDIRECT("'Sch3-Perf Period Cash Flow'!D"&amp;7&amp;"")</f>
        <v>-1</v>
      </c>
      <c r="L36" s="425">
        <v>0</v>
      </c>
      <c r="M36" s="299">
        <f t="shared" ca="1" si="4"/>
        <v>-1</v>
      </c>
      <c r="N36" s="299">
        <f ca="1">ROUND(SUM(INDIRECT(S36):INDIRECT(T36)),0)</f>
        <v>-1</v>
      </c>
      <c r="O36" s="299">
        <f ca="1">IF(N36=0,0,ROUND(SUM(INDIRECT(U36):INDIRECT(V36)),0))</f>
        <v>0</v>
      </c>
      <c r="P36" s="461" t="str">
        <f t="shared" ca="1" si="5"/>
        <v/>
      </c>
      <c r="Q36" s="267">
        <f t="shared" si="12"/>
        <v>246</v>
      </c>
      <c r="R36" s="267">
        <f t="shared" ref="R36:R56" si="16">Q36+11</f>
        <v>257</v>
      </c>
      <c r="S36" s="267" t="str">
        <f t="shared" si="6"/>
        <v>f246</v>
      </c>
      <c r="T36" s="267" t="str">
        <f t="shared" si="6"/>
        <v>f257</v>
      </c>
      <c r="U36" s="267" t="str">
        <f t="shared" si="15"/>
        <v>G246</v>
      </c>
      <c r="V36" s="267" t="str">
        <f t="shared" si="15"/>
        <v>G257</v>
      </c>
    </row>
    <row r="37" spans="1:22">
      <c r="A37" s="295">
        <f t="shared" si="7"/>
        <v>20</v>
      </c>
      <c r="B37" s="300">
        <f t="shared" si="13"/>
        <v>579</v>
      </c>
      <c r="C37" s="296">
        <f t="shared" ca="1" si="8"/>
        <v>0.5454</v>
      </c>
      <c r="D37" s="295"/>
      <c r="E37" s="296">
        <f t="shared" ca="1" si="14"/>
        <v>-9.0909090909090912E-2</v>
      </c>
      <c r="F37" s="296">
        <f t="shared" ca="1" si="2"/>
        <v>-9.0909090909090912E-2</v>
      </c>
      <c r="G37" s="303">
        <f t="shared" ca="1" si="10"/>
        <v>0</v>
      </c>
      <c r="H37" s="296">
        <f t="shared" ca="1" si="11"/>
        <v>0.63629999999999998</v>
      </c>
      <c r="I37" s="297">
        <f t="shared" ca="1" si="3"/>
        <v>-1</v>
      </c>
      <c r="J37" s="298">
        <v>21</v>
      </c>
      <c r="K37" s="299">
        <f ca="1">'Itemized Costs-HIDDEN'!N25-INDIRECT("'Sch3-Perf Period Cash Flow'!D"&amp;7&amp;"")</f>
        <v>-1</v>
      </c>
      <c r="L37" s="425">
        <v>0</v>
      </c>
      <c r="M37" s="299">
        <f t="shared" ca="1" si="4"/>
        <v>-1</v>
      </c>
      <c r="N37" s="299">
        <f ca="1">ROUND(SUM(INDIRECT(S37):INDIRECT(T37)),0)</f>
        <v>-1</v>
      </c>
      <c r="O37" s="299">
        <f ca="1">IF(N37=0,0,ROUND(SUM(INDIRECT(U37):INDIRECT(V37)),0))</f>
        <v>0</v>
      </c>
      <c r="P37" s="461" t="str">
        <f t="shared" ca="1" si="5"/>
        <v/>
      </c>
      <c r="Q37" s="267">
        <f t="shared" si="12"/>
        <v>258</v>
      </c>
      <c r="R37" s="267">
        <f t="shared" si="16"/>
        <v>269</v>
      </c>
      <c r="S37" s="267" t="str">
        <f t="shared" si="6"/>
        <v>f258</v>
      </c>
      <c r="T37" s="267" t="str">
        <f t="shared" si="6"/>
        <v>f269</v>
      </c>
      <c r="U37" s="267" t="str">
        <f t="shared" si="15"/>
        <v>G258</v>
      </c>
      <c r="V37" s="267" t="str">
        <f t="shared" si="15"/>
        <v>G269</v>
      </c>
    </row>
    <row r="38" spans="1:22">
      <c r="A38" s="295">
        <f t="shared" si="7"/>
        <v>21</v>
      </c>
      <c r="B38" s="300">
        <f t="shared" si="13"/>
        <v>610</v>
      </c>
      <c r="C38" s="296">
        <f t="shared" ca="1" si="8"/>
        <v>0.63629999999999998</v>
      </c>
      <c r="D38" s="295"/>
      <c r="E38" s="296">
        <f t="shared" ca="1" si="14"/>
        <v>-9.0909090909090912E-2</v>
      </c>
      <c r="F38" s="296">
        <f t="shared" ca="1" si="2"/>
        <v>-9.0909090909090912E-2</v>
      </c>
      <c r="G38" s="303">
        <f t="shared" ca="1" si="10"/>
        <v>0</v>
      </c>
      <c r="H38" s="296">
        <f t="shared" ca="1" si="11"/>
        <v>0.72719999999999996</v>
      </c>
      <c r="I38" s="297">
        <f t="shared" ca="1" si="3"/>
        <v>-1</v>
      </c>
      <c r="J38" s="298">
        <v>22</v>
      </c>
      <c r="K38" s="299">
        <f ca="1">'Itemized Costs-HIDDEN'!N26-INDIRECT("'Sch3-Perf Period Cash Flow'!D"&amp;7&amp;"")</f>
        <v>-1</v>
      </c>
      <c r="L38" s="425">
        <v>0</v>
      </c>
      <c r="M38" s="299">
        <f t="shared" ca="1" si="4"/>
        <v>-1</v>
      </c>
      <c r="N38" s="299">
        <f ca="1">ROUND(SUM(INDIRECT(S38):INDIRECT(T38)),0)</f>
        <v>-1</v>
      </c>
      <c r="O38" s="299">
        <f ca="1">IF(N38=0,0,ROUND(SUM(INDIRECT(U38):INDIRECT(V38)),0))</f>
        <v>0</v>
      </c>
      <c r="P38" s="461" t="str">
        <f t="shared" ca="1" si="5"/>
        <v/>
      </c>
      <c r="Q38" s="267">
        <f t="shared" si="12"/>
        <v>270</v>
      </c>
      <c r="R38" s="267">
        <f t="shared" si="16"/>
        <v>281</v>
      </c>
      <c r="S38" s="267" t="str">
        <f t="shared" si="6"/>
        <v>f270</v>
      </c>
      <c r="T38" s="267" t="str">
        <f t="shared" si="6"/>
        <v>f281</v>
      </c>
      <c r="U38" s="267" t="str">
        <f t="shared" si="15"/>
        <v>G270</v>
      </c>
      <c r="V38" s="267" t="str">
        <f t="shared" si="15"/>
        <v>G281</v>
      </c>
    </row>
    <row r="39" spans="1:22">
      <c r="A39" s="295">
        <f t="shared" si="7"/>
        <v>22</v>
      </c>
      <c r="B39" s="300">
        <f t="shared" si="13"/>
        <v>640</v>
      </c>
      <c r="C39" s="296">
        <f t="shared" ca="1" si="8"/>
        <v>0.72719999999999996</v>
      </c>
      <c r="D39" s="295"/>
      <c r="E39" s="296">
        <f t="shared" ca="1" si="14"/>
        <v>-9.0909090909090912E-2</v>
      </c>
      <c r="F39" s="296">
        <f t="shared" ca="1" si="2"/>
        <v>-9.0909090909090912E-2</v>
      </c>
      <c r="G39" s="303">
        <f t="shared" ca="1" si="10"/>
        <v>0</v>
      </c>
      <c r="H39" s="296">
        <f t="shared" ca="1" si="11"/>
        <v>0.81810000000000005</v>
      </c>
      <c r="I39" s="297">
        <f t="shared" ca="1" si="3"/>
        <v>-1</v>
      </c>
      <c r="J39" s="298">
        <v>23</v>
      </c>
      <c r="K39" s="299">
        <f ca="1">'Itemized Costs-HIDDEN'!N27-INDIRECT("'Sch3-Perf Period Cash Flow'!D"&amp;7&amp;"")</f>
        <v>-1</v>
      </c>
      <c r="L39" s="425">
        <v>0</v>
      </c>
      <c r="M39" s="299">
        <f t="shared" ca="1" si="4"/>
        <v>-1</v>
      </c>
      <c r="N39" s="299">
        <f ca="1">ROUND(SUM(INDIRECT(S39):INDIRECT(T39)),0)</f>
        <v>-1</v>
      </c>
      <c r="O39" s="299">
        <f ca="1">IF(N39=0,0,ROUND(SUM(INDIRECT(U39):INDIRECT(V39)),0))</f>
        <v>0</v>
      </c>
      <c r="P39" s="461" t="str">
        <f t="shared" ca="1" si="5"/>
        <v/>
      </c>
      <c r="Q39" s="267">
        <f t="shared" si="12"/>
        <v>282</v>
      </c>
      <c r="R39" s="267">
        <f t="shared" si="16"/>
        <v>293</v>
      </c>
      <c r="S39" s="267" t="str">
        <f t="shared" si="6"/>
        <v>f282</v>
      </c>
      <c r="T39" s="267" t="str">
        <f t="shared" si="6"/>
        <v>f293</v>
      </c>
      <c r="U39" s="267" t="str">
        <f t="shared" si="15"/>
        <v>G282</v>
      </c>
      <c r="V39" s="267" t="str">
        <f t="shared" si="15"/>
        <v>G293</v>
      </c>
    </row>
    <row r="40" spans="1:22">
      <c r="A40" s="295">
        <f t="shared" si="7"/>
        <v>23</v>
      </c>
      <c r="B40" s="300">
        <f t="shared" si="13"/>
        <v>671</v>
      </c>
      <c r="C40" s="296">
        <f t="shared" ca="1" si="8"/>
        <v>0.81810000000000005</v>
      </c>
      <c r="D40" s="295"/>
      <c r="E40" s="296">
        <f t="shared" ca="1" si="14"/>
        <v>-9.0909090909090912E-2</v>
      </c>
      <c r="F40" s="296">
        <f t="shared" ca="1" si="2"/>
        <v>-9.0909090909090912E-2</v>
      </c>
      <c r="G40" s="303">
        <f t="shared" ca="1" si="10"/>
        <v>0</v>
      </c>
      <c r="H40" s="296">
        <f t="shared" ca="1" si="11"/>
        <v>0.90900000000000003</v>
      </c>
      <c r="I40" s="297">
        <f t="shared" ca="1" si="3"/>
        <v>-1</v>
      </c>
      <c r="J40" s="298">
        <v>24</v>
      </c>
      <c r="K40" s="299">
        <f ca="1">'Itemized Costs-HIDDEN'!N28-INDIRECT("'Sch3-Perf Period Cash Flow'!D"&amp;7&amp;"")</f>
        <v>-1</v>
      </c>
      <c r="L40" s="425">
        <v>0</v>
      </c>
      <c r="M40" s="299">
        <f t="shared" ca="1" si="4"/>
        <v>-1</v>
      </c>
      <c r="N40" s="299">
        <f ca="1">ROUND(SUM(INDIRECT(S40):INDIRECT(T40)),0)</f>
        <v>-1</v>
      </c>
      <c r="O40" s="299">
        <f ca="1">IF(N40=0,0,ROUND(SUM(INDIRECT(U40):INDIRECT(V40)),0))</f>
        <v>0</v>
      </c>
      <c r="P40" s="461" t="str">
        <f t="shared" ca="1" si="5"/>
        <v/>
      </c>
      <c r="Q40" s="267">
        <f t="shared" si="12"/>
        <v>294</v>
      </c>
      <c r="R40" s="267">
        <f t="shared" si="16"/>
        <v>305</v>
      </c>
      <c r="S40" s="267" t="str">
        <f t="shared" si="6"/>
        <v>f294</v>
      </c>
      <c r="T40" s="267" t="str">
        <f t="shared" si="6"/>
        <v>f305</v>
      </c>
      <c r="U40" s="267" t="str">
        <f t="shared" si="15"/>
        <v>G294</v>
      </c>
      <c r="V40" s="267" t="str">
        <f t="shared" si="15"/>
        <v>G305</v>
      </c>
    </row>
    <row r="41" spans="1:22">
      <c r="A41" s="295">
        <f t="shared" si="7"/>
        <v>24</v>
      </c>
      <c r="B41" s="300">
        <f t="shared" si="13"/>
        <v>701</v>
      </c>
      <c r="C41" s="296">
        <f t="shared" ca="1" si="8"/>
        <v>0.90900000000000003</v>
      </c>
      <c r="D41" s="296">
        <f ca="1">IF(H41&lt;0,0,(K19-L19)/11)</f>
        <v>-9.0909090909090912E-2</v>
      </c>
      <c r="E41" s="296">
        <f t="shared" ca="1" si="14"/>
        <v>-9.0909090909090912E-2</v>
      </c>
      <c r="F41" s="296">
        <f t="shared" ca="1" si="2"/>
        <v>-9.0909090909090912E-2</v>
      </c>
      <c r="G41" s="303">
        <f t="shared" ca="1" si="10"/>
        <v>0</v>
      </c>
      <c r="H41" s="296">
        <f t="shared" ca="1" si="11"/>
        <v>0.99990000000000001</v>
      </c>
      <c r="I41" s="297">
        <f t="shared" ca="1" si="3"/>
        <v>-1</v>
      </c>
      <c r="J41" s="298">
        <v>25</v>
      </c>
      <c r="K41" s="299">
        <f ca="1">'Itemized Costs-HIDDEN'!N29-INDIRECT("'Sch3-Perf Period Cash Flow'!D"&amp;7&amp;"")</f>
        <v>-1</v>
      </c>
      <c r="L41" s="425">
        <v>0</v>
      </c>
      <c r="M41" s="299">
        <f ca="1">N41+O41</f>
        <v>-1</v>
      </c>
      <c r="N41" s="299">
        <f ca="1">ROUND(SUM(INDIRECT(S41):INDIRECT(T41)),0)</f>
        <v>-1</v>
      </c>
      <c r="O41" s="299">
        <f ca="1">IF(N41=0,0,ROUND(SUM(INDIRECT(U41):INDIRECT(V41)),0))</f>
        <v>0</v>
      </c>
      <c r="P41" s="461" t="str">
        <f t="shared" ca="1" si="5"/>
        <v/>
      </c>
      <c r="Q41" s="267">
        <f t="shared" si="12"/>
        <v>306</v>
      </c>
      <c r="R41" s="267">
        <f t="shared" si="16"/>
        <v>317</v>
      </c>
      <c r="S41" s="267" t="str">
        <f t="shared" si="6"/>
        <v>f306</v>
      </c>
      <c r="T41" s="267" t="str">
        <f t="shared" si="6"/>
        <v>f317</v>
      </c>
      <c r="U41" s="267" t="str">
        <f>CONCATENATE("G",Q41)</f>
        <v>G306</v>
      </c>
      <c r="V41" s="267" t="str">
        <f>CONCATENATE("G",R41)</f>
        <v>G317</v>
      </c>
    </row>
    <row r="42" spans="1:22">
      <c r="A42" s="295">
        <f t="shared" si="7"/>
        <v>25</v>
      </c>
      <c r="B42" s="300">
        <f t="shared" si="13"/>
        <v>732</v>
      </c>
      <c r="C42" s="296">
        <f t="shared" ca="1" si="8"/>
        <v>0.99990000000000001</v>
      </c>
      <c r="D42" s="296"/>
      <c r="E42" s="296">
        <f t="shared" ref="E42:E53" si="17">IF($D$10=1,
 IF(OR(MONTH(B42)=MONTH(EDATE($D$7,0)),MONTH(B42)=MONTH(EDATE($D$7,1)),MONTH(B42)=MONTH(EDATE($D$7,2)),MONTH(B42)=MONTH(EDATE($D$7,3)), MONTH(B42)=MONTH(EDATE($D$7,4)),MONTH(B42)=MONTH(EDATE($D$7,5)),MONTH(B42)=MONTH(EDATE($D$7,6)),MONTH(B42)=MONTH(EDATE($D$7,7)),MONTH(B42)=MONTH(EDATE($D$7,8)),MONTH(B42)=MONTH(EDATE($D$7,9)),MONTH(B42)=MONTH(EDATE($D$7,10))),(MIN($D$41,H41)),0),
IF($D$10=0,
 IF(OR(MONTH(B42)=MONTH(EDATE($D$7,1)),MONTH(B42)=MONTH(EDATE($D$7,2)),MONTH(B42)=MONTH(EDATE($D$7,3)),MONTH(B42)=MONTH(EDATE($D$7,4)), MONTH(B42)=MONTH(EDATE($D$7,5)),MONTH(B42)=MONTH(EDATE($D$7,6)),MONTH(B42)=MONTH(EDATE($D$7,7)),MONTH(B42)=MONTH(EDATE($D$7,8)),MONTH(B42)=MONTH(EDATE($D$7,9)),MONTH(B42)=MONTH(EDATE($D$7,10)),MONTH(B42)=MONTH(EDATE($D$7,11))),(MIN($D$41,H41)),0)))</f>
        <v>0</v>
      </c>
      <c r="F42" s="296">
        <f t="shared" ca="1" si="2"/>
        <v>0</v>
      </c>
      <c r="G42" s="303">
        <f t="shared" ca="1" si="10"/>
        <v>0</v>
      </c>
      <c r="H42" s="296">
        <f t="shared" ca="1" si="11"/>
        <v>0.99990000000000001</v>
      </c>
      <c r="I42" s="297">
        <f t="shared" ca="1" si="3"/>
        <v>-1</v>
      </c>
      <c r="J42" s="298">
        <v>26</v>
      </c>
      <c r="K42" s="299">
        <f ca="1">'Itemized Costs-HIDDEN'!N30-INDIRECT("'Sch3-Perf Period Cash Flow'!D"&amp;7&amp;"")</f>
        <v>-1</v>
      </c>
      <c r="L42" s="299">
        <v>0</v>
      </c>
      <c r="M42" s="299">
        <f t="shared" ca="1" si="4"/>
        <v>-1</v>
      </c>
      <c r="N42" s="299">
        <f ca="1">ROUND(SUM(INDIRECT(S42):INDIRECT(T42)),0)</f>
        <v>-1</v>
      </c>
      <c r="O42" s="299">
        <f ca="1">IF(N42=0,0,ROUND(SUM(INDIRECT(U42):INDIRECT(V42)),0))</f>
        <v>0</v>
      </c>
      <c r="P42" s="461" t="str">
        <f t="shared" ca="1" si="5"/>
        <v/>
      </c>
      <c r="Q42" s="267">
        <f t="shared" si="12"/>
        <v>318</v>
      </c>
      <c r="R42" s="267">
        <f t="shared" si="16"/>
        <v>329</v>
      </c>
      <c r="S42" s="267" t="str">
        <f t="shared" si="6"/>
        <v>f318</v>
      </c>
      <c r="T42" s="267" t="str">
        <f t="shared" si="6"/>
        <v>f329</v>
      </c>
      <c r="U42" s="267" t="str">
        <f>CONCATENATE("G",Q42)</f>
        <v>G318</v>
      </c>
      <c r="V42" s="267" t="str">
        <f>CONCATENATE("G",R42)</f>
        <v>G329</v>
      </c>
    </row>
    <row r="43" spans="1:22">
      <c r="A43" s="295">
        <f t="shared" si="7"/>
        <v>26</v>
      </c>
      <c r="B43" s="300">
        <f t="shared" si="13"/>
        <v>763</v>
      </c>
      <c r="C43" s="296">
        <f t="shared" ca="1" si="8"/>
        <v>0.99990000000000001</v>
      </c>
      <c r="D43" s="295"/>
      <c r="E43" s="296">
        <f t="shared" ca="1" si="17"/>
        <v>-9.0909090909090912E-2</v>
      </c>
      <c r="F43" s="296">
        <f t="shared" ca="1" si="2"/>
        <v>-9.0909090909090912E-2</v>
      </c>
      <c r="G43" s="303">
        <f t="shared" ca="1" si="10"/>
        <v>0</v>
      </c>
      <c r="H43" s="296">
        <f t="shared" ca="1" si="11"/>
        <v>1.0908</v>
      </c>
      <c r="I43" s="297">
        <f t="shared" ca="1" si="3"/>
        <v>-1</v>
      </c>
      <c r="J43" s="298">
        <v>27</v>
      </c>
      <c r="K43" s="299">
        <f ca="1">'Itemized Costs-HIDDEN'!N31-INDIRECT("'Sch3-Perf Period Cash Flow'!D"&amp;7&amp;"")</f>
        <v>-1</v>
      </c>
      <c r="L43" s="299">
        <v>0</v>
      </c>
      <c r="M43" s="299">
        <f t="shared" ca="1" si="4"/>
        <v>-1</v>
      </c>
      <c r="N43" s="299">
        <f ca="1">ROUND(SUM(INDIRECT(S43):INDIRECT(T43)),0)</f>
        <v>-1</v>
      </c>
      <c r="O43" s="299">
        <f ca="1">IF(N43=0,0,ROUND(SUM(INDIRECT(U43):INDIRECT(V43)),0))</f>
        <v>0</v>
      </c>
      <c r="P43" s="461" t="str">
        <f t="shared" ca="1" si="5"/>
        <v/>
      </c>
      <c r="Q43" s="267">
        <f t="shared" si="12"/>
        <v>330</v>
      </c>
      <c r="R43" s="267">
        <f t="shared" si="16"/>
        <v>341</v>
      </c>
      <c r="S43" s="267" t="str">
        <f t="shared" si="6"/>
        <v>f330</v>
      </c>
      <c r="T43" s="267" t="str">
        <f t="shared" si="6"/>
        <v>f341</v>
      </c>
      <c r="U43" s="267" t="str">
        <f t="shared" ref="U43:V56" si="18">CONCATENATE("G",Q43)</f>
        <v>G330</v>
      </c>
      <c r="V43" s="267" t="str">
        <f t="shared" si="18"/>
        <v>G341</v>
      </c>
    </row>
    <row r="44" spans="1:22">
      <c r="A44" s="295">
        <f t="shared" si="7"/>
        <v>27</v>
      </c>
      <c r="B44" s="300">
        <f t="shared" si="13"/>
        <v>791</v>
      </c>
      <c r="C44" s="296">
        <f t="shared" ca="1" si="8"/>
        <v>1.0908</v>
      </c>
      <c r="D44" s="295"/>
      <c r="E44" s="296">
        <f t="shared" ca="1" si="17"/>
        <v>-9.0909090909090912E-2</v>
      </c>
      <c r="F44" s="296">
        <f t="shared" ca="1" si="2"/>
        <v>-9.0909090909090912E-2</v>
      </c>
      <c r="G44" s="303">
        <f t="shared" ca="1" si="10"/>
        <v>0</v>
      </c>
      <c r="H44" s="296">
        <f t="shared" ca="1" si="11"/>
        <v>1.1817</v>
      </c>
      <c r="I44" s="297">
        <f t="shared" ca="1" si="3"/>
        <v>-1</v>
      </c>
      <c r="J44" s="298">
        <v>28</v>
      </c>
      <c r="K44" s="299">
        <f ca="1">'Itemized Costs-HIDDEN'!N32-INDIRECT("'Sch3-Perf Period Cash Flow'!D"&amp;7&amp;"")</f>
        <v>-1</v>
      </c>
      <c r="L44" s="299">
        <v>0</v>
      </c>
      <c r="M44" s="299">
        <f t="shared" ca="1" si="4"/>
        <v>-1</v>
      </c>
      <c r="N44" s="299">
        <f ca="1">ROUND(SUM(INDIRECT(S44):INDIRECT(T44)),0)</f>
        <v>-1</v>
      </c>
      <c r="O44" s="299">
        <f ca="1">IF(N44=0,0,ROUND(SUM(INDIRECT(U44):INDIRECT(V44)),0))</f>
        <v>0</v>
      </c>
      <c r="P44" s="461" t="str">
        <f t="shared" ca="1" si="5"/>
        <v/>
      </c>
      <c r="Q44" s="267">
        <f t="shared" si="12"/>
        <v>342</v>
      </c>
      <c r="R44" s="267">
        <f t="shared" si="16"/>
        <v>353</v>
      </c>
      <c r="S44" s="267" t="str">
        <f t="shared" si="6"/>
        <v>f342</v>
      </c>
      <c r="T44" s="267" t="str">
        <f t="shared" si="6"/>
        <v>f353</v>
      </c>
      <c r="U44" s="267" t="str">
        <f t="shared" si="18"/>
        <v>G342</v>
      </c>
      <c r="V44" s="267" t="str">
        <f t="shared" si="18"/>
        <v>G353</v>
      </c>
    </row>
    <row r="45" spans="1:22">
      <c r="A45" s="295">
        <f t="shared" si="7"/>
        <v>28</v>
      </c>
      <c r="B45" s="300">
        <f t="shared" si="13"/>
        <v>822</v>
      </c>
      <c r="C45" s="296">
        <f t="shared" ca="1" si="8"/>
        <v>1.1817</v>
      </c>
      <c r="D45" s="295"/>
      <c r="E45" s="296">
        <f t="shared" ca="1" si="17"/>
        <v>-9.0909090909090912E-2</v>
      </c>
      <c r="F45" s="296">
        <f t="shared" ca="1" si="2"/>
        <v>-9.0909090909090912E-2</v>
      </c>
      <c r="G45" s="303">
        <f t="shared" ca="1" si="10"/>
        <v>0</v>
      </c>
      <c r="H45" s="296">
        <f t="shared" ca="1" si="11"/>
        <v>1.2726</v>
      </c>
      <c r="I45" s="297">
        <f t="shared" ca="1" si="3"/>
        <v>-1</v>
      </c>
      <c r="J45" s="298">
        <v>29</v>
      </c>
      <c r="K45" s="299">
        <f ca="1">'Itemized Costs-HIDDEN'!N33-INDIRECT("'Sch3-Perf Period Cash Flow'!D"&amp;7&amp;"")</f>
        <v>-1</v>
      </c>
      <c r="L45" s="299">
        <v>0</v>
      </c>
      <c r="M45" s="299">
        <f t="shared" ca="1" si="4"/>
        <v>-1</v>
      </c>
      <c r="N45" s="299">
        <f ca="1">ROUND(SUM(INDIRECT(S45):INDIRECT(T45)),0)</f>
        <v>-1</v>
      </c>
      <c r="O45" s="299">
        <f ca="1">IF(N45=0,0,ROUND(SUM(INDIRECT(U45):INDIRECT(V45)),0))</f>
        <v>0</v>
      </c>
      <c r="P45" s="461" t="str">
        <f t="shared" ca="1" si="5"/>
        <v/>
      </c>
      <c r="Q45" s="267">
        <f t="shared" si="12"/>
        <v>354</v>
      </c>
      <c r="R45" s="267">
        <f t="shared" si="16"/>
        <v>365</v>
      </c>
      <c r="S45" s="267" t="str">
        <f t="shared" si="6"/>
        <v>f354</v>
      </c>
      <c r="T45" s="267" t="str">
        <f t="shared" si="6"/>
        <v>f365</v>
      </c>
      <c r="U45" s="267" t="str">
        <f t="shared" si="18"/>
        <v>G354</v>
      </c>
      <c r="V45" s="267" t="str">
        <f t="shared" si="18"/>
        <v>G365</v>
      </c>
    </row>
    <row r="46" spans="1:22">
      <c r="A46" s="295">
        <f t="shared" si="7"/>
        <v>29</v>
      </c>
      <c r="B46" s="300">
        <f t="shared" si="13"/>
        <v>852</v>
      </c>
      <c r="C46" s="296">
        <f t="shared" ca="1" si="8"/>
        <v>1.2726</v>
      </c>
      <c r="D46" s="295"/>
      <c r="E46" s="296">
        <f t="shared" ca="1" si="17"/>
        <v>-9.0909090909090912E-2</v>
      </c>
      <c r="F46" s="296">
        <f t="shared" ca="1" si="2"/>
        <v>-9.0909090909090912E-2</v>
      </c>
      <c r="G46" s="303">
        <f t="shared" ca="1" si="10"/>
        <v>0</v>
      </c>
      <c r="H46" s="296">
        <f t="shared" ca="1" si="11"/>
        <v>1.3634999999999999</v>
      </c>
      <c r="I46" s="297">
        <f t="shared" ca="1" si="3"/>
        <v>-1</v>
      </c>
      <c r="J46" s="298">
        <v>30</v>
      </c>
      <c r="K46" s="299">
        <f ca="1">'Itemized Costs-HIDDEN'!N34-INDIRECT("'Sch3-Perf Period Cash Flow'!D"&amp;7&amp;"")</f>
        <v>-1</v>
      </c>
      <c r="L46" s="299">
        <v>0</v>
      </c>
      <c r="M46" s="299">
        <f t="shared" ca="1" si="4"/>
        <v>-1</v>
      </c>
      <c r="N46" s="299">
        <f ca="1">ROUND(SUM(INDIRECT(S46):INDIRECT(T46)),0)</f>
        <v>-1</v>
      </c>
      <c r="O46" s="299">
        <f ca="1">IF(N46=0,0,ROUND(SUM(INDIRECT(U46):INDIRECT(V46)),0))</f>
        <v>0</v>
      </c>
      <c r="P46" s="461" t="str">
        <f t="shared" ca="1" si="5"/>
        <v/>
      </c>
      <c r="Q46" s="267">
        <f t="shared" si="12"/>
        <v>366</v>
      </c>
      <c r="R46" s="267">
        <f t="shared" si="16"/>
        <v>377</v>
      </c>
      <c r="S46" s="267" t="str">
        <f t="shared" si="6"/>
        <v>f366</v>
      </c>
      <c r="T46" s="267" t="str">
        <f t="shared" si="6"/>
        <v>f377</v>
      </c>
      <c r="U46" s="267" t="str">
        <f t="shared" si="18"/>
        <v>G366</v>
      </c>
      <c r="V46" s="267" t="str">
        <f t="shared" si="18"/>
        <v>G377</v>
      </c>
    </row>
    <row r="47" spans="1:22">
      <c r="A47" s="295">
        <f t="shared" si="7"/>
        <v>30</v>
      </c>
      <c r="B47" s="300">
        <f t="shared" si="13"/>
        <v>883</v>
      </c>
      <c r="C47" s="296">
        <f t="shared" ca="1" si="8"/>
        <v>1.3634999999999999</v>
      </c>
      <c r="D47" s="295"/>
      <c r="E47" s="296">
        <f t="shared" ca="1" si="17"/>
        <v>-9.0909090909090912E-2</v>
      </c>
      <c r="F47" s="296">
        <f t="shared" ca="1" si="2"/>
        <v>-9.0909090909090912E-2</v>
      </c>
      <c r="G47" s="303">
        <f t="shared" ca="1" si="10"/>
        <v>0</v>
      </c>
      <c r="H47" s="296">
        <f t="shared" ca="1" si="11"/>
        <v>1.4543999999999999</v>
      </c>
      <c r="I47" s="297">
        <f t="shared" ca="1" si="3"/>
        <v>-1</v>
      </c>
      <c r="J47" s="298">
        <v>31</v>
      </c>
      <c r="K47" s="299">
        <f ca="1">'Itemized Costs-HIDDEN'!N35-INDIRECT("'Sch3-Perf Period Cash Flow'!D"&amp;7&amp;"")</f>
        <v>-1</v>
      </c>
      <c r="L47" s="299">
        <v>0</v>
      </c>
      <c r="M47" s="299">
        <f t="shared" ca="1" si="4"/>
        <v>-1</v>
      </c>
      <c r="N47" s="299">
        <f ca="1">ROUND(SUM(INDIRECT(S47):INDIRECT(T47)),0)</f>
        <v>-1</v>
      </c>
      <c r="O47" s="299">
        <f ca="1">IF(N47=0,0,ROUND(SUM(INDIRECT(U47):INDIRECT(V47)),0))</f>
        <v>0</v>
      </c>
      <c r="P47" s="461" t="str">
        <f t="shared" ca="1" si="5"/>
        <v/>
      </c>
      <c r="Q47" s="267">
        <f t="shared" si="12"/>
        <v>378</v>
      </c>
      <c r="R47" s="267">
        <f t="shared" si="16"/>
        <v>389</v>
      </c>
      <c r="S47" s="267" t="str">
        <f t="shared" si="6"/>
        <v>f378</v>
      </c>
      <c r="T47" s="267" t="str">
        <f t="shared" si="6"/>
        <v>f389</v>
      </c>
      <c r="U47" s="267" t="str">
        <f t="shared" si="18"/>
        <v>G378</v>
      </c>
      <c r="V47" s="267" t="str">
        <f t="shared" si="18"/>
        <v>G389</v>
      </c>
    </row>
    <row r="48" spans="1:22">
      <c r="A48" s="295">
        <f t="shared" si="7"/>
        <v>31</v>
      </c>
      <c r="B48" s="300">
        <f t="shared" si="13"/>
        <v>913</v>
      </c>
      <c r="C48" s="296">
        <f t="shared" ca="1" si="8"/>
        <v>1.4543999999999999</v>
      </c>
      <c r="D48" s="295"/>
      <c r="E48" s="296">
        <f t="shared" ca="1" si="17"/>
        <v>-9.0909090909090912E-2</v>
      </c>
      <c r="F48" s="296">
        <f t="shared" ca="1" si="2"/>
        <v>-9.0909090909090912E-2</v>
      </c>
      <c r="G48" s="303">
        <f t="shared" ca="1" si="10"/>
        <v>0</v>
      </c>
      <c r="H48" s="296">
        <f t="shared" ca="1" si="11"/>
        <v>1.5452999999999999</v>
      </c>
      <c r="I48" s="297">
        <f t="shared" ca="1" si="3"/>
        <v>-2</v>
      </c>
      <c r="J48" s="298">
        <v>32</v>
      </c>
      <c r="K48" s="299">
        <f ca="1">'Itemized Costs-HIDDEN'!N36-INDIRECT("'Sch3-Perf Period Cash Flow'!D"&amp;7&amp;"")</f>
        <v>-1</v>
      </c>
      <c r="L48" s="299">
        <v>0</v>
      </c>
      <c r="M48" s="299">
        <f t="shared" ca="1" si="4"/>
        <v>-1</v>
      </c>
      <c r="N48" s="299">
        <f ca="1">ROUND(SUM(INDIRECT(S48):INDIRECT(T48)),0)</f>
        <v>-1</v>
      </c>
      <c r="O48" s="299">
        <f ca="1">IF(N48=0,0,ROUND(SUM(INDIRECT(U48):INDIRECT(V48)),0))</f>
        <v>0</v>
      </c>
      <c r="P48" s="461" t="str">
        <f t="shared" ca="1" si="5"/>
        <v/>
      </c>
      <c r="Q48" s="267">
        <f t="shared" si="12"/>
        <v>390</v>
      </c>
      <c r="R48" s="267">
        <f t="shared" si="16"/>
        <v>401</v>
      </c>
      <c r="S48" s="267" t="str">
        <f t="shared" si="6"/>
        <v>f390</v>
      </c>
      <c r="T48" s="267" t="str">
        <f t="shared" si="6"/>
        <v>f401</v>
      </c>
      <c r="U48" s="267" t="str">
        <f t="shared" si="18"/>
        <v>G390</v>
      </c>
      <c r="V48" s="267" t="str">
        <f t="shared" si="18"/>
        <v>G401</v>
      </c>
    </row>
    <row r="49" spans="1:22">
      <c r="A49" s="295">
        <f t="shared" si="7"/>
        <v>32</v>
      </c>
      <c r="B49" s="300">
        <f t="shared" si="13"/>
        <v>944</v>
      </c>
      <c r="C49" s="296">
        <f t="shared" ca="1" si="8"/>
        <v>1.5452999999999999</v>
      </c>
      <c r="D49" s="295"/>
      <c r="E49" s="296">
        <f t="shared" ca="1" si="17"/>
        <v>-9.0909090909090912E-2</v>
      </c>
      <c r="F49" s="296">
        <f t="shared" ca="1" si="2"/>
        <v>-9.0909090909090912E-2</v>
      </c>
      <c r="G49" s="303">
        <f t="shared" ca="1" si="10"/>
        <v>0</v>
      </c>
      <c r="H49" s="296">
        <f t="shared" ca="1" si="11"/>
        <v>1.6362000000000001</v>
      </c>
      <c r="I49" s="297">
        <f t="shared" ca="1" si="3"/>
        <v>-2</v>
      </c>
      <c r="J49" s="298">
        <v>33</v>
      </c>
      <c r="K49" s="299">
        <f ca="1">'Itemized Costs-HIDDEN'!N37-INDIRECT("'Sch3-Perf Period Cash Flow'!D"&amp;7&amp;"")</f>
        <v>-1</v>
      </c>
      <c r="L49" s="299">
        <v>0</v>
      </c>
      <c r="M49" s="299">
        <f t="shared" ca="1" si="4"/>
        <v>-1</v>
      </c>
      <c r="N49" s="299">
        <f ca="1">ROUND(SUM(INDIRECT(S49):INDIRECT(T49)),0)</f>
        <v>-1</v>
      </c>
      <c r="O49" s="299">
        <f ca="1">IF(N49=0,0,ROUND(SUM(INDIRECT(U49):INDIRECT(V49)),0))</f>
        <v>0</v>
      </c>
      <c r="P49" s="461" t="str">
        <f t="shared" ca="1" si="5"/>
        <v/>
      </c>
      <c r="Q49" s="267">
        <f t="shared" si="12"/>
        <v>402</v>
      </c>
      <c r="R49" s="267">
        <f t="shared" si="16"/>
        <v>413</v>
      </c>
      <c r="S49" s="267" t="str">
        <f t="shared" si="6"/>
        <v>f402</v>
      </c>
      <c r="T49" s="267" t="str">
        <f t="shared" si="6"/>
        <v>f413</v>
      </c>
      <c r="U49" s="267" t="str">
        <f t="shared" si="18"/>
        <v>G402</v>
      </c>
      <c r="V49" s="267" t="str">
        <f t="shared" si="18"/>
        <v>G413</v>
      </c>
    </row>
    <row r="50" spans="1:22">
      <c r="A50" s="295">
        <f t="shared" si="7"/>
        <v>33</v>
      </c>
      <c r="B50" s="300">
        <f t="shared" si="13"/>
        <v>975</v>
      </c>
      <c r="C50" s="296">
        <f t="shared" ca="1" si="8"/>
        <v>1.6362000000000001</v>
      </c>
      <c r="D50" s="295"/>
      <c r="E50" s="296">
        <f t="shared" ca="1" si="17"/>
        <v>-9.0909090909090912E-2</v>
      </c>
      <c r="F50" s="296">
        <f t="shared" ca="1" si="2"/>
        <v>-9.0909090909090912E-2</v>
      </c>
      <c r="G50" s="303">
        <f t="shared" ca="1" si="10"/>
        <v>0</v>
      </c>
      <c r="H50" s="296">
        <f t="shared" ca="1" si="11"/>
        <v>1.7271000000000001</v>
      </c>
      <c r="I50" s="297">
        <f t="shared" ca="1" si="3"/>
        <v>-2</v>
      </c>
      <c r="J50" s="298">
        <v>34</v>
      </c>
      <c r="K50" s="299">
        <f ca="1">'Itemized Costs-HIDDEN'!N38-INDIRECT("'Sch3-Perf Period Cash Flow'!D"&amp;7&amp;"")</f>
        <v>-1</v>
      </c>
      <c r="L50" s="299">
        <v>0</v>
      </c>
      <c r="M50" s="299">
        <f t="shared" ca="1" si="4"/>
        <v>-1</v>
      </c>
      <c r="N50" s="299">
        <f ca="1">ROUND(SUM(INDIRECT(S50):INDIRECT(T50)),0)</f>
        <v>-1</v>
      </c>
      <c r="O50" s="299">
        <f ca="1">IF(N50=0,0,ROUND(SUM(INDIRECT(U50):INDIRECT(V50)),0))</f>
        <v>0</v>
      </c>
      <c r="P50" s="461" t="str">
        <f t="shared" ca="1" si="5"/>
        <v/>
      </c>
      <c r="Q50" s="267">
        <f t="shared" si="12"/>
        <v>414</v>
      </c>
      <c r="R50" s="267">
        <f t="shared" si="16"/>
        <v>425</v>
      </c>
      <c r="S50" s="267" t="str">
        <f t="shared" si="6"/>
        <v>f414</v>
      </c>
      <c r="T50" s="267" t="str">
        <f t="shared" si="6"/>
        <v>f425</v>
      </c>
      <c r="U50" s="267" t="str">
        <f t="shared" si="18"/>
        <v>G414</v>
      </c>
      <c r="V50" s="267" t="str">
        <f t="shared" si="18"/>
        <v>G425</v>
      </c>
    </row>
    <row r="51" spans="1:22">
      <c r="A51" s="295">
        <f t="shared" si="7"/>
        <v>34</v>
      </c>
      <c r="B51" s="300">
        <f t="shared" si="13"/>
        <v>1005</v>
      </c>
      <c r="C51" s="296">
        <f t="shared" ca="1" si="8"/>
        <v>1.7271000000000001</v>
      </c>
      <c r="D51" s="295"/>
      <c r="E51" s="296">
        <f t="shared" ca="1" si="17"/>
        <v>-9.0909090909090912E-2</v>
      </c>
      <c r="F51" s="296">
        <f t="shared" ca="1" si="2"/>
        <v>-9.0909090909090912E-2</v>
      </c>
      <c r="G51" s="303">
        <f t="shared" ca="1" si="10"/>
        <v>0</v>
      </c>
      <c r="H51" s="296">
        <f t="shared" ca="1" si="11"/>
        <v>1.8180000000000001</v>
      </c>
      <c r="I51" s="297">
        <f t="shared" ca="1" si="3"/>
        <v>-2</v>
      </c>
      <c r="J51" s="298">
        <v>35</v>
      </c>
      <c r="K51" s="299">
        <f ca="1">'Itemized Costs-HIDDEN'!N39-INDIRECT("'Sch3-Perf Period Cash Flow'!D"&amp;7&amp;"")</f>
        <v>-1</v>
      </c>
      <c r="L51" s="299">
        <v>0</v>
      </c>
      <c r="M51" s="299">
        <f t="shared" ca="1" si="4"/>
        <v>-1</v>
      </c>
      <c r="N51" s="299">
        <f ca="1">ROUND(SUM(INDIRECT(S51):INDIRECT(T51)),0)</f>
        <v>-1</v>
      </c>
      <c r="O51" s="299">
        <f ca="1">IF(N51=0,0,ROUND(SUM(INDIRECT(U51):INDIRECT(V51)),0))</f>
        <v>0</v>
      </c>
      <c r="P51" s="461" t="str">
        <f t="shared" ca="1" si="5"/>
        <v/>
      </c>
      <c r="Q51" s="267">
        <f t="shared" si="12"/>
        <v>426</v>
      </c>
      <c r="R51" s="267">
        <f t="shared" si="16"/>
        <v>437</v>
      </c>
      <c r="S51" s="267" t="str">
        <f t="shared" si="6"/>
        <v>f426</v>
      </c>
      <c r="T51" s="267" t="str">
        <f t="shared" si="6"/>
        <v>f437</v>
      </c>
      <c r="U51" s="267" t="str">
        <f t="shared" si="18"/>
        <v>G426</v>
      </c>
      <c r="V51" s="267" t="str">
        <f t="shared" si="18"/>
        <v>G437</v>
      </c>
    </row>
    <row r="52" spans="1:22">
      <c r="A52" s="295">
        <f t="shared" si="7"/>
        <v>35</v>
      </c>
      <c r="B52" s="300">
        <f t="shared" si="13"/>
        <v>1036</v>
      </c>
      <c r="C52" s="296">
        <f t="shared" ca="1" si="8"/>
        <v>1.8180000000000001</v>
      </c>
      <c r="D52" s="295"/>
      <c r="E52" s="296">
        <f t="shared" ca="1" si="17"/>
        <v>-9.0909090909090912E-2</v>
      </c>
      <c r="F52" s="296">
        <f t="shared" ca="1" si="2"/>
        <v>-9.0909090909090912E-2</v>
      </c>
      <c r="G52" s="303">
        <f t="shared" ca="1" si="10"/>
        <v>0</v>
      </c>
      <c r="H52" s="296">
        <f t="shared" ca="1" si="11"/>
        <v>1.9089</v>
      </c>
      <c r="I52" s="297">
        <f t="shared" ca="1" si="3"/>
        <v>-2</v>
      </c>
      <c r="J52" s="298">
        <v>36</v>
      </c>
      <c r="K52" s="299">
        <f ca="1">'Itemized Costs-HIDDEN'!N40-INDIRECT("'Sch3-Perf Period Cash Flow'!D"&amp;7&amp;"")</f>
        <v>-1</v>
      </c>
      <c r="L52" s="299">
        <v>0</v>
      </c>
      <c r="M52" s="299">
        <f t="shared" ca="1" si="4"/>
        <v>-1</v>
      </c>
      <c r="N52" s="299">
        <f ca="1">ROUND(SUM(INDIRECT(S52):INDIRECT(T52)),0)</f>
        <v>-1</v>
      </c>
      <c r="O52" s="299">
        <f ca="1">IF(N52=0,0,ROUND(SUM(INDIRECT(U52):INDIRECT(V52)),0))</f>
        <v>0</v>
      </c>
      <c r="P52" s="461" t="str">
        <f t="shared" ca="1" si="5"/>
        <v/>
      </c>
      <c r="Q52" s="267">
        <f t="shared" si="12"/>
        <v>438</v>
      </c>
      <c r="R52" s="267">
        <f t="shared" si="16"/>
        <v>449</v>
      </c>
      <c r="S52" s="267" t="str">
        <f t="shared" si="6"/>
        <v>f438</v>
      </c>
      <c r="T52" s="267" t="str">
        <f t="shared" si="6"/>
        <v>f449</v>
      </c>
      <c r="U52" s="267" t="str">
        <f t="shared" si="18"/>
        <v>G438</v>
      </c>
      <c r="V52" s="267" t="str">
        <f t="shared" si="18"/>
        <v>G449</v>
      </c>
    </row>
    <row r="53" spans="1:22">
      <c r="A53" s="295">
        <f t="shared" si="7"/>
        <v>36</v>
      </c>
      <c r="B53" s="300">
        <f t="shared" si="13"/>
        <v>1066</v>
      </c>
      <c r="C53" s="296">
        <f t="shared" ca="1" si="8"/>
        <v>1.9089</v>
      </c>
      <c r="D53" s="296">
        <f ca="1">IF(H53&lt;0,0,(K20-L20)/11)</f>
        <v>-9.0909090909090912E-2</v>
      </c>
      <c r="E53" s="296">
        <f t="shared" ca="1" si="17"/>
        <v>-9.0909090909090912E-2</v>
      </c>
      <c r="F53" s="296">
        <f t="shared" ca="1" si="2"/>
        <v>-9.0909090909090912E-2</v>
      </c>
      <c r="G53" s="303">
        <f t="shared" ca="1" si="10"/>
        <v>0</v>
      </c>
      <c r="H53" s="296">
        <f t="shared" ca="1" si="11"/>
        <v>1.9998</v>
      </c>
      <c r="I53" s="297">
        <f t="shared" ca="1" si="3"/>
        <v>-2</v>
      </c>
      <c r="J53" s="298">
        <v>37</v>
      </c>
      <c r="K53" s="299">
        <f ca="1">'Itemized Costs-HIDDEN'!N41-INDIRECT("'Sch3-Perf Period Cash Flow'!D"&amp;7&amp;"")</f>
        <v>-1</v>
      </c>
      <c r="L53" s="299">
        <v>0</v>
      </c>
      <c r="M53" s="299">
        <f t="shared" ca="1" si="4"/>
        <v>-1</v>
      </c>
      <c r="N53" s="299">
        <f ca="1">ROUND(SUM(INDIRECT(S53):INDIRECT(T53)),0)</f>
        <v>-1</v>
      </c>
      <c r="O53" s="299">
        <f ca="1">IF(N53=0,0,ROUND(SUM(INDIRECT(U53):INDIRECT(V53)),0))</f>
        <v>0</v>
      </c>
      <c r="P53" s="461" t="str">
        <f t="shared" ca="1" si="5"/>
        <v/>
      </c>
      <c r="Q53" s="267">
        <f t="shared" si="12"/>
        <v>450</v>
      </c>
      <c r="R53" s="267">
        <f t="shared" si="16"/>
        <v>461</v>
      </c>
      <c r="S53" s="267" t="str">
        <f t="shared" si="6"/>
        <v>f450</v>
      </c>
      <c r="T53" s="267" t="str">
        <f t="shared" si="6"/>
        <v>f461</v>
      </c>
      <c r="U53" s="267" t="str">
        <f t="shared" si="18"/>
        <v>G450</v>
      </c>
      <c r="V53" s="267" t="str">
        <f t="shared" si="18"/>
        <v>G461</v>
      </c>
    </row>
    <row r="54" spans="1:22">
      <c r="A54" s="295">
        <f t="shared" si="7"/>
        <v>37</v>
      </c>
      <c r="B54" s="300">
        <f t="shared" si="13"/>
        <v>1097</v>
      </c>
      <c r="C54" s="296">
        <f t="shared" ca="1" si="8"/>
        <v>1.9998</v>
      </c>
      <c r="D54" s="296"/>
      <c r="E54" s="296">
        <f t="shared" ref="E54:E65" si="19">IF($D$10=1,
 IF(OR(MONTH(B54)=MONTH(EDATE($D$7,0)),MONTH(B54)=MONTH(EDATE($D$7,1)),MONTH(B54)=MONTH(EDATE($D$7,2)),MONTH(B54)=MONTH(EDATE($D$7,3)), MONTH(B54)=MONTH(EDATE($D$7,4)),MONTH(B54)=MONTH(EDATE($D$7,5)),MONTH(B54)=MONTH(EDATE($D$7,6)),MONTH(B54)=MONTH(EDATE($D$7,7)),MONTH(B54)=MONTH(EDATE($D$7,8)),MONTH(B54)=MONTH(EDATE($D$7,9)),MONTH(B54)=MONTH(EDATE($D$7,10))),(MIN($D$53,H53)),0),
IF($D$10=0,
 IF(OR(MONTH(B54)=MONTH(EDATE($D$7,1)),MONTH(B54)=MONTH(EDATE($D$7,2)),MONTH(B54)=MONTH(EDATE($D$7,3)),MONTH(B54)=MONTH(EDATE($D$7,4)), MONTH(B54)=MONTH(EDATE($D$7,5)),MONTH(B54)=MONTH(EDATE($D$7,6)),MONTH(B54)=MONTH(EDATE($D$7,7)),MONTH(B54)=MONTH(EDATE($D$7,8)),MONTH(B54)=MONTH(EDATE($D$7,9)),MONTH(B54)=MONTH(EDATE($D$7,10)),MONTH(B54)=MONTH(EDATE($D$7,11))),(MIN($D$53,H53)),0)))</f>
        <v>0</v>
      </c>
      <c r="F54" s="296">
        <f t="shared" ca="1" si="2"/>
        <v>0</v>
      </c>
      <c r="G54" s="303">
        <f t="shared" ca="1" si="10"/>
        <v>0</v>
      </c>
      <c r="H54" s="296">
        <f t="shared" ca="1" si="11"/>
        <v>1.9998</v>
      </c>
      <c r="I54" s="297">
        <f t="shared" ca="1" si="3"/>
        <v>-2</v>
      </c>
      <c r="J54" s="298">
        <v>38</v>
      </c>
      <c r="K54" s="299">
        <f ca="1">'Itemized Costs-HIDDEN'!N42-INDIRECT("'Sch3-Perf Period Cash Flow'!D"&amp;7&amp;"")</f>
        <v>-1</v>
      </c>
      <c r="L54" s="299">
        <v>0</v>
      </c>
      <c r="M54" s="299">
        <f t="shared" ca="1" si="4"/>
        <v>-1</v>
      </c>
      <c r="N54" s="299">
        <f ca="1">ROUND(SUM(INDIRECT(S54):INDIRECT(T54)),0)</f>
        <v>-1</v>
      </c>
      <c r="O54" s="299">
        <f ca="1">IF(N54=0,0,ROUND(SUM(INDIRECT(U54):INDIRECT(V54)),0))</f>
        <v>0</v>
      </c>
      <c r="P54" s="461" t="str">
        <f t="shared" ca="1" si="5"/>
        <v/>
      </c>
      <c r="Q54" s="267">
        <f t="shared" si="12"/>
        <v>462</v>
      </c>
      <c r="R54" s="267">
        <f t="shared" si="16"/>
        <v>473</v>
      </c>
      <c r="S54" s="267" t="str">
        <f t="shared" si="6"/>
        <v>f462</v>
      </c>
      <c r="T54" s="267" t="str">
        <f t="shared" si="6"/>
        <v>f473</v>
      </c>
      <c r="U54" s="267" t="str">
        <f t="shared" si="18"/>
        <v>G462</v>
      </c>
      <c r="V54" s="267" t="str">
        <f t="shared" si="18"/>
        <v>G473</v>
      </c>
    </row>
    <row r="55" spans="1:22">
      <c r="A55" s="295">
        <f t="shared" si="7"/>
        <v>38</v>
      </c>
      <c r="B55" s="300">
        <f t="shared" si="13"/>
        <v>1128</v>
      </c>
      <c r="C55" s="296">
        <f t="shared" ca="1" si="8"/>
        <v>1.9998</v>
      </c>
      <c r="D55" s="295"/>
      <c r="E55" s="296">
        <f t="shared" ca="1" si="19"/>
        <v>-9.0909090909090912E-2</v>
      </c>
      <c r="F55" s="296">
        <f t="shared" ca="1" si="2"/>
        <v>-9.0909090909090912E-2</v>
      </c>
      <c r="G55" s="303">
        <f t="shared" ca="1" si="10"/>
        <v>0</v>
      </c>
      <c r="H55" s="296">
        <f t="shared" ca="1" si="11"/>
        <v>2.0907</v>
      </c>
      <c r="I55" s="297">
        <f t="shared" ca="1" si="3"/>
        <v>-2</v>
      </c>
      <c r="J55" s="298">
        <v>39</v>
      </c>
      <c r="K55" s="299">
        <f ca="1">'Itemized Costs-HIDDEN'!N43-INDIRECT("'Sch3-Perf Period Cash Flow'!D"&amp;7&amp;"")</f>
        <v>-1</v>
      </c>
      <c r="L55" s="299">
        <v>0</v>
      </c>
      <c r="M55" s="299">
        <f t="shared" ca="1" si="4"/>
        <v>-1</v>
      </c>
      <c r="N55" s="299">
        <f ca="1">ROUND(SUM(INDIRECT(S55):INDIRECT(T55)),0)</f>
        <v>-1</v>
      </c>
      <c r="O55" s="299">
        <f ca="1">IF(N55=0,0,ROUND(SUM(INDIRECT(U55):INDIRECT(V55)),0))</f>
        <v>0</v>
      </c>
      <c r="P55" s="461" t="str">
        <f t="shared" ca="1" si="5"/>
        <v/>
      </c>
      <c r="Q55" s="267">
        <f t="shared" si="12"/>
        <v>474</v>
      </c>
      <c r="R55" s="267">
        <f t="shared" si="16"/>
        <v>485</v>
      </c>
      <c r="S55" s="267" t="str">
        <f t="shared" si="6"/>
        <v>f474</v>
      </c>
      <c r="T55" s="267" t="str">
        <f t="shared" si="6"/>
        <v>f485</v>
      </c>
      <c r="U55" s="267" t="str">
        <f t="shared" si="18"/>
        <v>G474</v>
      </c>
      <c r="V55" s="267" t="str">
        <f t="shared" si="18"/>
        <v>G485</v>
      </c>
    </row>
    <row r="56" spans="1:22">
      <c r="A56" s="295">
        <f t="shared" si="7"/>
        <v>39</v>
      </c>
      <c r="B56" s="300">
        <f t="shared" si="13"/>
        <v>1156</v>
      </c>
      <c r="C56" s="296">
        <f t="shared" ca="1" si="8"/>
        <v>2.0907</v>
      </c>
      <c r="D56" s="295"/>
      <c r="E56" s="296">
        <f t="shared" ca="1" si="19"/>
        <v>-9.0909090909090912E-2</v>
      </c>
      <c r="F56" s="296">
        <f t="shared" ca="1" si="2"/>
        <v>-9.0909090909090912E-2</v>
      </c>
      <c r="G56" s="303">
        <f t="shared" ca="1" si="10"/>
        <v>0</v>
      </c>
      <c r="H56" s="296">
        <f t="shared" ca="1" si="11"/>
        <v>2.1816</v>
      </c>
      <c r="I56" s="297">
        <f t="shared" ca="1" si="3"/>
        <v>-2</v>
      </c>
      <c r="J56" s="298">
        <v>40</v>
      </c>
      <c r="K56" s="299">
        <f ca="1">'Itemized Costs-HIDDEN'!N44-INDIRECT("'Sch3-Perf Period Cash Flow'!D"&amp;7&amp;"")</f>
        <v>-1</v>
      </c>
      <c r="L56" s="299">
        <v>0</v>
      </c>
      <c r="M56" s="299">
        <f t="shared" ca="1" si="4"/>
        <v>-1</v>
      </c>
      <c r="N56" s="299">
        <f ca="1">ROUND(SUM(INDIRECT(S56):INDIRECT(T56)),0)</f>
        <v>-1</v>
      </c>
      <c r="O56" s="299">
        <f ca="1">IF(N56=0,0,ROUND(SUM(INDIRECT(U56):INDIRECT(V56)),0))</f>
        <v>0</v>
      </c>
      <c r="P56" s="461" t="str">
        <f t="shared" ca="1" si="5"/>
        <v/>
      </c>
      <c r="Q56" s="267">
        <f t="shared" si="12"/>
        <v>486</v>
      </c>
      <c r="R56" s="267">
        <f t="shared" si="16"/>
        <v>497</v>
      </c>
      <c r="S56" s="267" t="str">
        <f t="shared" si="6"/>
        <v>f486</v>
      </c>
      <c r="T56" s="267" t="str">
        <f t="shared" si="6"/>
        <v>f497</v>
      </c>
      <c r="U56" s="267" t="str">
        <f t="shared" si="18"/>
        <v>G486</v>
      </c>
      <c r="V56" s="267" t="str">
        <f t="shared" si="18"/>
        <v>G497</v>
      </c>
    </row>
    <row r="57" spans="1:22">
      <c r="A57" s="295">
        <f t="shared" si="7"/>
        <v>40</v>
      </c>
      <c r="B57" s="300">
        <f t="shared" si="13"/>
        <v>1187</v>
      </c>
      <c r="C57" s="296">
        <f t="shared" ca="1" si="8"/>
        <v>2.1816</v>
      </c>
      <c r="D57" s="295"/>
      <c r="E57" s="296">
        <f t="shared" ca="1" si="19"/>
        <v>-9.0909090909090912E-2</v>
      </c>
      <c r="F57" s="296">
        <f t="shared" ca="1" si="2"/>
        <v>-9.0909090909090912E-2</v>
      </c>
      <c r="G57" s="303">
        <f t="shared" ca="1" si="10"/>
        <v>0</v>
      </c>
      <c r="H57" s="296">
        <f t="shared" ca="1" si="11"/>
        <v>2.2725</v>
      </c>
      <c r="I57" s="297">
        <f t="shared" ca="1" si="3"/>
        <v>-2</v>
      </c>
    </row>
    <row r="58" spans="1:22">
      <c r="A58" s="295">
        <f t="shared" si="7"/>
        <v>41</v>
      </c>
      <c r="B58" s="300">
        <f t="shared" si="13"/>
        <v>1217</v>
      </c>
      <c r="C58" s="296">
        <f t="shared" ca="1" si="8"/>
        <v>2.2725</v>
      </c>
      <c r="D58" s="295"/>
      <c r="E58" s="296">
        <f t="shared" ca="1" si="19"/>
        <v>-9.0909090909090912E-2</v>
      </c>
      <c r="F58" s="296">
        <f t="shared" ca="1" si="2"/>
        <v>-9.0909090909090912E-2</v>
      </c>
      <c r="G58" s="303">
        <f t="shared" ca="1" si="10"/>
        <v>0</v>
      </c>
      <c r="H58" s="296">
        <f t="shared" ca="1" si="11"/>
        <v>2.3633999999999999</v>
      </c>
      <c r="I58" s="297">
        <f t="shared" ca="1" si="3"/>
        <v>-2</v>
      </c>
    </row>
    <row r="59" spans="1:22">
      <c r="A59" s="295">
        <f t="shared" si="7"/>
        <v>42</v>
      </c>
      <c r="B59" s="300">
        <f t="shared" si="13"/>
        <v>1248</v>
      </c>
      <c r="C59" s="296">
        <f t="shared" ca="1" si="8"/>
        <v>2.3633999999999999</v>
      </c>
      <c r="D59" s="295"/>
      <c r="E59" s="296">
        <f t="shared" ca="1" si="19"/>
        <v>-9.0909090909090912E-2</v>
      </c>
      <c r="F59" s="296">
        <f t="shared" ca="1" si="2"/>
        <v>-9.0909090909090912E-2</v>
      </c>
      <c r="G59" s="303">
        <f t="shared" ca="1" si="10"/>
        <v>0</v>
      </c>
      <c r="H59" s="296">
        <f t="shared" ca="1" si="11"/>
        <v>2.4542999999999999</v>
      </c>
      <c r="I59" s="297">
        <f t="shared" ca="1" si="3"/>
        <v>-2</v>
      </c>
    </row>
    <row r="60" spans="1:22">
      <c r="A60" s="295">
        <f t="shared" si="7"/>
        <v>43</v>
      </c>
      <c r="B60" s="300">
        <f t="shared" si="13"/>
        <v>1278</v>
      </c>
      <c r="C60" s="296">
        <f t="shared" ca="1" si="8"/>
        <v>2.4542999999999999</v>
      </c>
      <c r="D60" s="295"/>
      <c r="E60" s="296">
        <f t="shared" ca="1" si="19"/>
        <v>-9.0909090909090912E-2</v>
      </c>
      <c r="F60" s="296">
        <f t="shared" ca="1" si="2"/>
        <v>-9.0909090909090912E-2</v>
      </c>
      <c r="G60" s="303">
        <f t="shared" ca="1" si="10"/>
        <v>0</v>
      </c>
      <c r="H60" s="296">
        <f t="shared" ca="1" si="11"/>
        <v>2.5451999999999999</v>
      </c>
      <c r="I60" s="297">
        <f t="shared" ca="1" si="3"/>
        <v>-3</v>
      </c>
    </row>
    <row r="61" spans="1:22">
      <c r="A61" s="295">
        <f t="shared" si="7"/>
        <v>44</v>
      </c>
      <c r="B61" s="300">
        <f t="shared" si="13"/>
        <v>1309</v>
      </c>
      <c r="C61" s="296">
        <f t="shared" ca="1" si="8"/>
        <v>2.5451999999999999</v>
      </c>
      <c r="D61" s="295"/>
      <c r="E61" s="296">
        <f t="shared" ca="1" si="19"/>
        <v>-9.0909090909090912E-2</v>
      </c>
      <c r="F61" s="296">
        <f t="shared" ca="1" si="2"/>
        <v>-9.0909090909090912E-2</v>
      </c>
      <c r="G61" s="303">
        <f t="shared" ca="1" si="10"/>
        <v>0</v>
      </c>
      <c r="H61" s="296">
        <f t="shared" ca="1" si="11"/>
        <v>2.6360999999999999</v>
      </c>
      <c r="I61" s="297">
        <f t="shared" ca="1" si="3"/>
        <v>-3</v>
      </c>
    </row>
    <row r="62" spans="1:22">
      <c r="A62" s="295">
        <f t="shared" si="7"/>
        <v>45</v>
      </c>
      <c r="B62" s="300">
        <f t="shared" si="13"/>
        <v>1340</v>
      </c>
      <c r="C62" s="296">
        <f t="shared" ca="1" si="8"/>
        <v>2.6360999999999999</v>
      </c>
      <c r="D62" s="295"/>
      <c r="E62" s="296">
        <f t="shared" ca="1" si="19"/>
        <v>-9.0909090909090912E-2</v>
      </c>
      <c r="F62" s="296">
        <f t="shared" ca="1" si="2"/>
        <v>-9.0909090909090912E-2</v>
      </c>
      <c r="G62" s="303">
        <f t="shared" ca="1" si="10"/>
        <v>0</v>
      </c>
      <c r="H62" s="296">
        <f t="shared" ca="1" si="11"/>
        <v>2.7269999999999999</v>
      </c>
      <c r="I62" s="297">
        <f t="shared" ca="1" si="3"/>
        <v>-3</v>
      </c>
    </row>
    <row r="63" spans="1:22">
      <c r="A63" s="295">
        <f t="shared" si="7"/>
        <v>46</v>
      </c>
      <c r="B63" s="300">
        <f t="shared" si="13"/>
        <v>1370</v>
      </c>
      <c r="C63" s="296">
        <f t="shared" ca="1" si="8"/>
        <v>2.7269999999999999</v>
      </c>
      <c r="D63" s="295"/>
      <c r="E63" s="296">
        <f t="shared" ca="1" si="19"/>
        <v>-9.0909090909090912E-2</v>
      </c>
      <c r="F63" s="296">
        <f t="shared" ca="1" si="2"/>
        <v>-9.0909090909090912E-2</v>
      </c>
      <c r="G63" s="303">
        <f t="shared" ca="1" si="10"/>
        <v>0</v>
      </c>
      <c r="H63" s="296">
        <f t="shared" ca="1" si="11"/>
        <v>2.8178999999999998</v>
      </c>
      <c r="I63" s="297">
        <f t="shared" ca="1" si="3"/>
        <v>-3</v>
      </c>
    </row>
    <row r="64" spans="1:22">
      <c r="A64" s="295">
        <f t="shared" si="7"/>
        <v>47</v>
      </c>
      <c r="B64" s="300">
        <f t="shared" si="13"/>
        <v>1401</v>
      </c>
      <c r="C64" s="296">
        <f t="shared" ca="1" si="8"/>
        <v>2.8178999999999998</v>
      </c>
      <c r="D64" s="295"/>
      <c r="E64" s="296">
        <f t="shared" ca="1" si="19"/>
        <v>-9.0909090909090912E-2</v>
      </c>
      <c r="F64" s="296">
        <f t="shared" ca="1" si="2"/>
        <v>-9.0909090909090912E-2</v>
      </c>
      <c r="G64" s="303">
        <f t="shared" ca="1" si="10"/>
        <v>0</v>
      </c>
      <c r="H64" s="296">
        <f t="shared" ca="1" si="11"/>
        <v>2.9087999999999998</v>
      </c>
      <c r="I64" s="297">
        <f t="shared" ca="1" si="3"/>
        <v>-3</v>
      </c>
    </row>
    <row r="65" spans="1:9">
      <c r="A65" s="295">
        <f t="shared" si="7"/>
        <v>48</v>
      </c>
      <c r="B65" s="300">
        <f t="shared" si="13"/>
        <v>1431</v>
      </c>
      <c r="C65" s="296">
        <f t="shared" ca="1" si="8"/>
        <v>2.9087999999999998</v>
      </c>
      <c r="D65" s="296">
        <f ca="1">IF(H65&lt;0,0,(K21-L21)/11)</f>
        <v>-9.0909090909090912E-2</v>
      </c>
      <c r="E65" s="296">
        <f t="shared" ca="1" si="19"/>
        <v>-9.0909090909090912E-2</v>
      </c>
      <c r="F65" s="296">
        <f t="shared" ca="1" si="2"/>
        <v>-9.0909090909090912E-2</v>
      </c>
      <c r="G65" s="303">
        <f t="shared" ca="1" si="10"/>
        <v>0</v>
      </c>
      <c r="H65" s="296">
        <f t="shared" ca="1" si="11"/>
        <v>2.9996999999999998</v>
      </c>
      <c r="I65" s="297">
        <f t="shared" ca="1" si="3"/>
        <v>-3</v>
      </c>
    </row>
    <row r="66" spans="1:9">
      <c r="A66" s="295">
        <f t="shared" si="7"/>
        <v>49</v>
      </c>
      <c r="B66" s="300">
        <f t="shared" si="13"/>
        <v>1462</v>
      </c>
      <c r="C66" s="296">
        <f t="shared" ca="1" si="8"/>
        <v>2.9996999999999998</v>
      </c>
      <c r="D66" s="295"/>
      <c r="E66" s="296">
        <f t="shared" ref="E66:E77" si="20">IF($D$10=1,
 IF(OR(MONTH(B66)=MONTH(EDATE($D$7,0)),MONTH(B66)=MONTH(EDATE($D$7,1)),MONTH(B66)=MONTH(EDATE($D$7,2)),MONTH(B66)=MONTH(EDATE($D$7,3)), MONTH(B66)=MONTH(EDATE($D$7,4)),MONTH(B66)=MONTH(EDATE($D$7,5)),MONTH(B66)=MONTH(EDATE($D$7,6)),MONTH(B66)=MONTH(EDATE($D$7,7)),MONTH(B66)=MONTH(EDATE($D$7,8)),MONTH(B66)=MONTH(EDATE($D$7,9)),MONTH(B66)=MONTH(EDATE($D$7,10))),(MIN($D$65,H65)),0),
IF($D$10=0,
 IF(OR(MONTH(B66)=MONTH(EDATE($D$7,1)),MONTH(B66)=MONTH(EDATE($D$7,2)),MONTH(B66)=MONTH(EDATE($D$7,3)),MONTH(B66)=MONTH(EDATE($D$7,4)), MONTH(B66)=MONTH(EDATE($D$7,5)),MONTH(B66)=MONTH(EDATE($D$7,6)),MONTH(B66)=MONTH(EDATE($D$7,7)),MONTH(B66)=MONTH(EDATE($D$7,8)),MONTH(B66)=MONTH(EDATE($D$7,9)),MONTH(B66)=MONTH(EDATE($D$7,10)),MONTH(B66)=MONTH(EDATE($D$7,11))),(MIN($D$65,H65)),0)))</f>
        <v>0</v>
      </c>
      <c r="F66" s="296">
        <f t="shared" ca="1" si="2"/>
        <v>0</v>
      </c>
      <c r="G66" s="303">
        <f t="shared" ca="1" si="10"/>
        <v>0</v>
      </c>
      <c r="H66" s="296">
        <f t="shared" ca="1" si="11"/>
        <v>2.9996999999999998</v>
      </c>
      <c r="I66" s="297">
        <f t="shared" ca="1" si="3"/>
        <v>-3</v>
      </c>
    </row>
    <row r="67" spans="1:9">
      <c r="A67" s="295">
        <f t="shared" si="7"/>
        <v>50</v>
      </c>
      <c r="B67" s="300">
        <f t="shared" si="13"/>
        <v>1493</v>
      </c>
      <c r="C67" s="296">
        <f t="shared" ca="1" si="8"/>
        <v>2.9996999999999998</v>
      </c>
      <c r="D67" s="296"/>
      <c r="E67" s="296">
        <f t="shared" ca="1" si="20"/>
        <v>-9.0909090909090912E-2</v>
      </c>
      <c r="F67" s="296">
        <f t="shared" ca="1" si="2"/>
        <v>-9.0909090909090912E-2</v>
      </c>
      <c r="G67" s="303">
        <f t="shared" ca="1" si="10"/>
        <v>0</v>
      </c>
      <c r="H67" s="296">
        <f t="shared" ca="1" si="11"/>
        <v>3.0905999999999998</v>
      </c>
      <c r="I67" s="297">
        <f t="shared" ca="1" si="3"/>
        <v>-3</v>
      </c>
    </row>
    <row r="68" spans="1:9">
      <c r="A68" s="295">
        <f t="shared" si="7"/>
        <v>51</v>
      </c>
      <c r="B68" s="300">
        <f t="shared" si="13"/>
        <v>1522</v>
      </c>
      <c r="C68" s="296">
        <f t="shared" ca="1" si="8"/>
        <v>3.0905999999999998</v>
      </c>
      <c r="D68" s="295"/>
      <c r="E68" s="296">
        <f t="shared" ca="1" si="20"/>
        <v>-9.0909090909090912E-2</v>
      </c>
      <c r="F68" s="296">
        <f t="shared" ca="1" si="2"/>
        <v>-9.0909090909090912E-2</v>
      </c>
      <c r="G68" s="303">
        <f t="shared" ca="1" si="10"/>
        <v>0</v>
      </c>
      <c r="H68" s="296">
        <f t="shared" ca="1" si="11"/>
        <v>3.1815000000000002</v>
      </c>
      <c r="I68" s="297">
        <f t="shared" ca="1" si="3"/>
        <v>-3</v>
      </c>
    </row>
    <row r="69" spans="1:9">
      <c r="A69" s="295">
        <f t="shared" si="7"/>
        <v>52</v>
      </c>
      <c r="B69" s="300">
        <f t="shared" si="13"/>
        <v>1553</v>
      </c>
      <c r="C69" s="296">
        <f t="shared" ca="1" si="8"/>
        <v>3.1815000000000002</v>
      </c>
      <c r="D69" s="295"/>
      <c r="E69" s="296">
        <f t="shared" ca="1" si="20"/>
        <v>-9.0909090909090912E-2</v>
      </c>
      <c r="F69" s="296">
        <f t="shared" ca="1" si="2"/>
        <v>-9.0909090909090912E-2</v>
      </c>
      <c r="G69" s="303">
        <f t="shared" ca="1" si="10"/>
        <v>0</v>
      </c>
      <c r="H69" s="296">
        <f t="shared" ca="1" si="11"/>
        <v>3.2724000000000002</v>
      </c>
      <c r="I69" s="297">
        <f t="shared" ca="1" si="3"/>
        <v>-3</v>
      </c>
    </row>
    <row r="70" spans="1:9">
      <c r="A70" s="295">
        <f t="shared" si="7"/>
        <v>53</v>
      </c>
      <c r="B70" s="300">
        <f t="shared" si="13"/>
        <v>1583</v>
      </c>
      <c r="C70" s="296">
        <f t="shared" ca="1" si="8"/>
        <v>3.2724000000000002</v>
      </c>
      <c r="D70" s="295"/>
      <c r="E70" s="296">
        <f t="shared" ca="1" si="20"/>
        <v>-9.0909090909090912E-2</v>
      </c>
      <c r="F70" s="296">
        <f t="shared" ca="1" si="2"/>
        <v>-9.0909090909090912E-2</v>
      </c>
      <c r="G70" s="303">
        <f t="shared" ca="1" si="10"/>
        <v>0</v>
      </c>
      <c r="H70" s="296">
        <f t="shared" ca="1" si="11"/>
        <v>3.3633000000000002</v>
      </c>
      <c r="I70" s="297">
        <f t="shared" ca="1" si="3"/>
        <v>-3</v>
      </c>
    </row>
    <row r="71" spans="1:9">
      <c r="A71" s="295">
        <f t="shared" si="7"/>
        <v>54</v>
      </c>
      <c r="B71" s="300">
        <f t="shared" si="13"/>
        <v>1614</v>
      </c>
      <c r="C71" s="296">
        <f t="shared" ca="1" si="8"/>
        <v>3.3633000000000002</v>
      </c>
      <c r="D71" s="295"/>
      <c r="E71" s="296">
        <f t="shared" ca="1" si="20"/>
        <v>-9.0909090909090912E-2</v>
      </c>
      <c r="F71" s="296">
        <f t="shared" ca="1" si="2"/>
        <v>-9.0909090909090912E-2</v>
      </c>
      <c r="G71" s="303">
        <f t="shared" ca="1" si="10"/>
        <v>0</v>
      </c>
      <c r="H71" s="296">
        <f t="shared" ca="1" si="11"/>
        <v>3.4542000000000002</v>
      </c>
      <c r="I71" s="297">
        <f t="shared" ca="1" si="3"/>
        <v>-3</v>
      </c>
    </row>
    <row r="72" spans="1:9">
      <c r="A72" s="295">
        <f t="shared" si="7"/>
        <v>55</v>
      </c>
      <c r="B72" s="300">
        <f t="shared" si="13"/>
        <v>1644</v>
      </c>
      <c r="C72" s="296">
        <f t="shared" ca="1" si="8"/>
        <v>3.4542000000000002</v>
      </c>
      <c r="D72" s="295"/>
      <c r="E72" s="296">
        <f t="shared" ca="1" si="20"/>
        <v>-9.0909090909090912E-2</v>
      </c>
      <c r="F72" s="296">
        <f t="shared" ca="1" si="2"/>
        <v>-9.0909090909090912E-2</v>
      </c>
      <c r="G72" s="303">
        <f t="shared" ca="1" si="10"/>
        <v>0</v>
      </c>
      <c r="H72" s="296">
        <f t="shared" ca="1" si="11"/>
        <v>3.5451000000000001</v>
      </c>
      <c r="I72" s="297">
        <f t="shared" ca="1" si="3"/>
        <v>-4</v>
      </c>
    </row>
    <row r="73" spans="1:9">
      <c r="A73" s="295">
        <f t="shared" si="7"/>
        <v>56</v>
      </c>
      <c r="B73" s="300">
        <f t="shared" si="13"/>
        <v>1675</v>
      </c>
      <c r="C73" s="296">
        <f t="shared" ca="1" si="8"/>
        <v>3.5451000000000001</v>
      </c>
      <c r="D73" s="295"/>
      <c r="E73" s="296">
        <f t="shared" ca="1" si="20"/>
        <v>-9.0909090909090912E-2</v>
      </c>
      <c r="F73" s="296">
        <f t="shared" ca="1" si="2"/>
        <v>-9.0909090909090912E-2</v>
      </c>
      <c r="G73" s="303">
        <f t="shared" ca="1" si="10"/>
        <v>0</v>
      </c>
      <c r="H73" s="296">
        <f t="shared" ca="1" si="11"/>
        <v>3.6360000000000001</v>
      </c>
      <c r="I73" s="297">
        <f t="shared" ca="1" si="3"/>
        <v>-4</v>
      </c>
    </row>
    <row r="74" spans="1:9">
      <c r="A74" s="295">
        <f t="shared" si="7"/>
        <v>57</v>
      </c>
      <c r="B74" s="300">
        <f t="shared" si="13"/>
        <v>1706</v>
      </c>
      <c r="C74" s="296">
        <f t="shared" ca="1" si="8"/>
        <v>3.6360000000000001</v>
      </c>
      <c r="D74" s="295"/>
      <c r="E74" s="296">
        <f t="shared" ca="1" si="20"/>
        <v>-9.0909090909090912E-2</v>
      </c>
      <c r="F74" s="296">
        <f t="shared" ca="1" si="2"/>
        <v>-9.0909090909090912E-2</v>
      </c>
      <c r="G74" s="303">
        <f t="shared" ca="1" si="10"/>
        <v>0</v>
      </c>
      <c r="H74" s="296">
        <f t="shared" ca="1" si="11"/>
        <v>3.7269000000000001</v>
      </c>
      <c r="I74" s="297">
        <f t="shared" ca="1" si="3"/>
        <v>-4</v>
      </c>
    </row>
    <row r="75" spans="1:9">
      <c r="A75" s="295">
        <f t="shared" si="7"/>
        <v>58</v>
      </c>
      <c r="B75" s="300">
        <f t="shared" si="13"/>
        <v>1736</v>
      </c>
      <c r="C75" s="296">
        <f t="shared" ca="1" si="8"/>
        <v>3.7269000000000001</v>
      </c>
      <c r="D75" s="295"/>
      <c r="E75" s="296">
        <f t="shared" ca="1" si="20"/>
        <v>-9.0909090909090912E-2</v>
      </c>
      <c r="F75" s="296">
        <f t="shared" ca="1" si="2"/>
        <v>-9.0909090909090912E-2</v>
      </c>
      <c r="G75" s="303">
        <f t="shared" ca="1" si="10"/>
        <v>0</v>
      </c>
      <c r="H75" s="296">
        <f t="shared" ca="1" si="11"/>
        <v>3.8178000000000001</v>
      </c>
      <c r="I75" s="297">
        <f t="shared" ca="1" si="3"/>
        <v>-4</v>
      </c>
    </row>
    <row r="76" spans="1:9">
      <c r="A76" s="295">
        <f t="shared" si="7"/>
        <v>59</v>
      </c>
      <c r="B76" s="300">
        <f t="shared" si="13"/>
        <v>1767</v>
      </c>
      <c r="C76" s="296">
        <f t="shared" ca="1" si="8"/>
        <v>3.8178000000000001</v>
      </c>
      <c r="D76" s="295"/>
      <c r="E76" s="296">
        <f t="shared" ca="1" si="20"/>
        <v>-9.0909090909090912E-2</v>
      </c>
      <c r="F76" s="296">
        <f t="shared" ca="1" si="2"/>
        <v>-9.0909090909090912E-2</v>
      </c>
      <c r="G76" s="303">
        <f t="shared" ca="1" si="10"/>
        <v>0</v>
      </c>
      <c r="H76" s="296">
        <f t="shared" ca="1" si="11"/>
        <v>3.9087000000000001</v>
      </c>
      <c r="I76" s="297">
        <f t="shared" ca="1" si="3"/>
        <v>-4</v>
      </c>
    </row>
    <row r="77" spans="1:9">
      <c r="A77" s="295">
        <f t="shared" si="7"/>
        <v>60</v>
      </c>
      <c r="B77" s="300">
        <f t="shared" si="13"/>
        <v>1797</v>
      </c>
      <c r="C77" s="296">
        <f t="shared" ca="1" si="8"/>
        <v>3.9087000000000001</v>
      </c>
      <c r="D77" s="296">
        <f ca="1">IF(H77&lt;0,0,(K22-L22)/11)</f>
        <v>-9.0909090909090912E-2</v>
      </c>
      <c r="E77" s="296">
        <f t="shared" ca="1" si="20"/>
        <v>-9.0909090909090912E-2</v>
      </c>
      <c r="F77" s="296">
        <f t="shared" ca="1" si="2"/>
        <v>-9.0909090909090912E-2</v>
      </c>
      <c r="G77" s="303">
        <f t="shared" ca="1" si="10"/>
        <v>0</v>
      </c>
      <c r="H77" s="296">
        <f t="shared" ca="1" si="11"/>
        <v>3.9996</v>
      </c>
      <c r="I77" s="297">
        <f t="shared" ca="1" si="3"/>
        <v>-4</v>
      </c>
    </row>
    <row r="78" spans="1:9">
      <c r="A78" s="295">
        <f t="shared" si="7"/>
        <v>61</v>
      </c>
      <c r="B78" s="300">
        <f t="shared" si="13"/>
        <v>1828</v>
      </c>
      <c r="C78" s="296">
        <f t="shared" ca="1" si="8"/>
        <v>3.9996</v>
      </c>
      <c r="D78" s="296"/>
      <c r="E78" s="296">
        <f t="shared" ref="E78:E89" si="21">IF($D$10=1,
 IF(OR(MONTH(B78)=MONTH(EDATE($D$7,0)),MONTH(B78)=MONTH(EDATE($D$7,1)),MONTH(B78)=MONTH(EDATE($D$7,2)),MONTH(B78)=MONTH(EDATE($D$7,3)), MONTH(B78)=MONTH(EDATE($D$7,4)),MONTH(B78)=MONTH(EDATE($D$7,5)),MONTH(B78)=MONTH(EDATE($D$7,6)),MONTH(B78)=MONTH(EDATE($D$7,7)),MONTH(B78)=MONTH(EDATE($D$7,8)),MONTH(B78)=MONTH(EDATE($D$7,9)),MONTH(B78)=MONTH(EDATE($D$7,10))),(MIN($D$77,H77)),0),
IF($D$10=0,
 IF(OR(MONTH(B78)=MONTH(EDATE($D$7,1)),MONTH(B78)=MONTH(EDATE($D$7,2)),MONTH(B78)=MONTH(EDATE($D$7,3)),MONTH(B78)=MONTH(EDATE($D$7,4)), MONTH(B78)=MONTH(EDATE($D$7,5)),MONTH(B78)=MONTH(EDATE($D$7,6)),MONTH(B78)=MONTH(EDATE($D$7,7)),MONTH(B78)=MONTH(EDATE($D$7,8)),MONTH(B78)=MONTH(EDATE($D$7,9)),MONTH(B78)=MONTH(EDATE($D$7,10)),MONTH(B78)=MONTH(EDATE($D$7,11))),(MIN($D$77,H77)),0)))</f>
        <v>0</v>
      </c>
      <c r="F78" s="296">
        <f t="shared" ca="1" si="2"/>
        <v>0</v>
      </c>
      <c r="G78" s="303">
        <f t="shared" ca="1" si="10"/>
        <v>0</v>
      </c>
      <c r="H78" s="296">
        <f t="shared" ca="1" si="11"/>
        <v>3.9996</v>
      </c>
      <c r="I78" s="297">
        <f t="shared" ca="1" si="3"/>
        <v>-4</v>
      </c>
    </row>
    <row r="79" spans="1:9">
      <c r="A79" s="295">
        <f t="shared" si="7"/>
        <v>62</v>
      </c>
      <c r="B79" s="300">
        <f t="shared" si="13"/>
        <v>1859</v>
      </c>
      <c r="C79" s="296">
        <f t="shared" ca="1" si="8"/>
        <v>3.9996</v>
      </c>
      <c r="D79" s="296"/>
      <c r="E79" s="296">
        <f t="shared" ca="1" si="21"/>
        <v>-9.0909090909090912E-2</v>
      </c>
      <c r="F79" s="296">
        <f t="shared" ca="1" si="2"/>
        <v>-9.0909090909090912E-2</v>
      </c>
      <c r="G79" s="303">
        <f t="shared" ca="1" si="10"/>
        <v>0</v>
      </c>
      <c r="H79" s="296">
        <f t="shared" ca="1" si="11"/>
        <v>4.0904999999999996</v>
      </c>
      <c r="I79" s="297">
        <f t="shared" ca="1" si="3"/>
        <v>-4</v>
      </c>
    </row>
    <row r="80" spans="1:9">
      <c r="A80" s="295">
        <f t="shared" si="7"/>
        <v>63</v>
      </c>
      <c r="B80" s="300">
        <f t="shared" si="13"/>
        <v>1887</v>
      </c>
      <c r="C80" s="296">
        <f t="shared" ca="1" si="8"/>
        <v>4.0904999999999996</v>
      </c>
      <c r="D80" s="295"/>
      <c r="E80" s="296">
        <f t="shared" ca="1" si="21"/>
        <v>-9.0909090909090912E-2</v>
      </c>
      <c r="F80" s="296">
        <f t="shared" ca="1" si="2"/>
        <v>-9.0909090909090912E-2</v>
      </c>
      <c r="G80" s="303">
        <f t="shared" ca="1" si="10"/>
        <v>0</v>
      </c>
      <c r="H80" s="296">
        <f t="shared" ca="1" si="11"/>
        <v>4.1814</v>
      </c>
      <c r="I80" s="297">
        <f t="shared" ca="1" si="3"/>
        <v>-4</v>
      </c>
    </row>
    <row r="81" spans="1:9">
      <c r="A81" s="295">
        <f t="shared" si="7"/>
        <v>64</v>
      </c>
      <c r="B81" s="300">
        <f t="shared" si="13"/>
        <v>1918</v>
      </c>
      <c r="C81" s="296">
        <f t="shared" ca="1" si="8"/>
        <v>4.1814</v>
      </c>
      <c r="D81" s="295"/>
      <c r="E81" s="296">
        <f t="shared" ca="1" si="21"/>
        <v>-9.0909090909090912E-2</v>
      </c>
      <c r="F81" s="296">
        <f t="shared" ca="1" si="2"/>
        <v>-9.0909090909090912E-2</v>
      </c>
      <c r="G81" s="303">
        <f t="shared" ca="1" si="10"/>
        <v>0</v>
      </c>
      <c r="H81" s="296">
        <f t="shared" ca="1" si="11"/>
        <v>4.2723000000000004</v>
      </c>
      <c r="I81" s="297">
        <f t="shared" ca="1" si="3"/>
        <v>-4</v>
      </c>
    </row>
    <row r="82" spans="1:9">
      <c r="A82" s="295">
        <f t="shared" si="7"/>
        <v>65</v>
      </c>
      <c r="B82" s="300">
        <f t="shared" si="13"/>
        <v>1948</v>
      </c>
      <c r="C82" s="296">
        <f t="shared" ca="1" si="8"/>
        <v>4.2723000000000004</v>
      </c>
      <c r="D82" s="295"/>
      <c r="E82" s="296">
        <f t="shared" ca="1" si="21"/>
        <v>-9.0909090909090912E-2</v>
      </c>
      <c r="F82" s="296">
        <f t="shared" ref="F82:F145" ca="1" si="22">IF(E82="","",E82-G82)</f>
        <v>-9.0909090909090912E-2</v>
      </c>
      <c r="G82" s="303">
        <f t="shared" ca="1" si="10"/>
        <v>0</v>
      </c>
      <c r="H82" s="296">
        <f t="shared" ca="1" si="11"/>
        <v>4.3632</v>
      </c>
      <c r="I82" s="297">
        <f t="shared" ref="I82:I145" ca="1" si="23">ROUND((D82-H82),0)</f>
        <v>-4</v>
      </c>
    </row>
    <row r="83" spans="1:9">
      <c r="A83" s="295">
        <f t="shared" ref="A83:A146" si="24">IF(A82="","",IF(A82=$D$6,"",A82+1))</f>
        <v>66</v>
      </c>
      <c r="B83" s="300">
        <f t="shared" si="13"/>
        <v>1979</v>
      </c>
      <c r="C83" s="296">
        <f t="shared" ref="C83:C146" ca="1" si="25">IF(H82=0,0,H82)</f>
        <v>4.3632</v>
      </c>
      <c r="D83" s="295"/>
      <c r="E83" s="296">
        <f t="shared" ca="1" si="21"/>
        <v>-9.0909090909090912E-2</v>
      </c>
      <c r="F83" s="296">
        <f t="shared" ca="1" si="22"/>
        <v>-9.0909090909090912E-2</v>
      </c>
      <c r="G83" s="303">
        <f t="shared" ref="G83:G146" ca="1" si="26">ROUND((C83-E83)*$D$5,3)</f>
        <v>0</v>
      </c>
      <c r="H83" s="296">
        <f t="shared" ref="H83:H146" ca="1" si="27">IF(E83="","",ROUND(H82-F83,4))</f>
        <v>4.4541000000000004</v>
      </c>
      <c r="I83" s="297">
        <f t="shared" ca="1" si="23"/>
        <v>-4</v>
      </c>
    </row>
    <row r="84" spans="1:9">
      <c r="A84" s="295">
        <f t="shared" si="24"/>
        <v>67</v>
      </c>
      <c r="B84" s="300">
        <f t="shared" ref="B84:B147" si="28">DATE(YEAR(B83),MONTH(B83)+1,1)</f>
        <v>2009</v>
      </c>
      <c r="C84" s="296">
        <f t="shared" ca="1" si="25"/>
        <v>4.4541000000000004</v>
      </c>
      <c r="D84" s="295"/>
      <c r="E84" s="296">
        <f t="shared" ca="1" si="21"/>
        <v>-9.0909090909090912E-2</v>
      </c>
      <c r="F84" s="296">
        <f t="shared" ca="1" si="22"/>
        <v>-9.0909090909090912E-2</v>
      </c>
      <c r="G84" s="303">
        <f t="shared" ca="1" si="26"/>
        <v>0</v>
      </c>
      <c r="H84" s="296">
        <f t="shared" ca="1" si="27"/>
        <v>4.5449999999999999</v>
      </c>
      <c r="I84" s="297">
        <f t="shared" ca="1" si="23"/>
        <v>-5</v>
      </c>
    </row>
    <row r="85" spans="1:9">
      <c r="A85" s="295">
        <f t="shared" si="24"/>
        <v>68</v>
      </c>
      <c r="B85" s="300">
        <f t="shared" si="28"/>
        <v>2040</v>
      </c>
      <c r="C85" s="296">
        <f t="shared" ca="1" si="25"/>
        <v>4.5449999999999999</v>
      </c>
      <c r="D85" s="295"/>
      <c r="E85" s="296">
        <f t="shared" ca="1" si="21"/>
        <v>-9.0909090909090912E-2</v>
      </c>
      <c r="F85" s="296">
        <f t="shared" ca="1" si="22"/>
        <v>-9.0909090909090912E-2</v>
      </c>
      <c r="G85" s="303">
        <f t="shared" ca="1" si="26"/>
        <v>0</v>
      </c>
      <c r="H85" s="296">
        <f t="shared" ca="1" si="27"/>
        <v>4.6359000000000004</v>
      </c>
      <c r="I85" s="297">
        <f t="shared" ca="1" si="23"/>
        <v>-5</v>
      </c>
    </row>
    <row r="86" spans="1:9">
      <c r="A86" s="295">
        <f t="shared" si="24"/>
        <v>69</v>
      </c>
      <c r="B86" s="300">
        <f t="shared" si="28"/>
        <v>2071</v>
      </c>
      <c r="C86" s="296">
        <f t="shared" ca="1" si="25"/>
        <v>4.6359000000000004</v>
      </c>
      <c r="D86" s="295"/>
      <c r="E86" s="296">
        <f t="shared" ca="1" si="21"/>
        <v>-9.0909090909090912E-2</v>
      </c>
      <c r="F86" s="296">
        <f t="shared" ca="1" si="22"/>
        <v>-9.0909090909090912E-2</v>
      </c>
      <c r="G86" s="303">
        <f t="shared" ca="1" si="26"/>
        <v>0</v>
      </c>
      <c r="H86" s="296">
        <f t="shared" ca="1" si="27"/>
        <v>4.7267999999999999</v>
      </c>
      <c r="I86" s="297">
        <f t="shared" ca="1" si="23"/>
        <v>-5</v>
      </c>
    </row>
    <row r="87" spans="1:9">
      <c r="A87" s="295">
        <f t="shared" si="24"/>
        <v>70</v>
      </c>
      <c r="B87" s="300">
        <f t="shared" si="28"/>
        <v>2101</v>
      </c>
      <c r="C87" s="296">
        <f t="shared" ca="1" si="25"/>
        <v>4.7267999999999999</v>
      </c>
      <c r="D87" s="295"/>
      <c r="E87" s="296">
        <f t="shared" ca="1" si="21"/>
        <v>-9.0909090909090912E-2</v>
      </c>
      <c r="F87" s="296">
        <f t="shared" ca="1" si="22"/>
        <v>-9.0909090909090912E-2</v>
      </c>
      <c r="G87" s="303">
        <f t="shared" ca="1" si="26"/>
        <v>0</v>
      </c>
      <c r="H87" s="296">
        <f t="shared" ca="1" si="27"/>
        <v>4.8177000000000003</v>
      </c>
      <c r="I87" s="297">
        <f t="shared" ca="1" si="23"/>
        <v>-5</v>
      </c>
    </row>
    <row r="88" spans="1:9">
      <c r="A88" s="295">
        <f t="shared" si="24"/>
        <v>71</v>
      </c>
      <c r="B88" s="300">
        <f t="shared" si="28"/>
        <v>2132</v>
      </c>
      <c r="C88" s="296">
        <f t="shared" ca="1" si="25"/>
        <v>4.8177000000000003</v>
      </c>
      <c r="D88" s="295"/>
      <c r="E88" s="296">
        <f t="shared" ca="1" si="21"/>
        <v>-9.0909090909090912E-2</v>
      </c>
      <c r="F88" s="296">
        <f t="shared" ca="1" si="22"/>
        <v>-9.0909090909090912E-2</v>
      </c>
      <c r="G88" s="303">
        <f t="shared" ca="1" si="26"/>
        <v>0</v>
      </c>
      <c r="H88" s="296">
        <f t="shared" ca="1" si="27"/>
        <v>4.9085999999999999</v>
      </c>
      <c r="I88" s="297">
        <f t="shared" ca="1" si="23"/>
        <v>-5</v>
      </c>
    </row>
    <row r="89" spans="1:9">
      <c r="A89" s="295">
        <f t="shared" si="24"/>
        <v>72</v>
      </c>
      <c r="B89" s="300">
        <f t="shared" si="28"/>
        <v>2162</v>
      </c>
      <c r="C89" s="296">
        <f t="shared" ca="1" si="25"/>
        <v>4.9085999999999999</v>
      </c>
      <c r="D89" s="296">
        <f ca="1">IF(H89&lt;0,0,(K23-L23)/11)</f>
        <v>-9.0909090909090912E-2</v>
      </c>
      <c r="E89" s="296">
        <f t="shared" ca="1" si="21"/>
        <v>-9.0909090909090912E-2</v>
      </c>
      <c r="F89" s="296">
        <f t="shared" ca="1" si="22"/>
        <v>-9.0909090909090912E-2</v>
      </c>
      <c r="G89" s="303">
        <f t="shared" ca="1" si="26"/>
        <v>0</v>
      </c>
      <c r="H89" s="296">
        <f t="shared" ca="1" si="27"/>
        <v>4.9995000000000003</v>
      </c>
      <c r="I89" s="297">
        <f t="shared" ca="1" si="23"/>
        <v>-5</v>
      </c>
    </row>
    <row r="90" spans="1:9">
      <c r="A90" s="295">
        <f t="shared" si="24"/>
        <v>73</v>
      </c>
      <c r="B90" s="300">
        <f t="shared" si="28"/>
        <v>2193</v>
      </c>
      <c r="C90" s="296">
        <f t="shared" ca="1" si="25"/>
        <v>4.9995000000000003</v>
      </c>
      <c r="D90" s="296"/>
      <c r="E90" s="296">
        <f t="shared" ref="E90:E101" si="29">IF($D$10=1,
 IF(OR(MONTH(B90)=MONTH(EDATE($D$7,0)),MONTH(B90)=MONTH(EDATE($D$7,1)),MONTH(B90)=MONTH(EDATE($D$7,2)),MONTH(B90)=MONTH(EDATE($D$7,3)), MONTH(B90)=MONTH(EDATE($D$7,4)),MONTH(B90)=MONTH(EDATE($D$7,5)),MONTH(B90)=MONTH(EDATE($D$7,6)),MONTH(B90)=MONTH(EDATE($D$7,7)),MONTH(B90)=MONTH(EDATE($D$7,8)),MONTH(B90)=MONTH(EDATE($D$7,9)),MONTH(B90)=MONTH(EDATE($D$7,10))),(MIN($D$89,H89)),0),
IF($D$10=0,
 IF(OR(MONTH(B90)=MONTH(EDATE($D$7,1)),MONTH(B90)=MONTH(EDATE($D$7,2)),MONTH(B90)=MONTH(EDATE($D$7,3)),MONTH(B90)=MONTH(EDATE($D$7,4)), MONTH(B90)=MONTH(EDATE($D$7,5)),MONTH(B90)=MONTH(EDATE($D$7,6)),MONTH(B90)=MONTH(EDATE($D$7,7)),MONTH(B90)=MONTH(EDATE($D$7,8)),MONTH(B90)=MONTH(EDATE($D$7,9)),MONTH(B90)=MONTH(EDATE($D$7,10)),MONTH(B90)=MONTH(EDATE($D$7,11))),(MIN($D$89,H89)),0)))</f>
        <v>0</v>
      </c>
      <c r="F90" s="296">
        <f t="shared" ca="1" si="22"/>
        <v>0</v>
      </c>
      <c r="G90" s="303">
        <f t="shared" ca="1" si="26"/>
        <v>0</v>
      </c>
      <c r="H90" s="296">
        <f t="shared" ca="1" si="27"/>
        <v>4.9995000000000003</v>
      </c>
      <c r="I90" s="297">
        <f t="shared" ca="1" si="23"/>
        <v>-5</v>
      </c>
    </row>
    <row r="91" spans="1:9">
      <c r="A91" s="295">
        <f t="shared" si="24"/>
        <v>74</v>
      </c>
      <c r="B91" s="300">
        <f t="shared" si="28"/>
        <v>2224</v>
      </c>
      <c r="C91" s="296">
        <f t="shared" ca="1" si="25"/>
        <v>4.9995000000000003</v>
      </c>
      <c r="D91" s="296"/>
      <c r="E91" s="296">
        <f t="shared" ca="1" si="29"/>
        <v>-9.0909090909090912E-2</v>
      </c>
      <c r="F91" s="296">
        <f t="shared" ca="1" si="22"/>
        <v>-9.0909090909090912E-2</v>
      </c>
      <c r="G91" s="303">
        <f t="shared" ca="1" si="26"/>
        <v>0</v>
      </c>
      <c r="H91" s="296">
        <f t="shared" ca="1" si="27"/>
        <v>5.0903999999999998</v>
      </c>
      <c r="I91" s="297">
        <f t="shared" ca="1" si="23"/>
        <v>-5</v>
      </c>
    </row>
    <row r="92" spans="1:9">
      <c r="A92" s="295">
        <f t="shared" si="24"/>
        <v>75</v>
      </c>
      <c r="B92" s="300">
        <f t="shared" si="28"/>
        <v>2252</v>
      </c>
      <c r="C92" s="296">
        <f t="shared" ca="1" si="25"/>
        <v>5.0903999999999998</v>
      </c>
      <c r="D92" s="295"/>
      <c r="E92" s="296">
        <f t="shared" ca="1" si="29"/>
        <v>-9.0909090909090912E-2</v>
      </c>
      <c r="F92" s="296">
        <f t="shared" ca="1" si="22"/>
        <v>-9.0909090909090912E-2</v>
      </c>
      <c r="G92" s="303">
        <f t="shared" ca="1" si="26"/>
        <v>0</v>
      </c>
      <c r="H92" s="296">
        <f t="shared" ca="1" si="27"/>
        <v>5.1813000000000002</v>
      </c>
      <c r="I92" s="297">
        <f t="shared" ca="1" si="23"/>
        <v>-5</v>
      </c>
    </row>
    <row r="93" spans="1:9">
      <c r="A93" s="295">
        <f t="shared" si="24"/>
        <v>76</v>
      </c>
      <c r="B93" s="300">
        <f t="shared" si="28"/>
        <v>2283</v>
      </c>
      <c r="C93" s="296">
        <f t="shared" ca="1" si="25"/>
        <v>5.1813000000000002</v>
      </c>
      <c r="D93" s="295"/>
      <c r="E93" s="296">
        <f t="shared" ca="1" si="29"/>
        <v>-9.0909090909090912E-2</v>
      </c>
      <c r="F93" s="296">
        <f t="shared" ca="1" si="22"/>
        <v>-9.0909090909090912E-2</v>
      </c>
      <c r="G93" s="303">
        <f t="shared" ca="1" si="26"/>
        <v>0</v>
      </c>
      <c r="H93" s="296">
        <f t="shared" ca="1" si="27"/>
        <v>5.2721999999999998</v>
      </c>
      <c r="I93" s="297">
        <f t="shared" ca="1" si="23"/>
        <v>-5</v>
      </c>
    </row>
    <row r="94" spans="1:9">
      <c r="A94" s="295">
        <f t="shared" si="24"/>
        <v>77</v>
      </c>
      <c r="B94" s="300">
        <f t="shared" si="28"/>
        <v>2313</v>
      </c>
      <c r="C94" s="296">
        <f t="shared" ca="1" si="25"/>
        <v>5.2721999999999998</v>
      </c>
      <c r="D94" s="295"/>
      <c r="E94" s="296">
        <f t="shared" ca="1" si="29"/>
        <v>-9.0909090909090912E-2</v>
      </c>
      <c r="F94" s="296">
        <f t="shared" ca="1" si="22"/>
        <v>-9.0909090909090912E-2</v>
      </c>
      <c r="G94" s="303">
        <f t="shared" ca="1" si="26"/>
        <v>0</v>
      </c>
      <c r="H94" s="296">
        <f t="shared" ca="1" si="27"/>
        <v>5.3631000000000002</v>
      </c>
      <c r="I94" s="297">
        <f t="shared" ca="1" si="23"/>
        <v>-5</v>
      </c>
    </row>
    <row r="95" spans="1:9">
      <c r="A95" s="295">
        <f t="shared" si="24"/>
        <v>78</v>
      </c>
      <c r="B95" s="300">
        <f t="shared" si="28"/>
        <v>2344</v>
      </c>
      <c r="C95" s="296">
        <f t="shared" ca="1" si="25"/>
        <v>5.3631000000000002</v>
      </c>
      <c r="D95" s="295"/>
      <c r="E95" s="296">
        <f t="shared" ca="1" si="29"/>
        <v>-9.0909090909090912E-2</v>
      </c>
      <c r="F95" s="296">
        <f t="shared" ca="1" si="22"/>
        <v>-9.0909090909090912E-2</v>
      </c>
      <c r="G95" s="303">
        <f t="shared" ca="1" si="26"/>
        <v>0</v>
      </c>
      <c r="H95" s="296">
        <f t="shared" ca="1" si="27"/>
        <v>5.4539999999999997</v>
      </c>
      <c r="I95" s="297">
        <f t="shared" ca="1" si="23"/>
        <v>-5</v>
      </c>
    </row>
    <row r="96" spans="1:9">
      <c r="A96" s="295">
        <f t="shared" si="24"/>
        <v>79</v>
      </c>
      <c r="B96" s="300">
        <f t="shared" si="28"/>
        <v>2374</v>
      </c>
      <c r="C96" s="296">
        <f t="shared" ca="1" si="25"/>
        <v>5.4539999999999997</v>
      </c>
      <c r="D96" s="295"/>
      <c r="E96" s="296">
        <f t="shared" ca="1" si="29"/>
        <v>-9.0909090909090912E-2</v>
      </c>
      <c r="F96" s="296">
        <f t="shared" ca="1" si="22"/>
        <v>-9.0909090909090912E-2</v>
      </c>
      <c r="G96" s="303">
        <f t="shared" ca="1" si="26"/>
        <v>0</v>
      </c>
      <c r="H96" s="296">
        <f t="shared" ca="1" si="27"/>
        <v>5.5449000000000002</v>
      </c>
      <c r="I96" s="297">
        <f t="shared" ca="1" si="23"/>
        <v>-6</v>
      </c>
    </row>
    <row r="97" spans="1:9">
      <c r="A97" s="295">
        <f t="shared" si="24"/>
        <v>80</v>
      </c>
      <c r="B97" s="300">
        <f t="shared" si="28"/>
        <v>2405</v>
      </c>
      <c r="C97" s="296">
        <f t="shared" ca="1" si="25"/>
        <v>5.5449000000000002</v>
      </c>
      <c r="D97" s="295"/>
      <c r="E97" s="296">
        <f t="shared" ca="1" si="29"/>
        <v>-9.0909090909090912E-2</v>
      </c>
      <c r="F97" s="296">
        <f t="shared" ca="1" si="22"/>
        <v>-9.0909090909090912E-2</v>
      </c>
      <c r="G97" s="303">
        <f t="shared" ca="1" si="26"/>
        <v>0</v>
      </c>
      <c r="H97" s="296">
        <f t="shared" ca="1" si="27"/>
        <v>5.6357999999999997</v>
      </c>
      <c r="I97" s="297">
        <f t="shared" ca="1" si="23"/>
        <v>-6</v>
      </c>
    </row>
    <row r="98" spans="1:9">
      <c r="A98" s="295">
        <f t="shared" si="24"/>
        <v>81</v>
      </c>
      <c r="B98" s="300">
        <f t="shared" si="28"/>
        <v>2436</v>
      </c>
      <c r="C98" s="296">
        <f t="shared" ca="1" si="25"/>
        <v>5.6357999999999997</v>
      </c>
      <c r="D98" s="295"/>
      <c r="E98" s="296">
        <f t="shared" ca="1" si="29"/>
        <v>-9.0909090909090912E-2</v>
      </c>
      <c r="F98" s="296">
        <f t="shared" ca="1" si="22"/>
        <v>-9.0909090909090912E-2</v>
      </c>
      <c r="G98" s="303">
        <f t="shared" ca="1" si="26"/>
        <v>0</v>
      </c>
      <c r="H98" s="296">
        <f t="shared" ca="1" si="27"/>
        <v>5.7267000000000001</v>
      </c>
      <c r="I98" s="297">
        <f t="shared" ca="1" si="23"/>
        <v>-6</v>
      </c>
    </row>
    <row r="99" spans="1:9">
      <c r="A99" s="295">
        <f t="shared" si="24"/>
        <v>82</v>
      </c>
      <c r="B99" s="300">
        <f t="shared" si="28"/>
        <v>2466</v>
      </c>
      <c r="C99" s="296">
        <f t="shared" ca="1" si="25"/>
        <v>5.7267000000000001</v>
      </c>
      <c r="D99" s="295"/>
      <c r="E99" s="296">
        <f t="shared" ca="1" si="29"/>
        <v>-9.0909090909090912E-2</v>
      </c>
      <c r="F99" s="296">
        <f t="shared" ca="1" si="22"/>
        <v>-9.0909090909090912E-2</v>
      </c>
      <c r="G99" s="303">
        <f t="shared" ca="1" si="26"/>
        <v>0</v>
      </c>
      <c r="H99" s="296">
        <f t="shared" ca="1" si="27"/>
        <v>5.8175999999999997</v>
      </c>
      <c r="I99" s="297">
        <f t="shared" ca="1" si="23"/>
        <v>-6</v>
      </c>
    </row>
    <row r="100" spans="1:9">
      <c r="A100" s="295">
        <f t="shared" si="24"/>
        <v>83</v>
      </c>
      <c r="B100" s="300">
        <f t="shared" si="28"/>
        <v>2497</v>
      </c>
      <c r="C100" s="296">
        <f t="shared" ca="1" si="25"/>
        <v>5.8175999999999997</v>
      </c>
      <c r="D100" s="295"/>
      <c r="E100" s="296">
        <f t="shared" ca="1" si="29"/>
        <v>-9.0909090909090912E-2</v>
      </c>
      <c r="F100" s="296">
        <f t="shared" ca="1" si="22"/>
        <v>-9.0909090909090912E-2</v>
      </c>
      <c r="G100" s="303">
        <f t="shared" ca="1" si="26"/>
        <v>0</v>
      </c>
      <c r="H100" s="296">
        <f t="shared" ca="1" si="27"/>
        <v>5.9085000000000001</v>
      </c>
      <c r="I100" s="297">
        <f t="shared" ca="1" si="23"/>
        <v>-6</v>
      </c>
    </row>
    <row r="101" spans="1:9">
      <c r="A101" s="295">
        <f t="shared" si="24"/>
        <v>84</v>
      </c>
      <c r="B101" s="300">
        <f t="shared" si="28"/>
        <v>2527</v>
      </c>
      <c r="C101" s="296">
        <f t="shared" ca="1" si="25"/>
        <v>5.9085000000000001</v>
      </c>
      <c r="D101" s="296">
        <f ca="1">IF(H101&lt;0,0,(K24-L24)/11)</f>
        <v>-9.0909090909090912E-2</v>
      </c>
      <c r="E101" s="296">
        <f t="shared" ca="1" si="29"/>
        <v>-9.0909090909090912E-2</v>
      </c>
      <c r="F101" s="296">
        <f t="shared" ca="1" si="22"/>
        <v>-9.0909090909090912E-2</v>
      </c>
      <c r="G101" s="303">
        <f t="shared" ca="1" si="26"/>
        <v>0</v>
      </c>
      <c r="H101" s="296">
        <f t="shared" ca="1" si="27"/>
        <v>5.9993999999999996</v>
      </c>
      <c r="I101" s="297">
        <f t="shared" ca="1" si="23"/>
        <v>-6</v>
      </c>
    </row>
    <row r="102" spans="1:9">
      <c r="A102" s="295">
        <f t="shared" si="24"/>
        <v>85</v>
      </c>
      <c r="B102" s="300">
        <f t="shared" si="28"/>
        <v>2558</v>
      </c>
      <c r="C102" s="296">
        <f t="shared" ca="1" si="25"/>
        <v>5.9993999999999996</v>
      </c>
      <c r="D102" s="296"/>
      <c r="E102" s="296">
        <f t="shared" ref="E102:E113" si="30">IF($D$10=1,
 IF(OR(MONTH(B102)=MONTH(EDATE($D$7,0)),MONTH(B102)=MONTH(EDATE($D$7,1)),MONTH(B102)=MONTH(EDATE($D$7,2)),MONTH(B102)=MONTH(EDATE($D$7,3)), MONTH(B102)=MONTH(EDATE($D$7,4)),MONTH(B102)=MONTH(EDATE($D$7,5)),MONTH(B102)=MONTH(EDATE($D$7,6)),MONTH(B102)=MONTH(EDATE($D$7,7)),MONTH(B102)=MONTH(EDATE($D$7,8)),MONTH(B102)=MONTH(EDATE($D$7,9)),MONTH(B102)=MONTH(EDATE($D$7,10))),(MIN($D$101,H101)),0),
IF($D$10=0,
 IF(OR(MONTH(B102)=MONTH(EDATE($D$7,1)),MONTH(B102)=MONTH(EDATE($D$7,2)),MONTH(B102)=MONTH(EDATE($D$7,3)),MONTH(B102)=MONTH(EDATE($D$7,4)), MONTH(B102)=MONTH(EDATE($D$7,5)),MONTH(B102)=MONTH(EDATE($D$7,6)),MONTH(B102)=MONTH(EDATE($D$7,7)),MONTH(B102)=MONTH(EDATE($D$7,8)),MONTH(B102)=MONTH(EDATE($D$7,9)),MONTH(B102)=MONTH(EDATE($D$7,10)),MONTH(B102)=MONTH(EDATE($D$7,11))),(MIN($D$101,H101)),0)))</f>
        <v>0</v>
      </c>
      <c r="F102" s="296">
        <f t="shared" ca="1" si="22"/>
        <v>0</v>
      </c>
      <c r="G102" s="303">
        <f t="shared" ca="1" si="26"/>
        <v>0</v>
      </c>
      <c r="H102" s="296">
        <f t="shared" ca="1" si="27"/>
        <v>5.9993999999999996</v>
      </c>
      <c r="I102" s="297">
        <f t="shared" ca="1" si="23"/>
        <v>-6</v>
      </c>
    </row>
    <row r="103" spans="1:9">
      <c r="A103" s="295">
        <f t="shared" si="24"/>
        <v>86</v>
      </c>
      <c r="B103" s="300">
        <f t="shared" si="28"/>
        <v>2589</v>
      </c>
      <c r="C103" s="296">
        <f t="shared" ca="1" si="25"/>
        <v>5.9993999999999996</v>
      </c>
      <c r="D103" s="295"/>
      <c r="E103" s="296">
        <f t="shared" ca="1" si="30"/>
        <v>-9.0909090909090912E-2</v>
      </c>
      <c r="F103" s="296">
        <f t="shared" ca="1" si="22"/>
        <v>-9.0909090909090912E-2</v>
      </c>
      <c r="G103" s="303">
        <f t="shared" ca="1" si="26"/>
        <v>0</v>
      </c>
      <c r="H103" s="296">
        <f t="shared" ca="1" si="27"/>
        <v>6.0903</v>
      </c>
      <c r="I103" s="297">
        <f t="shared" ca="1" si="23"/>
        <v>-6</v>
      </c>
    </row>
    <row r="104" spans="1:9">
      <c r="A104" s="295">
        <f t="shared" si="24"/>
        <v>87</v>
      </c>
      <c r="B104" s="300">
        <f t="shared" si="28"/>
        <v>2617</v>
      </c>
      <c r="C104" s="296">
        <f t="shared" ca="1" si="25"/>
        <v>6.0903</v>
      </c>
      <c r="D104" s="295"/>
      <c r="E104" s="296">
        <f t="shared" ca="1" si="30"/>
        <v>-9.0909090909090912E-2</v>
      </c>
      <c r="F104" s="296">
        <f t="shared" ca="1" si="22"/>
        <v>-9.0909090909090912E-2</v>
      </c>
      <c r="G104" s="303">
        <f t="shared" ca="1" si="26"/>
        <v>0</v>
      </c>
      <c r="H104" s="296">
        <f t="shared" ca="1" si="27"/>
        <v>6.1811999999999996</v>
      </c>
      <c r="I104" s="297">
        <f t="shared" ca="1" si="23"/>
        <v>-6</v>
      </c>
    </row>
    <row r="105" spans="1:9">
      <c r="A105" s="295">
        <f t="shared" si="24"/>
        <v>88</v>
      </c>
      <c r="B105" s="300">
        <f t="shared" si="28"/>
        <v>2648</v>
      </c>
      <c r="C105" s="296">
        <f t="shared" ca="1" si="25"/>
        <v>6.1811999999999996</v>
      </c>
      <c r="D105" s="295"/>
      <c r="E105" s="296">
        <f t="shared" ca="1" si="30"/>
        <v>-9.0909090909090912E-2</v>
      </c>
      <c r="F105" s="296">
        <f t="shared" ca="1" si="22"/>
        <v>-9.0909090909090912E-2</v>
      </c>
      <c r="G105" s="303">
        <f t="shared" ca="1" si="26"/>
        <v>0</v>
      </c>
      <c r="H105" s="296">
        <f t="shared" ca="1" si="27"/>
        <v>6.2721</v>
      </c>
      <c r="I105" s="297">
        <f t="shared" ca="1" si="23"/>
        <v>-6</v>
      </c>
    </row>
    <row r="106" spans="1:9">
      <c r="A106" s="295">
        <f t="shared" si="24"/>
        <v>89</v>
      </c>
      <c r="B106" s="300">
        <f t="shared" si="28"/>
        <v>2678</v>
      </c>
      <c r="C106" s="296">
        <f t="shared" ca="1" si="25"/>
        <v>6.2721</v>
      </c>
      <c r="D106" s="295"/>
      <c r="E106" s="296">
        <f t="shared" ca="1" si="30"/>
        <v>-9.0909090909090912E-2</v>
      </c>
      <c r="F106" s="296">
        <f t="shared" ca="1" si="22"/>
        <v>-9.0909090909090912E-2</v>
      </c>
      <c r="G106" s="303">
        <f t="shared" ca="1" si="26"/>
        <v>0</v>
      </c>
      <c r="H106" s="296">
        <f t="shared" ca="1" si="27"/>
        <v>6.3630000000000004</v>
      </c>
      <c r="I106" s="297">
        <f t="shared" ca="1" si="23"/>
        <v>-6</v>
      </c>
    </row>
    <row r="107" spans="1:9">
      <c r="A107" s="295">
        <f t="shared" si="24"/>
        <v>90</v>
      </c>
      <c r="B107" s="300">
        <f t="shared" si="28"/>
        <v>2709</v>
      </c>
      <c r="C107" s="296">
        <f t="shared" ca="1" si="25"/>
        <v>6.3630000000000004</v>
      </c>
      <c r="D107" s="295"/>
      <c r="E107" s="296">
        <f t="shared" ca="1" si="30"/>
        <v>-9.0909090909090912E-2</v>
      </c>
      <c r="F107" s="296">
        <f t="shared" ca="1" si="22"/>
        <v>-9.0909090909090912E-2</v>
      </c>
      <c r="G107" s="303">
        <f t="shared" ca="1" si="26"/>
        <v>0</v>
      </c>
      <c r="H107" s="296">
        <f t="shared" ca="1" si="27"/>
        <v>6.4539</v>
      </c>
      <c r="I107" s="297">
        <f t="shared" ca="1" si="23"/>
        <v>-6</v>
      </c>
    </row>
    <row r="108" spans="1:9">
      <c r="A108" s="295">
        <f t="shared" si="24"/>
        <v>91</v>
      </c>
      <c r="B108" s="300">
        <f t="shared" si="28"/>
        <v>2739</v>
      </c>
      <c r="C108" s="296">
        <f t="shared" ca="1" si="25"/>
        <v>6.4539</v>
      </c>
      <c r="D108" s="295"/>
      <c r="E108" s="296">
        <f t="shared" ca="1" si="30"/>
        <v>-9.0909090909090912E-2</v>
      </c>
      <c r="F108" s="296">
        <f t="shared" ca="1" si="22"/>
        <v>-9.0909090909090912E-2</v>
      </c>
      <c r="G108" s="303">
        <f t="shared" ca="1" si="26"/>
        <v>0</v>
      </c>
      <c r="H108" s="296">
        <f t="shared" ca="1" si="27"/>
        <v>6.5448000000000004</v>
      </c>
      <c r="I108" s="297">
        <f t="shared" ca="1" si="23"/>
        <v>-7</v>
      </c>
    </row>
    <row r="109" spans="1:9">
      <c r="A109" s="295">
        <f t="shared" si="24"/>
        <v>92</v>
      </c>
      <c r="B109" s="300">
        <f t="shared" si="28"/>
        <v>2770</v>
      </c>
      <c r="C109" s="296">
        <f t="shared" ca="1" si="25"/>
        <v>6.5448000000000004</v>
      </c>
      <c r="D109" s="295"/>
      <c r="E109" s="296">
        <f t="shared" ca="1" si="30"/>
        <v>-9.0909090909090912E-2</v>
      </c>
      <c r="F109" s="296">
        <f t="shared" ca="1" si="22"/>
        <v>-9.0909090909090912E-2</v>
      </c>
      <c r="G109" s="303">
        <f t="shared" ca="1" si="26"/>
        <v>0</v>
      </c>
      <c r="H109" s="296">
        <f t="shared" ca="1" si="27"/>
        <v>6.6356999999999999</v>
      </c>
      <c r="I109" s="297">
        <f t="shared" ca="1" si="23"/>
        <v>-7</v>
      </c>
    </row>
    <row r="110" spans="1:9">
      <c r="A110" s="295">
        <f t="shared" si="24"/>
        <v>93</v>
      </c>
      <c r="B110" s="300">
        <f t="shared" si="28"/>
        <v>2801</v>
      </c>
      <c r="C110" s="296">
        <f t="shared" ca="1" si="25"/>
        <v>6.6356999999999999</v>
      </c>
      <c r="D110" s="295"/>
      <c r="E110" s="296">
        <f t="shared" ca="1" si="30"/>
        <v>-9.0909090909090912E-2</v>
      </c>
      <c r="F110" s="296">
        <f t="shared" ca="1" si="22"/>
        <v>-9.0909090909090912E-2</v>
      </c>
      <c r="G110" s="303">
        <f t="shared" ca="1" si="26"/>
        <v>0</v>
      </c>
      <c r="H110" s="296">
        <f t="shared" ca="1" si="27"/>
        <v>6.7266000000000004</v>
      </c>
      <c r="I110" s="297">
        <f t="shared" ca="1" si="23"/>
        <v>-7</v>
      </c>
    </row>
    <row r="111" spans="1:9">
      <c r="A111" s="295">
        <f t="shared" si="24"/>
        <v>94</v>
      </c>
      <c r="B111" s="300">
        <f t="shared" si="28"/>
        <v>2831</v>
      </c>
      <c r="C111" s="296">
        <f t="shared" ca="1" si="25"/>
        <v>6.7266000000000004</v>
      </c>
      <c r="D111" s="295"/>
      <c r="E111" s="296">
        <f t="shared" ca="1" si="30"/>
        <v>-9.0909090909090912E-2</v>
      </c>
      <c r="F111" s="296">
        <f t="shared" ca="1" si="22"/>
        <v>-9.0909090909090912E-2</v>
      </c>
      <c r="G111" s="303">
        <f t="shared" ca="1" si="26"/>
        <v>0</v>
      </c>
      <c r="H111" s="296">
        <f t="shared" ca="1" si="27"/>
        <v>6.8174999999999999</v>
      </c>
      <c r="I111" s="297">
        <f t="shared" ca="1" si="23"/>
        <v>-7</v>
      </c>
    </row>
    <row r="112" spans="1:9">
      <c r="A112" s="295">
        <f t="shared" si="24"/>
        <v>95</v>
      </c>
      <c r="B112" s="300">
        <f t="shared" si="28"/>
        <v>2862</v>
      </c>
      <c r="C112" s="296">
        <f t="shared" ca="1" si="25"/>
        <v>6.8174999999999999</v>
      </c>
      <c r="D112" s="295"/>
      <c r="E112" s="296">
        <f t="shared" ca="1" si="30"/>
        <v>-9.0909090909090912E-2</v>
      </c>
      <c r="F112" s="296">
        <f t="shared" ca="1" si="22"/>
        <v>-9.0909090909090912E-2</v>
      </c>
      <c r="G112" s="303">
        <f t="shared" ca="1" si="26"/>
        <v>0</v>
      </c>
      <c r="H112" s="296">
        <f t="shared" ca="1" si="27"/>
        <v>6.9084000000000003</v>
      </c>
      <c r="I112" s="297">
        <f t="shared" ca="1" si="23"/>
        <v>-7</v>
      </c>
    </row>
    <row r="113" spans="1:9">
      <c r="A113" s="295">
        <f t="shared" si="24"/>
        <v>96</v>
      </c>
      <c r="B113" s="300">
        <f t="shared" si="28"/>
        <v>2892</v>
      </c>
      <c r="C113" s="296">
        <f t="shared" ca="1" si="25"/>
        <v>6.9084000000000003</v>
      </c>
      <c r="D113" s="296">
        <f ca="1">IF(H113&lt;0,0,(K25-L25)/11)</f>
        <v>-9.0909090909090912E-2</v>
      </c>
      <c r="E113" s="296">
        <f t="shared" ca="1" si="30"/>
        <v>-9.0909090909090912E-2</v>
      </c>
      <c r="F113" s="296">
        <f t="shared" ca="1" si="22"/>
        <v>-9.0909090909090912E-2</v>
      </c>
      <c r="G113" s="303">
        <f t="shared" ca="1" si="26"/>
        <v>0</v>
      </c>
      <c r="H113" s="296">
        <f ca="1">IF(E113="","",ROUND(H112-F113,4))</f>
        <v>6.9992999999999999</v>
      </c>
      <c r="I113" s="297">
        <f t="shared" ca="1" si="23"/>
        <v>-7</v>
      </c>
    </row>
    <row r="114" spans="1:9">
      <c r="A114" s="295">
        <f t="shared" si="24"/>
        <v>97</v>
      </c>
      <c r="B114" s="300">
        <f t="shared" si="28"/>
        <v>2923</v>
      </c>
      <c r="C114" s="296">
        <f t="shared" ca="1" si="25"/>
        <v>6.9992999999999999</v>
      </c>
      <c r="D114" s="296"/>
      <c r="E114" s="296">
        <f t="shared" ref="E114:E125" si="31">IF($D$10=1,
 IF(OR(MONTH(B114)=MONTH(EDATE($D$7,0)),MONTH(B114)=MONTH(EDATE($D$7,1)),MONTH(B114)=MONTH(EDATE($D$7,2)),MONTH(B114)=MONTH(EDATE($D$7,3)), MONTH(B114)=MONTH(EDATE($D$7,4)),MONTH(B114)=MONTH(EDATE($D$7,5)),MONTH(B114)=MONTH(EDATE($D$7,6)),MONTH(B114)=MONTH(EDATE($D$7,7)),MONTH(B114)=MONTH(EDATE($D$7,8)),MONTH(B114)=MONTH(EDATE($D$7,9)),MONTH(B114)=MONTH(EDATE($D$7,10))),(MIN($D$113,H113)),0),
IF($D$10=0,
 IF(OR(MONTH(B114)=MONTH(EDATE($D$7,1)),MONTH(B114)=MONTH(EDATE($D$7,2)),MONTH(B114)=MONTH(EDATE($D$7,3)),MONTH(B114)=MONTH(EDATE($D$7,4)), MONTH(B114)=MONTH(EDATE($D$7,5)),MONTH(B114)=MONTH(EDATE($D$7,6)),MONTH(B114)=MONTH(EDATE($D$7,7)),MONTH(B114)=MONTH(EDATE($D$7,8)),MONTH(B114)=MONTH(EDATE($D$7,9)),MONTH(B114)=MONTH(EDATE($D$7,10)),MONTH(B114)=MONTH(EDATE($D$7,11))),(MIN($D$113,H113)),0)))</f>
        <v>0</v>
      </c>
      <c r="F114" s="296">
        <f t="shared" ca="1" si="22"/>
        <v>0</v>
      </c>
      <c r="G114" s="303">
        <f t="shared" ca="1" si="26"/>
        <v>0</v>
      </c>
      <c r="H114" s="296">
        <f ca="1">IF(E114="","",ROUND(H113-F114,4))</f>
        <v>6.9992999999999999</v>
      </c>
      <c r="I114" s="297">
        <f t="shared" ca="1" si="23"/>
        <v>-7</v>
      </c>
    </row>
    <row r="115" spans="1:9">
      <c r="A115" s="295">
        <f t="shared" si="24"/>
        <v>98</v>
      </c>
      <c r="B115" s="300">
        <f t="shared" si="28"/>
        <v>2954</v>
      </c>
      <c r="C115" s="296">
        <f t="shared" ca="1" si="25"/>
        <v>6.9992999999999999</v>
      </c>
      <c r="D115" s="295"/>
      <c r="E115" s="296">
        <f t="shared" ca="1" si="31"/>
        <v>-9.0909090909090912E-2</v>
      </c>
      <c r="F115" s="296">
        <f t="shared" ca="1" si="22"/>
        <v>-9.0909090909090912E-2</v>
      </c>
      <c r="G115" s="303">
        <f t="shared" ca="1" si="26"/>
        <v>0</v>
      </c>
      <c r="H115" s="296">
        <f t="shared" ca="1" si="27"/>
        <v>7.0902000000000003</v>
      </c>
      <c r="I115" s="297">
        <f t="shared" ca="1" si="23"/>
        <v>-7</v>
      </c>
    </row>
    <row r="116" spans="1:9">
      <c r="A116" s="295">
        <f t="shared" si="24"/>
        <v>99</v>
      </c>
      <c r="B116" s="300">
        <f t="shared" si="28"/>
        <v>2983</v>
      </c>
      <c r="C116" s="296">
        <f t="shared" ca="1" si="25"/>
        <v>7.0902000000000003</v>
      </c>
      <c r="D116" s="295"/>
      <c r="E116" s="296">
        <f t="shared" ca="1" si="31"/>
        <v>-9.0909090909090912E-2</v>
      </c>
      <c r="F116" s="296">
        <f t="shared" ca="1" si="22"/>
        <v>-9.0909090909090912E-2</v>
      </c>
      <c r="G116" s="303">
        <f t="shared" ca="1" si="26"/>
        <v>0</v>
      </c>
      <c r="H116" s="296">
        <f t="shared" ca="1" si="27"/>
        <v>7.1810999999999998</v>
      </c>
      <c r="I116" s="297">
        <f t="shared" ca="1" si="23"/>
        <v>-7</v>
      </c>
    </row>
    <row r="117" spans="1:9">
      <c r="A117" s="295">
        <f t="shared" si="24"/>
        <v>100</v>
      </c>
      <c r="B117" s="300">
        <f t="shared" si="28"/>
        <v>3014</v>
      </c>
      <c r="C117" s="296">
        <f t="shared" ca="1" si="25"/>
        <v>7.1810999999999998</v>
      </c>
      <c r="D117" s="295"/>
      <c r="E117" s="296">
        <f t="shared" ca="1" si="31"/>
        <v>-9.0909090909090912E-2</v>
      </c>
      <c r="F117" s="296">
        <f t="shared" ca="1" si="22"/>
        <v>-9.0909090909090912E-2</v>
      </c>
      <c r="G117" s="303">
        <f t="shared" ca="1" si="26"/>
        <v>0</v>
      </c>
      <c r="H117" s="296">
        <f t="shared" ca="1" si="27"/>
        <v>7.2720000000000002</v>
      </c>
      <c r="I117" s="297">
        <f t="shared" ca="1" si="23"/>
        <v>-7</v>
      </c>
    </row>
    <row r="118" spans="1:9">
      <c r="A118" s="295">
        <f t="shared" si="24"/>
        <v>101</v>
      </c>
      <c r="B118" s="300">
        <f t="shared" si="28"/>
        <v>3044</v>
      </c>
      <c r="C118" s="296">
        <f t="shared" ca="1" si="25"/>
        <v>7.2720000000000002</v>
      </c>
      <c r="D118" s="295"/>
      <c r="E118" s="296">
        <f t="shared" ca="1" si="31"/>
        <v>-9.0909090909090912E-2</v>
      </c>
      <c r="F118" s="296">
        <f t="shared" ca="1" si="22"/>
        <v>-9.0909090909090912E-2</v>
      </c>
      <c r="G118" s="303">
        <f t="shared" ca="1" si="26"/>
        <v>0</v>
      </c>
      <c r="H118" s="296">
        <f t="shared" ca="1" si="27"/>
        <v>7.3628999999999998</v>
      </c>
      <c r="I118" s="297">
        <f t="shared" ca="1" si="23"/>
        <v>-7</v>
      </c>
    </row>
    <row r="119" spans="1:9">
      <c r="A119" s="295">
        <f t="shared" si="24"/>
        <v>102</v>
      </c>
      <c r="B119" s="300">
        <f t="shared" si="28"/>
        <v>3075</v>
      </c>
      <c r="C119" s="296">
        <f t="shared" ca="1" si="25"/>
        <v>7.3628999999999998</v>
      </c>
      <c r="D119" s="295"/>
      <c r="E119" s="296">
        <f t="shared" ca="1" si="31"/>
        <v>-9.0909090909090912E-2</v>
      </c>
      <c r="F119" s="296">
        <f t="shared" ca="1" si="22"/>
        <v>-9.0909090909090912E-2</v>
      </c>
      <c r="G119" s="303">
        <f t="shared" ca="1" si="26"/>
        <v>0</v>
      </c>
      <c r="H119" s="296">
        <f t="shared" ca="1" si="27"/>
        <v>7.4538000000000002</v>
      </c>
      <c r="I119" s="297">
        <f t="shared" ca="1" si="23"/>
        <v>-7</v>
      </c>
    </row>
    <row r="120" spans="1:9">
      <c r="A120" s="295">
        <f t="shared" si="24"/>
        <v>103</v>
      </c>
      <c r="B120" s="300">
        <f t="shared" si="28"/>
        <v>3105</v>
      </c>
      <c r="C120" s="296">
        <f t="shared" ca="1" si="25"/>
        <v>7.4538000000000002</v>
      </c>
      <c r="D120" s="295"/>
      <c r="E120" s="296">
        <f t="shared" ca="1" si="31"/>
        <v>-9.0909090909090912E-2</v>
      </c>
      <c r="F120" s="296">
        <f t="shared" ca="1" si="22"/>
        <v>-9.0909090909090912E-2</v>
      </c>
      <c r="G120" s="303">
        <f t="shared" ca="1" si="26"/>
        <v>0</v>
      </c>
      <c r="H120" s="296">
        <f t="shared" ca="1" si="27"/>
        <v>7.5446999999999997</v>
      </c>
      <c r="I120" s="297">
        <f t="shared" ca="1" si="23"/>
        <v>-8</v>
      </c>
    </row>
    <row r="121" spans="1:9">
      <c r="A121" s="295">
        <f t="shared" si="24"/>
        <v>104</v>
      </c>
      <c r="B121" s="300">
        <f t="shared" si="28"/>
        <v>3136</v>
      </c>
      <c r="C121" s="296">
        <f t="shared" ca="1" si="25"/>
        <v>7.5446999999999997</v>
      </c>
      <c r="D121" s="295"/>
      <c r="E121" s="296">
        <f t="shared" ca="1" si="31"/>
        <v>-9.0909090909090912E-2</v>
      </c>
      <c r="F121" s="296">
        <f t="shared" ca="1" si="22"/>
        <v>-9.0909090909090912E-2</v>
      </c>
      <c r="G121" s="303">
        <f t="shared" ca="1" si="26"/>
        <v>0</v>
      </c>
      <c r="H121" s="296">
        <f t="shared" ca="1" si="27"/>
        <v>7.6356000000000002</v>
      </c>
      <c r="I121" s="297">
        <f t="shared" ca="1" si="23"/>
        <v>-8</v>
      </c>
    </row>
    <row r="122" spans="1:9">
      <c r="A122" s="295">
        <f t="shared" si="24"/>
        <v>105</v>
      </c>
      <c r="B122" s="300">
        <f t="shared" si="28"/>
        <v>3167</v>
      </c>
      <c r="C122" s="296">
        <f t="shared" ca="1" si="25"/>
        <v>7.6356000000000002</v>
      </c>
      <c r="D122" s="295"/>
      <c r="E122" s="296">
        <f t="shared" ca="1" si="31"/>
        <v>-9.0909090909090912E-2</v>
      </c>
      <c r="F122" s="296">
        <f t="shared" ca="1" si="22"/>
        <v>-9.0909090909090912E-2</v>
      </c>
      <c r="G122" s="303">
        <f t="shared" ca="1" si="26"/>
        <v>0</v>
      </c>
      <c r="H122" s="296">
        <f t="shared" ca="1" si="27"/>
        <v>7.7264999999999997</v>
      </c>
      <c r="I122" s="297">
        <f t="shared" ca="1" si="23"/>
        <v>-8</v>
      </c>
    </row>
    <row r="123" spans="1:9">
      <c r="A123" s="295">
        <f t="shared" si="24"/>
        <v>106</v>
      </c>
      <c r="B123" s="300">
        <f t="shared" si="28"/>
        <v>3197</v>
      </c>
      <c r="C123" s="296">
        <f t="shared" ca="1" si="25"/>
        <v>7.7264999999999997</v>
      </c>
      <c r="D123" s="295"/>
      <c r="E123" s="296">
        <f t="shared" ca="1" si="31"/>
        <v>-9.0909090909090912E-2</v>
      </c>
      <c r="F123" s="296">
        <f t="shared" ca="1" si="22"/>
        <v>-9.0909090909090912E-2</v>
      </c>
      <c r="G123" s="303">
        <f t="shared" ca="1" si="26"/>
        <v>0</v>
      </c>
      <c r="H123" s="296">
        <f t="shared" ca="1" si="27"/>
        <v>7.8174000000000001</v>
      </c>
      <c r="I123" s="297">
        <f t="shared" ca="1" si="23"/>
        <v>-8</v>
      </c>
    </row>
    <row r="124" spans="1:9">
      <c r="A124" s="295">
        <f t="shared" si="24"/>
        <v>107</v>
      </c>
      <c r="B124" s="300">
        <f t="shared" si="28"/>
        <v>3228</v>
      </c>
      <c r="C124" s="296">
        <f t="shared" ca="1" si="25"/>
        <v>7.8174000000000001</v>
      </c>
      <c r="D124" s="295"/>
      <c r="E124" s="296">
        <f t="shared" ca="1" si="31"/>
        <v>-9.0909090909090912E-2</v>
      </c>
      <c r="F124" s="296">
        <f t="shared" ca="1" si="22"/>
        <v>-9.0909090909090912E-2</v>
      </c>
      <c r="G124" s="303">
        <f t="shared" ca="1" si="26"/>
        <v>0</v>
      </c>
      <c r="H124" s="296">
        <f t="shared" ca="1" si="27"/>
        <v>7.9082999999999997</v>
      </c>
      <c r="I124" s="297">
        <f t="shared" ca="1" si="23"/>
        <v>-8</v>
      </c>
    </row>
    <row r="125" spans="1:9">
      <c r="A125" s="295">
        <f t="shared" si="24"/>
        <v>108</v>
      </c>
      <c r="B125" s="300">
        <f t="shared" si="28"/>
        <v>3258</v>
      </c>
      <c r="C125" s="296">
        <f t="shared" ca="1" si="25"/>
        <v>7.9082999999999997</v>
      </c>
      <c r="D125" s="296">
        <f ca="1">IF(H125&lt;0,0,(K26-L26)/11)</f>
        <v>-9.0909090909090912E-2</v>
      </c>
      <c r="E125" s="296">
        <f t="shared" ca="1" si="31"/>
        <v>-9.0909090909090912E-2</v>
      </c>
      <c r="F125" s="296">
        <f t="shared" ca="1" si="22"/>
        <v>-9.0909090909090912E-2</v>
      </c>
      <c r="G125" s="303">
        <f t="shared" ca="1" si="26"/>
        <v>0</v>
      </c>
      <c r="H125" s="296">
        <f ca="1">IF(E125="","",ROUND(H124-F125,4))</f>
        <v>7.9992000000000001</v>
      </c>
      <c r="I125" s="297">
        <f t="shared" ca="1" si="23"/>
        <v>-8</v>
      </c>
    </row>
    <row r="126" spans="1:9">
      <c r="A126" s="295">
        <f t="shared" si="24"/>
        <v>109</v>
      </c>
      <c r="B126" s="300">
        <f t="shared" si="28"/>
        <v>3289</v>
      </c>
      <c r="C126" s="296">
        <f t="shared" ca="1" si="25"/>
        <v>7.9992000000000001</v>
      </c>
      <c r="D126" s="296"/>
      <c r="E126" s="296">
        <f t="shared" ref="E126:E137" si="32">IF($D$10=1,
 IF(OR(MONTH(B126)=MONTH(EDATE($D$7,0)),MONTH(B126)=MONTH(EDATE($D$7,1)),MONTH(B126)=MONTH(EDATE($D$7,2)),MONTH(B126)=MONTH(EDATE($D$7,3)), MONTH(B126)=MONTH(EDATE($D$7,4)),MONTH(B126)=MONTH(EDATE($D$7,5)),MONTH(B126)=MONTH(EDATE($D$7,6)),MONTH(B126)=MONTH(EDATE($D$7,7)),MONTH(B126)=MONTH(EDATE($D$7,8)),MONTH(B126)=MONTH(EDATE($D$7,9)),MONTH(B126)=MONTH(EDATE($D$7,10))),(MIN($D$125,H125)),0),
IF($D$10=0,
 IF(OR(MONTH(B126)=MONTH(EDATE($D$7,1)),MONTH(B126)=MONTH(EDATE($D$7,2)),MONTH(B126)=MONTH(EDATE($D$7,3)),MONTH(B126)=MONTH(EDATE($D$7,4)), MONTH(B126)=MONTH(EDATE($D$7,5)),MONTH(B126)=MONTH(EDATE($D$7,6)),MONTH(B126)=MONTH(EDATE($D$7,7)),MONTH(B126)=MONTH(EDATE($D$7,8)),MONTH(B126)=MONTH(EDATE($D$7,9)),MONTH(B126)=MONTH(EDATE($D$7,10)),MONTH(B126)=MONTH(EDATE($D$7,11))),(MIN($D$125,H125)),0)))</f>
        <v>0</v>
      </c>
      <c r="F126" s="296">
        <f t="shared" ca="1" si="22"/>
        <v>0</v>
      </c>
      <c r="G126" s="303">
        <f t="shared" ca="1" si="26"/>
        <v>0</v>
      </c>
      <c r="H126" s="296">
        <f t="shared" ca="1" si="27"/>
        <v>7.9992000000000001</v>
      </c>
      <c r="I126" s="297">
        <f t="shared" ca="1" si="23"/>
        <v>-8</v>
      </c>
    </row>
    <row r="127" spans="1:9">
      <c r="A127" s="295">
        <f t="shared" si="24"/>
        <v>110</v>
      </c>
      <c r="B127" s="300">
        <f t="shared" si="28"/>
        <v>3320</v>
      </c>
      <c r="C127" s="296">
        <f t="shared" ca="1" si="25"/>
        <v>7.9992000000000001</v>
      </c>
      <c r="D127" s="295"/>
      <c r="E127" s="296">
        <f t="shared" ca="1" si="32"/>
        <v>-9.0909090909090912E-2</v>
      </c>
      <c r="F127" s="296">
        <f t="shared" ca="1" si="22"/>
        <v>-9.0909090909090912E-2</v>
      </c>
      <c r="G127" s="303">
        <f t="shared" ca="1" si="26"/>
        <v>0</v>
      </c>
      <c r="H127" s="296">
        <f t="shared" ca="1" si="27"/>
        <v>8.0900999999999996</v>
      </c>
      <c r="I127" s="297">
        <f t="shared" ca="1" si="23"/>
        <v>-8</v>
      </c>
    </row>
    <row r="128" spans="1:9">
      <c r="A128" s="295">
        <f t="shared" si="24"/>
        <v>111</v>
      </c>
      <c r="B128" s="300">
        <f t="shared" si="28"/>
        <v>3348</v>
      </c>
      <c r="C128" s="296">
        <f t="shared" ca="1" si="25"/>
        <v>8.0900999999999996</v>
      </c>
      <c r="D128" s="295"/>
      <c r="E128" s="296">
        <f t="shared" ca="1" si="32"/>
        <v>-9.0909090909090912E-2</v>
      </c>
      <c r="F128" s="296">
        <f t="shared" ca="1" si="22"/>
        <v>-9.0909090909090912E-2</v>
      </c>
      <c r="G128" s="303">
        <f t="shared" ca="1" si="26"/>
        <v>0</v>
      </c>
      <c r="H128" s="296">
        <f t="shared" ca="1" si="27"/>
        <v>8.1809999999999992</v>
      </c>
      <c r="I128" s="297">
        <f t="shared" ca="1" si="23"/>
        <v>-8</v>
      </c>
    </row>
    <row r="129" spans="1:9">
      <c r="A129" s="295">
        <f t="shared" si="24"/>
        <v>112</v>
      </c>
      <c r="B129" s="300">
        <f t="shared" si="28"/>
        <v>3379</v>
      </c>
      <c r="C129" s="296">
        <f t="shared" ca="1" si="25"/>
        <v>8.1809999999999992</v>
      </c>
      <c r="D129" s="295"/>
      <c r="E129" s="296">
        <f t="shared" ca="1" si="32"/>
        <v>-9.0909090909090912E-2</v>
      </c>
      <c r="F129" s="296">
        <f t="shared" ca="1" si="22"/>
        <v>-9.0909090909090912E-2</v>
      </c>
      <c r="G129" s="303">
        <f t="shared" ca="1" si="26"/>
        <v>0</v>
      </c>
      <c r="H129" s="296">
        <f t="shared" ca="1" si="27"/>
        <v>8.2719000000000005</v>
      </c>
      <c r="I129" s="297">
        <f t="shared" ca="1" si="23"/>
        <v>-8</v>
      </c>
    </row>
    <row r="130" spans="1:9">
      <c r="A130" s="295">
        <f t="shared" si="24"/>
        <v>113</v>
      </c>
      <c r="B130" s="300">
        <f t="shared" si="28"/>
        <v>3409</v>
      </c>
      <c r="C130" s="296">
        <f t="shared" ca="1" si="25"/>
        <v>8.2719000000000005</v>
      </c>
      <c r="D130" s="295"/>
      <c r="E130" s="296">
        <f t="shared" ca="1" si="32"/>
        <v>-9.0909090909090912E-2</v>
      </c>
      <c r="F130" s="296">
        <f t="shared" ca="1" si="22"/>
        <v>-9.0909090909090912E-2</v>
      </c>
      <c r="G130" s="303">
        <f t="shared" ca="1" si="26"/>
        <v>0</v>
      </c>
      <c r="H130" s="296">
        <f t="shared" ca="1" si="27"/>
        <v>8.3628</v>
      </c>
      <c r="I130" s="297">
        <f t="shared" ca="1" si="23"/>
        <v>-8</v>
      </c>
    </row>
    <row r="131" spans="1:9">
      <c r="A131" s="295">
        <f t="shared" si="24"/>
        <v>114</v>
      </c>
      <c r="B131" s="300">
        <f t="shared" si="28"/>
        <v>3440</v>
      </c>
      <c r="C131" s="296">
        <f t="shared" ca="1" si="25"/>
        <v>8.3628</v>
      </c>
      <c r="D131" s="295"/>
      <c r="E131" s="296">
        <f t="shared" ca="1" si="32"/>
        <v>-9.0909090909090912E-2</v>
      </c>
      <c r="F131" s="296">
        <f t="shared" ca="1" si="22"/>
        <v>-9.0909090909090912E-2</v>
      </c>
      <c r="G131" s="303">
        <f t="shared" ca="1" si="26"/>
        <v>0</v>
      </c>
      <c r="H131" s="296">
        <f t="shared" ca="1" si="27"/>
        <v>8.4536999999999995</v>
      </c>
      <c r="I131" s="297">
        <f t="shared" ca="1" si="23"/>
        <v>-8</v>
      </c>
    </row>
    <row r="132" spans="1:9">
      <c r="A132" s="295">
        <f t="shared" si="24"/>
        <v>115</v>
      </c>
      <c r="B132" s="300">
        <f t="shared" si="28"/>
        <v>3470</v>
      </c>
      <c r="C132" s="296">
        <f t="shared" ca="1" si="25"/>
        <v>8.4536999999999995</v>
      </c>
      <c r="D132" s="295"/>
      <c r="E132" s="296">
        <f t="shared" ca="1" si="32"/>
        <v>-9.0909090909090912E-2</v>
      </c>
      <c r="F132" s="296">
        <f t="shared" ca="1" si="22"/>
        <v>-9.0909090909090912E-2</v>
      </c>
      <c r="G132" s="303">
        <f t="shared" ca="1" si="26"/>
        <v>0</v>
      </c>
      <c r="H132" s="296">
        <f t="shared" ca="1" si="27"/>
        <v>8.5446000000000009</v>
      </c>
      <c r="I132" s="297">
        <f t="shared" ca="1" si="23"/>
        <v>-9</v>
      </c>
    </row>
    <row r="133" spans="1:9">
      <c r="A133" s="295">
        <f t="shared" si="24"/>
        <v>116</v>
      </c>
      <c r="B133" s="300">
        <f t="shared" si="28"/>
        <v>3501</v>
      </c>
      <c r="C133" s="296">
        <f t="shared" ca="1" si="25"/>
        <v>8.5446000000000009</v>
      </c>
      <c r="D133" s="295"/>
      <c r="E133" s="296">
        <f t="shared" ca="1" si="32"/>
        <v>-9.0909090909090912E-2</v>
      </c>
      <c r="F133" s="296">
        <f t="shared" ca="1" si="22"/>
        <v>-9.0909090909090912E-2</v>
      </c>
      <c r="G133" s="303">
        <f t="shared" ca="1" si="26"/>
        <v>0</v>
      </c>
      <c r="H133" s="296">
        <f t="shared" ca="1" si="27"/>
        <v>8.6355000000000004</v>
      </c>
      <c r="I133" s="297">
        <f t="shared" ca="1" si="23"/>
        <v>-9</v>
      </c>
    </row>
    <row r="134" spans="1:9">
      <c r="A134" s="295">
        <f t="shared" si="24"/>
        <v>117</v>
      </c>
      <c r="B134" s="300">
        <f t="shared" si="28"/>
        <v>3532</v>
      </c>
      <c r="C134" s="296">
        <f t="shared" ca="1" si="25"/>
        <v>8.6355000000000004</v>
      </c>
      <c r="D134" s="295"/>
      <c r="E134" s="296">
        <f t="shared" ca="1" si="32"/>
        <v>-9.0909090909090912E-2</v>
      </c>
      <c r="F134" s="296">
        <f t="shared" ca="1" si="22"/>
        <v>-9.0909090909090912E-2</v>
      </c>
      <c r="G134" s="303">
        <f t="shared" ca="1" si="26"/>
        <v>0</v>
      </c>
      <c r="H134" s="296">
        <f t="shared" ca="1" si="27"/>
        <v>8.7263999999999999</v>
      </c>
      <c r="I134" s="297">
        <f t="shared" ca="1" si="23"/>
        <v>-9</v>
      </c>
    </row>
    <row r="135" spans="1:9">
      <c r="A135" s="295">
        <f t="shared" si="24"/>
        <v>118</v>
      </c>
      <c r="B135" s="300">
        <f t="shared" si="28"/>
        <v>3562</v>
      </c>
      <c r="C135" s="296">
        <f t="shared" ca="1" si="25"/>
        <v>8.7263999999999999</v>
      </c>
      <c r="D135" s="295"/>
      <c r="E135" s="296">
        <f t="shared" ca="1" si="32"/>
        <v>-9.0909090909090912E-2</v>
      </c>
      <c r="F135" s="296">
        <f t="shared" ca="1" si="22"/>
        <v>-9.0909090909090912E-2</v>
      </c>
      <c r="G135" s="303">
        <f t="shared" ca="1" si="26"/>
        <v>0</v>
      </c>
      <c r="H135" s="296">
        <f t="shared" ca="1" si="27"/>
        <v>8.8172999999999995</v>
      </c>
      <c r="I135" s="297">
        <f t="shared" ca="1" si="23"/>
        <v>-9</v>
      </c>
    </row>
    <row r="136" spans="1:9">
      <c r="A136" s="295">
        <f t="shared" si="24"/>
        <v>119</v>
      </c>
      <c r="B136" s="300">
        <f t="shared" si="28"/>
        <v>3593</v>
      </c>
      <c r="C136" s="296">
        <f t="shared" ca="1" si="25"/>
        <v>8.8172999999999995</v>
      </c>
      <c r="D136" s="295"/>
      <c r="E136" s="296">
        <f t="shared" ca="1" si="32"/>
        <v>-9.0909090909090912E-2</v>
      </c>
      <c r="F136" s="296">
        <f t="shared" ca="1" si="22"/>
        <v>-9.0909090909090912E-2</v>
      </c>
      <c r="G136" s="303">
        <f t="shared" ca="1" si="26"/>
        <v>0</v>
      </c>
      <c r="H136" s="296">
        <f t="shared" ca="1" si="27"/>
        <v>8.9082000000000008</v>
      </c>
      <c r="I136" s="297">
        <f t="shared" ca="1" si="23"/>
        <v>-9</v>
      </c>
    </row>
    <row r="137" spans="1:9">
      <c r="A137" s="295">
        <f t="shared" si="24"/>
        <v>120</v>
      </c>
      <c r="B137" s="300">
        <f t="shared" si="28"/>
        <v>3623</v>
      </c>
      <c r="C137" s="296">
        <f t="shared" ca="1" si="25"/>
        <v>8.9082000000000008</v>
      </c>
      <c r="D137" s="296">
        <f ca="1">IF(H137&lt;0,0,(K27-L27)/11)</f>
        <v>-9.0909090909090912E-2</v>
      </c>
      <c r="E137" s="296">
        <f t="shared" ca="1" si="32"/>
        <v>-9.0909090909090912E-2</v>
      </c>
      <c r="F137" s="296">
        <f t="shared" ca="1" si="22"/>
        <v>-9.0909090909090912E-2</v>
      </c>
      <c r="G137" s="303">
        <f t="shared" ca="1" si="26"/>
        <v>0</v>
      </c>
      <c r="H137" s="296">
        <f t="shared" ca="1" si="27"/>
        <v>8.9991000000000003</v>
      </c>
      <c r="I137" s="297">
        <f t="shared" ca="1" si="23"/>
        <v>-9</v>
      </c>
    </row>
    <row r="138" spans="1:9">
      <c r="A138" s="295">
        <f t="shared" si="24"/>
        <v>121</v>
      </c>
      <c r="B138" s="300">
        <f t="shared" si="28"/>
        <v>3654</v>
      </c>
      <c r="C138" s="296">
        <f t="shared" ca="1" si="25"/>
        <v>8.9991000000000003</v>
      </c>
      <c r="D138" s="296"/>
      <c r="E138" s="296">
        <f t="shared" ref="E138:E149" si="33">IF($D$10=1,
 IF(OR(MONTH(B138)=MONTH(EDATE($D$7,0)),MONTH(B138)=MONTH(EDATE($D$7,1)),MONTH(B138)=MONTH(EDATE($D$7,2)),MONTH(B138)=MONTH(EDATE($D$7,3)), MONTH(B138)=MONTH(EDATE($D$7,4)),MONTH(B138)=MONTH(EDATE($D$7,5)),MONTH(B138)=MONTH(EDATE($D$7,6)),MONTH(B138)=MONTH(EDATE($D$7,7)),MONTH(B138)=MONTH(EDATE($D$7,8)),MONTH(B138)=MONTH(EDATE($D$7,9)),MONTH(B138)=MONTH(EDATE($D$7,10))),(MIN($D$137,H137)),0),
IF($D$10=0,
 IF(OR(MONTH(B138)=MONTH(EDATE($D$7,1)),MONTH(B138)=MONTH(EDATE($D$7,2)),MONTH(B138)=MONTH(EDATE($D$7,3)),MONTH(B138)=MONTH(EDATE($D$7,4)), MONTH(B138)=MONTH(EDATE($D$7,5)),MONTH(B138)=MONTH(EDATE($D$7,6)),MONTH(B138)=MONTH(EDATE($D$7,7)),MONTH(B138)=MONTH(EDATE($D$7,8)),MONTH(B138)=MONTH(EDATE($D$7,9)),MONTH(B138)=MONTH(EDATE($D$7,10)),MONTH(B138)=MONTH(EDATE($D$7,11))),(MIN($D$137,H137)),0)))</f>
        <v>0</v>
      </c>
      <c r="F138" s="296">
        <f t="shared" ca="1" si="22"/>
        <v>0</v>
      </c>
      <c r="G138" s="303">
        <f t="shared" ca="1" si="26"/>
        <v>0</v>
      </c>
      <c r="H138" s="296">
        <f t="shared" ca="1" si="27"/>
        <v>8.9991000000000003</v>
      </c>
      <c r="I138" s="297">
        <f t="shared" ca="1" si="23"/>
        <v>-9</v>
      </c>
    </row>
    <row r="139" spans="1:9">
      <c r="A139" s="295">
        <f t="shared" si="24"/>
        <v>122</v>
      </c>
      <c r="B139" s="300">
        <f t="shared" si="28"/>
        <v>3685</v>
      </c>
      <c r="C139" s="296">
        <f t="shared" ca="1" si="25"/>
        <v>8.9991000000000003</v>
      </c>
      <c r="D139" s="295"/>
      <c r="E139" s="296">
        <f t="shared" ca="1" si="33"/>
        <v>-9.0909090909090912E-2</v>
      </c>
      <c r="F139" s="296">
        <f t="shared" ca="1" si="22"/>
        <v>-9.0909090909090912E-2</v>
      </c>
      <c r="G139" s="303">
        <f t="shared" ca="1" si="26"/>
        <v>0</v>
      </c>
      <c r="H139" s="296">
        <f t="shared" ca="1" si="27"/>
        <v>9.09</v>
      </c>
      <c r="I139" s="297">
        <f t="shared" ca="1" si="23"/>
        <v>-9</v>
      </c>
    </row>
    <row r="140" spans="1:9">
      <c r="A140" s="295">
        <f t="shared" si="24"/>
        <v>123</v>
      </c>
      <c r="B140" s="300">
        <f t="shared" si="28"/>
        <v>3713</v>
      </c>
      <c r="C140" s="296">
        <f t="shared" ca="1" si="25"/>
        <v>9.09</v>
      </c>
      <c r="D140" s="295"/>
      <c r="E140" s="296">
        <f t="shared" ca="1" si="33"/>
        <v>-9.0909090909090912E-2</v>
      </c>
      <c r="F140" s="296">
        <f t="shared" ca="1" si="22"/>
        <v>-9.0909090909090912E-2</v>
      </c>
      <c r="G140" s="303">
        <f t="shared" ca="1" si="26"/>
        <v>0</v>
      </c>
      <c r="H140" s="296">
        <f t="shared" ca="1" si="27"/>
        <v>9.1808999999999994</v>
      </c>
      <c r="I140" s="297">
        <f t="shared" ca="1" si="23"/>
        <v>-9</v>
      </c>
    </row>
    <row r="141" spans="1:9">
      <c r="A141" s="295">
        <f t="shared" si="24"/>
        <v>124</v>
      </c>
      <c r="B141" s="300">
        <f t="shared" si="28"/>
        <v>3744</v>
      </c>
      <c r="C141" s="296">
        <f t="shared" ca="1" si="25"/>
        <v>9.1808999999999994</v>
      </c>
      <c r="D141" s="295"/>
      <c r="E141" s="296">
        <f t="shared" ca="1" si="33"/>
        <v>-9.0909090909090912E-2</v>
      </c>
      <c r="F141" s="296">
        <f t="shared" ca="1" si="22"/>
        <v>-9.0909090909090912E-2</v>
      </c>
      <c r="G141" s="303">
        <f t="shared" ca="1" si="26"/>
        <v>0</v>
      </c>
      <c r="H141" s="296">
        <f t="shared" ca="1" si="27"/>
        <v>9.2718000000000007</v>
      </c>
      <c r="I141" s="297">
        <f t="shared" ca="1" si="23"/>
        <v>-9</v>
      </c>
    </row>
    <row r="142" spans="1:9">
      <c r="A142" s="295">
        <f t="shared" si="24"/>
        <v>125</v>
      </c>
      <c r="B142" s="300">
        <f t="shared" si="28"/>
        <v>3774</v>
      </c>
      <c r="C142" s="296">
        <f t="shared" ca="1" si="25"/>
        <v>9.2718000000000007</v>
      </c>
      <c r="D142" s="295"/>
      <c r="E142" s="296">
        <f t="shared" ca="1" si="33"/>
        <v>-9.0909090909090912E-2</v>
      </c>
      <c r="F142" s="296">
        <f t="shared" ca="1" si="22"/>
        <v>-9.0909090909090912E-2</v>
      </c>
      <c r="G142" s="303">
        <f t="shared" ca="1" si="26"/>
        <v>0</v>
      </c>
      <c r="H142" s="296">
        <f t="shared" ca="1" si="27"/>
        <v>9.3627000000000002</v>
      </c>
      <c r="I142" s="297">
        <f t="shared" ca="1" si="23"/>
        <v>-9</v>
      </c>
    </row>
    <row r="143" spans="1:9">
      <c r="A143" s="295">
        <f t="shared" si="24"/>
        <v>126</v>
      </c>
      <c r="B143" s="300">
        <f t="shared" si="28"/>
        <v>3805</v>
      </c>
      <c r="C143" s="296">
        <f t="shared" ca="1" si="25"/>
        <v>9.3627000000000002</v>
      </c>
      <c r="D143" s="295"/>
      <c r="E143" s="296">
        <f t="shared" ca="1" si="33"/>
        <v>-9.0909090909090912E-2</v>
      </c>
      <c r="F143" s="296">
        <f t="shared" ca="1" si="22"/>
        <v>-9.0909090909090912E-2</v>
      </c>
      <c r="G143" s="303">
        <f t="shared" ca="1" si="26"/>
        <v>0</v>
      </c>
      <c r="H143" s="296">
        <f t="shared" ca="1" si="27"/>
        <v>9.4535999999999998</v>
      </c>
      <c r="I143" s="297">
        <f t="shared" ca="1" si="23"/>
        <v>-9</v>
      </c>
    </row>
    <row r="144" spans="1:9">
      <c r="A144" s="295">
        <f t="shared" si="24"/>
        <v>127</v>
      </c>
      <c r="B144" s="300">
        <f t="shared" si="28"/>
        <v>3835</v>
      </c>
      <c r="C144" s="296">
        <f t="shared" ca="1" si="25"/>
        <v>9.4535999999999998</v>
      </c>
      <c r="D144" s="295"/>
      <c r="E144" s="296">
        <f t="shared" ca="1" si="33"/>
        <v>-9.0909090909090912E-2</v>
      </c>
      <c r="F144" s="296">
        <f t="shared" ca="1" si="22"/>
        <v>-9.0909090909090912E-2</v>
      </c>
      <c r="G144" s="303">
        <f t="shared" ca="1" si="26"/>
        <v>0</v>
      </c>
      <c r="H144" s="296">
        <f t="shared" ca="1" si="27"/>
        <v>9.5444999999999993</v>
      </c>
      <c r="I144" s="297">
        <f t="shared" ca="1" si="23"/>
        <v>-10</v>
      </c>
    </row>
    <row r="145" spans="1:9">
      <c r="A145" s="295">
        <f t="shared" si="24"/>
        <v>128</v>
      </c>
      <c r="B145" s="300">
        <f t="shared" si="28"/>
        <v>3866</v>
      </c>
      <c r="C145" s="296">
        <f t="shared" ca="1" si="25"/>
        <v>9.5444999999999993</v>
      </c>
      <c r="D145" s="295"/>
      <c r="E145" s="296">
        <f t="shared" ca="1" si="33"/>
        <v>-9.0909090909090912E-2</v>
      </c>
      <c r="F145" s="296">
        <f t="shared" ca="1" si="22"/>
        <v>-9.0909090909090912E-2</v>
      </c>
      <c r="G145" s="303">
        <f t="shared" ca="1" si="26"/>
        <v>0</v>
      </c>
      <c r="H145" s="296">
        <f t="shared" ca="1" si="27"/>
        <v>9.6354000000000006</v>
      </c>
      <c r="I145" s="297">
        <f t="shared" ca="1" si="23"/>
        <v>-10</v>
      </c>
    </row>
    <row r="146" spans="1:9">
      <c r="A146" s="295">
        <f t="shared" si="24"/>
        <v>129</v>
      </c>
      <c r="B146" s="300">
        <f t="shared" si="28"/>
        <v>3897</v>
      </c>
      <c r="C146" s="296">
        <f t="shared" ca="1" si="25"/>
        <v>9.6354000000000006</v>
      </c>
      <c r="D146" s="295"/>
      <c r="E146" s="296">
        <f t="shared" ca="1" si="33"/>
        <v>-9.0909090909090912E-2</v>
      </c>
      <c r="F146" s="296">
        <f t="shared" ref="F146:F209" ca="1" si="34">IF(E146="","",E146-G146)</f>
        <v>-9.0909090909090912E-2</v>
      </c>
      <c r="G146" s="303">
        <f t="shared" ca="1" si="26"/>
        <v>0</v>
      </c>
      <c r="H146" s="296">
        <f t="shared" ca="1" si="27"/>
        <v>9.7263000000000002</v>
      </c>
      <c r="I146" s="297">
        <f t="shared" ref="I146:I209" ca="1" si="35">ROUND((D146-H146),0)</f>
        <v>-10</v>
      </c>
    </row>
    <row r="147" spans="1:9">
      <c r="A147" s="295">
        <f t="shared" ref="A147:A210" si="36">IF(A146="","",IF(A146=$D$6,"",A146+1))</f>
        <v>130</v>
      </c>
      <c r="B147" s="300">
        <f t="shared" si="28"/>
        <v>3927</v>
      </c>
      <c r="C147" s="296">
        <f t="shared" ref="C147:C210" ca="1" si="37">IF(H146=0,0,H146)</f>
        <v>9.7263000000000002</v>
      </c>
      <c r="D147" s="295"/>
      <c r="E147" s="296">
        <f t="shared" ca="1" si="33"/>
        <v>-9.0909090909090912E-2</v>
      </c>
      <c r="F147" s="296">
        <f t="shared" ca="1" si="34"/>
        <v>-9.0909090909090912E-2</v>
      </c>
      <c r="G147" s="303">
        <f t="shared" ref="G147:G210" ca="1" si="38">ROUND((C147-E147)*$D$5,3)</f>
        <v>0</v>
      </c>
      <c r="H147" s="296">
        <f t="shared" ref="H147:H210" ca="1" si="39">IF(E147="","",ROUND(H146-F147,4))</f>
        <v>9.8171999999999997</v>
      </c>
      <c r="I147" s="297">
        <f t="shared" ca="1" si="35"/>
        <v>-10</v>
      </c>
    </row>
    <row r="148" spans="1:9">
      <c r="A148" s="295">
        <f t="shared" si="36"/>
        <v>131</v>
      </c>
      <c r="B148" s="300">
        <f t="shared" ref="B148:B211" si="40">DATE(YEAR(B147),MONTH(B147)+1,1)</f>
        <v>3958</v>
      </c>
      <c r="C148" s="296">
        <f t="shared" ca="1" si="37"/>
        <v>9.8171999999999997</v>
      </c>
      <c r="D148" s="295"/>
      <c r="E148" s="296">
        <f t="shared" ca="1" si="33"/>
        <v>-9.0909090909090912E-2</v>
      </c>
      <c r="F148" s="296">
        <f t="shared" ca="1" si="34"/>
        <v>-9.0909090909090912E-2</v>
      </c>
      <c r="G148" s="303">
        <f t="shared" ca="1" si="38"/>
        <v>0</v>
      </c>
      <c r="H148" s="296">
        <f t="shared" ca="1" si="39"/>
        <v>9.9080999999999992</v>
      </c>
      <c r="I148" s="297">
        <f t="shared" ca="1" si="35"/>
        <v>-10</v>
      </c>
    </row>
    <row r="149" spans="1:9">
      <c r="A149" s="295">
        <f t="shared" si="36"/>
        <v>132</v>
      </c>
      <c r="B149" s="300">
        <f t="shared" si="40"/>
        <v>3988</v>
      </c>
      <c r="C149" s="296">
        <f t="shared" ca="1" si="37"/>
        <v>9.9080999999999992</v>
      </c>
      <c r="D149" s="296">
        <f ca="1">IF(H149&lt;0,0,(K28-L28)/11)</f>
        <v>-9.0909090909090912E-2</v>
      </c>
      <c r="E149" s="296">
        <f t="shared" ca="1" si="33"/>
        <v>-9.0909090909090912E-2</v>
      </c>
      <c r="F149" s="296">
        <f t="shared" ca="1" si="34"/>
        <v>-9.0909090909090912E-2</v>
      </c>
      <c r="G149" s="303">
        <f t="shared" ca="1" si="38"/>
        <v>0</v>
      </c>
      <c r="H149" s="296">
        <f t="shared" ca="1" si="39"/>
        <v>9.9990000000000006</v>
      </c>
      <c r="I149" s="297">
        <f t="shared" ca="1" si="35"/>
        <v>-10</v>
      </c>
    </row>
    <row r="150" spans="1:9">
      <c r="A150" s="295">
        <f t="shared" si="36"/>
        <v>133</v>
      </c>
      <c r="B150" s="300">
        <f t="shared" si="40"/>
        <v>4019</v>
      </c>
      <c r="C150" s="296">
        <f t="shared" ca="1" si="37"/>
        <v>9.9990000000000006</v>
      </c>
      <c r="D150" s="296"/>
      <c r="E150" s="296">
        <f t="shared" ref="E150:E161" si="41">IF($D$10=1,
 IF(OR(MONTH(B150)=MONTH(EDATE($D$7,0)),MONTH(B150)=MONTH(EDATE($D$7,1)),MONTH(B150)=MONTH(EDATE($D$7,2)),MONTH(B150)=MONTH(EDATE($D$7,3)), MONTH(B150)=MONTH(EDATE($D$7,4)),MONTH(B150)=MONTH(EDATE($D$7,5)),MONTH(B150)=MONTH(EDATE($D$7,6)),MONTH(B150)=MONTH(EDATE($D$7,7)),MONTH(B150)=MONTH(EDATE($D$7,8)),MONTH(B150)=MONTH(EDATE($D$7,9)),MONTH(B150)=MONTH(EDATE($D$7,10))),(MIN($D$149,H149)),0),
IF($D$10=0,
 IF(OR(MONTH(B150)=MONTH(EDATE($D$7,1)),MONTH(B150)=MONTH(EDATE($D$7,2)),MONTH(B150)=MONTH(EDATE($D$7,3)),MONTH(B150)=MONTH(EDATE($D$7,4)), MONTH(B150)=MONTH(EDATE($D$7,5)),MONTH(B150)=MONTH(EDATE($D$7,6)),MONTH(B150)=MONTH(EDATE($D$7,7)),MONTH(B150)=MONTH(EDATE($D$7,8)),MONTH(B150)=MONTH(EDATE($D$7,9)),MONTH(B150)=MONTH(EDATE($D$7,10)),MONTH(B150)=MONTH(EDATE($D$7,11))),(MIN($D$149,H149)),0)))</f>
        <v>0</v>
      </c>
      <c r="F150" s="296">
        <f t="shared" ca="1" si="34"/>
        <v>0</v>
      </c>
      <c r="G150" s="303">
        <f t="shared" ca="1" si="38"/>
        <v>0</v>
      </c>
      <c r="H150" s="296">
        <f t="shared" ca="1" si="39"/>
        <v>9.9990000000000006</v>
      </c>
      <c r="I150" s="297">
        <f t="shared" ca="1" si="35"/>
        <v>-10</v>
      </c>
    </row>
    <row r="151" spans="1:9">
      <c r="A151" s="295">
        <f t="shared" si="36"/>
        <v>134</v>
      </c>
      <c r="B151" s="300">
        <f t="shared" si="40"/>
        <v>4050</v>
      </c>
      <c r="C151" s="296">
        <f t="shared" ca="1" si="37"/>
        <v>9.9990000000000006</v>
      </c>
      <c r="D151" s="295"/>
      <c r="E151" s="296">
        <f t="shared" ca="1" si="41"/>
        <v>-9.0909090909090912E-2</v>
      </c>
      <c r="F151" s="296">
        <f t="shared" ca="1" si="34"/>
        <v>-9.0909090909090912E-2</v>
      </c>
      <c r="G151" s="303">
        <f t="shared" ca="1" si="38"/>
        <v>0</v>
      </c>
      <c r="H151" s="296">
        <f t="shared" ca="1" si="39"/>
        <v>10.0899</v>
      </c>
      <c r="I151" s="297">
        <f t="shared" ca="1" si="35"/>
        <v>-10</v>
      </c>
    </row>
    <row r="152" spans="1:9">
      <c r="A152" s="295">
        <f t="shared" si="36"/>
        <v>135</v>
      </c>
      <c r="B152" s="300">
        <f t="shared" si="40"/>
        <v>4078</v>
      </c>
      <c r="C152" s="296">
        <f t="shared" ca="1" si="37"/>
        <v>10.0899</v>
      </c>
      <c r="D152" s="295"/>
      <c r="E152" s="296">
        <f t="shared" ca="1" si="41"/>
        <v>-9.0909090909090912E-2</v>
      </c>
      <c r="F152" s="296">
        <f t="shared" ca="1" si="34"/>
        <v>-9.0909090909090912E-2</v>
      </c>
      <c r="G152" s="303">
        <f t="shared" ca="1" si="38"/>
        <v>0</v>
      </c>
      <c r="H152" s="296">
        <f t="shared" ca="1" si="39"/>
        <v>10.1808</v>
      </c>
      <c r="I152" s="297">
        <f t="shared" ca="1" si="35"/>
        <v>-10</v>
      </c>
    </row>
    <row r="153" spans="1:9">
      <c r="A153" s="295">
        <f t="shared" si="36"/>
        <v>136</v>
      </c>
      <c r="B153" s="300">
        <f t="shared" si="40"/>
        <v>4109</v>
      </c>
      <c r="C153" s="296">
        <f t="shared" ca="1" si="37"/>
        <v>10.1808</v>
      </c>
      <c r="D153" s="295"/>
      <c r="E153" s="296">
        <f t="shared" ca="1" si="41"/>
        <v>-9.0909090909090912E-2</v>
      </c>
      <c r="F153" s="296">
        <f t="shared" ca="1" si="34"/>
        <v>-9.0909090909090912E-2</v>
      </c>
      <c r="G153" s="303">
        <f t="shared" ca="1" si="38"/>
        <v>0</v>
      </c>
      <c r="H153" s="296">
        <f t="shared" ca="1" si="39"/>
        <v>10.271699999999999</v>
      </c>
      <c r="I153" s="297">
        <f t="shared" ca="1" si="35"/>
        <v>-10</v>
      </c>
    </row>
    <row r="154" spans="1:9">
      <c r="A154" s="295">
        <f t="shared" si="36"/>
        <v>137</v>
      </c>
      <c r="B154" s="300">
        <f t="shared" si="40"/>
        <v>4139</v>
      </c>
      <c r="C154" s="296">
        <f t="shared" ca="1" si="37"/>
        <v>10.271699999999999</v>
      </c>
      <c r="D154" s="295"/>
      <c r="E154" s="296">
        <f t="shared" ca="1" si="41"/>
        <v>-9.0909090909090912E-2</v>
      </c>
      <c r="F154" s="296">
        <f t="shared" ca="1" si="34"/>
        <v>-9.0909090909090912E-2</v>
      </c>
      <c r="G154" s="303">
        <f t="shared" ca="1" si="38"/>
        <v>0</v>
      </c>
      <c r="H154" s="296">
        <f t="shared" ca="1" si="39"/>
        <v>10.3626</v>
      </c>
      <c r="I154" s="297">
        <f t="shared" ca="1" si="35"/>
        <v>-10</v>
      </c>
    </row>
    <row r="155" spans="1:9">
      <c r="A155" s="295">
        <f t="shared" si="36"/>
        <v>138</v>
      </c>
      <c r="B155" s="300">
        <f t="shared" si="40"/>
        <v>4170</v>
      </c>
      <c r="C155" s="296">
        <f t="shared" ca="1" si="37"/>
        <v>10.3626</v>
      </c>
      <c r="D155" s="295"/>
      <c r="E155" s="296">
        <f t="shared" ca="1" si="41"/>
        <v>-9.0909090909090912E-2</v>
      </c>
      <c r="F155" s="296">
        <f t="shared" ca="1" si="34"/>
        <v>-9.0909090909090912E-2</v>
      </c>
      <c r="G155" s="303">
        <f t="shared" ca="1" si="38"/>
        <v>0</v>
      </c>
      <c r="H155" s="296">
        <f t="shared" ca="1" si="39"/>
        <v>10.4535</v>
      </c>
      <c r="I155" s="297">
        <f t="shared" ca="1" si="35"/>
        <v>-10</v>
      </c>
    </row>
    <row r="156" spans="1:9">
      <c r="A156" s="295">
        <f t="shared" si="36"/>
        <v>139</v>
      </c>
      <c r="B156" s="300">
        <f t="shared" si="40"/>
        <v>4200</v>
      </c>
      <c r="C156" s="296">
        <f t="shared" ca="1" si="37"/>
        <v>10.4535</v>
      </c>
      <c r="D156" s="295"/>
      <c r="E156" s="296">
        <f t="shared" ca="1" si="41"/>
        <v>-9.0909090909090912E-2</v>
      </c>
      <c r="F156" s="296">
        <f t="shared" ca="1" si="34"/>
        <v>-9.0909090909090912E-2</v>
      </c>
      <c r="G156" s="303">
        <f t="shared" ca="1" si="38"/>
        <v>0</v>
      </c>
      <c r="H156" s="296">
        <f t="shared" ca="1" si="39"/>
        <v>10.5444</v>
      </c>
      <c r="I156" s="297">
        <f t="shared" ca="1" si="35"/>
        <v>-11</v>
      </c>
    </row>
    <row r="157" spans="1:9">
      <c r="A157" s="295">
        <f t="shared" si="36"/>
        <v>140</v>
      </c>
      <c r="B157" s="300">
        <f t="shared" si="40"/>
        <v>4231</v>
      </c>
      <c r="C157" s="296">
        <f t="shared" ca="1" si="37"/>
        <v>10.5444</v>
      </c>
      <c r="D157" s="295"/>
      <c r="E157" s="296">
        <f t="shared" ca="1" si="41"/>
        <v>-9.0909090909090912E-2</v>
      </c>
      <c r="F157" s="296">
        <f t="shared" ca="1" si="34"/>
        <v>-9.0909090909090912E-2</v>
      </c>
      <c r="G157" s="303">
        <f t="shared" ca="1" si="38"/>
        <v>0</v>
      </c>
      <c r="H157" s="296">
        <f t="shared" ca="1" si="39"/>
        <v>10.635300000000001</v>
      </c>
      <c r="I157" s="297">
        <f t="shared" ca="1" si="35"/>
        <v>-11</v>
      </c>
    </row>
    <row r="158" spans="1:9">
      <c r="A158" s="295">
        <f t="shared" si="36"/>
        <v>141</v>
      </c>
      <c r="B158" s="300">
        <f t="shared" si="40"/>
        <v>4262</v>
      </c>
      <c r="C158" s="296">
        <f t="shared" ca="1" si="37"/>
        <v>10.635300000000001</v>
      </c>
      <c r="D158" s="295"/>
      <c r="E158" s="296">
        <f t="shared" ca="1" si="41"/>
        <v>-9.0909090909090912E-2</v>
      </c>
      <c r="F158" s="296">
        <f t="shared" ca="1" si="34"/>
        <v>-9.0909090909090912E-2</v>
      </c>
      <c r="G158" s="303">
        <f t="shared" ca="1" si="38"/>
        <v>0</v>
      </c>
      <c r="H158" s="296">
        <f t="shared" ca="1" si="39"/>
        <v>10.7262</v>
      </c>
      <c r="I158" s="297">
        <f t="shared" ca="1" si="35"/>
        <v>-11</v>
      </c>
    </row>
    <row r="159" spans="1:9">
      <c r="A159" s="295">
        <f t="shared" si="36"/>
        <v>142</v>
      </c>
      <c r="B159" s="300">
        <f t="shared" si="40"/>
        <v>4292</v>
      </c>
      <c r="C159" s="296">
        <f t="shared" ca="1" si="37"/>
        <v>10.7262</v>
      </c>
      <c r="D159" s="295"/>
      <c r="E159" s="296">
        <f t="shared" ca="1" si="41"/>
        <v>-9.0909090909090912E-2</v>
      </c>
      <c r="F159" s="296">
        <f t="shared" ca="1" si="34"/>
        <v>-9.0909090909090912E-2</v>
      </c>
      <c r="G159" s="303">
        <f t="shared" ca="1" si="38"/>
        <v>0</v>
      </c>
      <c r="H159" s="296">
        <f t="shared" ca="1" si="39"/>
        <v>10.8171</v>
      </c>
      <c r="I159" s="297">
        <f t="shared" ca="1" si="35"/>
        <v>-11</v>
      </c>
    </row>
    <row r="160" spans="1:9">
      <c r="A160" s="295">
        <f t="shared" si="36"/>
        <v>143</v>
      </c>
      <c r="B160" s="300">
        <f t="shared" si="40"/>
        <v>4323</v>
      </c>
      <c r="C160" s="296">
        <f t="shared" ca="1" si="37"/>
        <v>10.8171</v>
      </c>
      <c r="D160" s="295"/>
      <c r="E160" s="296">
        <f t="shared" ca="1" si="41"/>
        <v>-9.0909090909090912E-2</v>
      </c>
      <c r="F160" s="296">
        <f t="shared" ca="1" si="34"/>
        <v>-9.0909090909090912E-2</v>
      </c>
      <c r="G160" s="303">
        <f t="shared" ca="1" si="38"/>
        <v>0</v>
      </c>
      <c r="H160" s="296">
        <f t="shared" ca="1" si="39"/>
        <v>10.907999999999999</v>
      </c>
      <c r="I160" s="297">
        <f t="shared" ca="1" si="35"/>
        <v>-11</v>
      </c>
    </row>
    <row r="161" spans="1:9">
      <c r="A161" s="295">
        <f t="shared" si="36"/>
        <v>144</v>
      </c>
      <c r="B161" s="300">
        <f t="shared" si="40"/>
        <v>4353</v>
      </c>
      <c r="C161" s="296">
        <f t="shared" ca="1" si="37"/>
        <v>10.907999999999999</v>
      </c>
      <c r="D161" s="296">
        <f ca="1">IF(H161&lt;0,0,(K29-L29)/11)</f>
        <v>-9.0909090909090912E-2</v>
      </c>
      <c r="E161" s="296">
        <f t="shared" ca="1" si="41"/>
        <v>-9.0909090909090912E-2</v>
      </c>
      <c r="F161" s="296">
        <f t="shared" ca="1" si="34"/>
        <v>-9.0909090909090912E-2</v>
      </c>
      <c r="G161" s="303">
        <f t="shared" ca="1" si="38"/>
        <v>0</v>
      </c>
      <c r="H161" s="296">
        <f t="shared" ca="1" si="39"/>
        <v>10.998900000000001</v>
      </c>
      <c r="I161" s="297">
        <f t="shared" ca="1" si="35"/>
        <v>-11</v>
      </c>
    </row>
    <row r="162" spans="1:9">
      <c r="A162" s="295">
        <f t="shared" si="36"/>
        <v>145</v>
      </c>
      <c r="B162" s="300">
        <f t="shared" si="40"/>
        <v>4384</v>
      </c>
      <c r="C162" s="296">
        <f t="shared" ca="1" si="37"/>
        <v>10.998900000000001</v>
      </c>
      <c r="D162" s="296"/>
      <c r="E162" s="296">
        <f t="shared" ref="E162:E173" si="42">IF($D$10=1,
 IF(OR(MONTH(B162)=MONTH(EDATE($D$7,0)),MONTH(B162)=MONTH(EDATE($D$7,1)),MONTH(B162)=MONTH(EDATE($D$7,2)),MONTH(B162)=MONTH(EDATE($D$7,3)), MONTH(B162)=MONTH(EDATE($D$7,4)),MONTH(B162)=MONTH(EDATE($D$7,5)),MONTH(B162)=MONTH(EDATE($D$7,6)),MONTH(B162)=MONTH(EDATE($D$7,7)),MONTH(B162)=MONTH(EDATE($D$7,8)),MONTH(B162)=MONTH(EDATE($D$7,9)),MONTH(B162)=MONTH(EDATE($D$7,10))),(MIN( $D$161,H161)),0),
IF($D$10=0,
 IF(OR(MONTH(B162)=MONTH(EDATE($D$7,1)),MONTH(B162)=MONTH(EDATE($D$7,2)),MONTH(B162)=MONTH(EDATE($D$7,3)),MONTH(B162)=MONTH(EDATE($D$7,4)), MONTH(B162)=MONTH(EDATE($D$7,5)),MONTH(B162)=MONTH(EDATE($D$7,6)),MONTH(B162)=MONTH(EDATE($D$7,7)),MONTH(B162)=MONTH(EDATE($D$7,8)),MONTH(B162)=MONTH(EDATE($D$7,9)),MONTH(B162)=MONTH(EDATE($D$7,10)),MONTH(B162)=MONTH(EDATE($D$7,11))),(MIN( $D$161,H161)),0)))</f>
        <v>0</v>
      </c>
      <c r="F162" s="296">
        <f t="shared" ca="1" si="34"/>
        <v>0</v>
      </c>
      <c r="G162" s="303">
        <f t="shared" ca="1" si="38"/>
        <v>0</v>
      </c>
      <c r="H162" s="296">
        <f t="shared" ca="1" si="39"/>
        <v>10.998900000000001</v>
      </c>
      <c r="I162" s="297">
        <f t="shared" ca="1" si="35"/>
        <v>-11</v>
      </c>
    </row>
    <row r="163" spans="1:9">
      <c r="A163" s="295">
        <f t="shared" si="36"/>
        <v>146</v>
      </c>
      <c r="B163" s="300">
        <f t="shared" si="40"/>
        <v>4415</v>
      </c>
      <c r="C163" s="296">
        <f t="shared" ca="1" si="37"/>
        <v>10.998900000000001</v>
      </c>
      <c r="D163" s="296"/>
      <c r="E163" s="296">
        <f t="shared" ca="1" si="42"/>
        <v>-9.0909090909090912E-2</v>
      </c>
      <c r="F163" s="296">
        <f t="shared" ca="1" si="34"/>
        <v>-9.0909090909090912E-2</v>
      </c>
      <c r="G163" s="303">
        <f t="shared" ca="1" si="38"/>
        <v>0</v>
      </c>
      <c r="H163" s="296">
        <f t="shared" ca="1" si="39"/>
        <v>11.0898</v>
      </c>
      <c r="I163" s="297">
        <f t="shared" ca="1" si="35"/>
        <v>-11</v>
      </c>
    </row>
    <row r="164" spans="1:9">
      <c r="A164" s="295">
        <f t="shared" si="36"/>
        <v>147</v>
      </c>
      <c r="B164" s="300">
        <f t="shared" si="40"/>
        <v>4444</v>
      </c>
      <c r="C164" s="296">
        <f t="shared" ca="1" si="37"/>
        <v>11.0898</v>
      </c>
      <c r="D164" s="295"/>
      <c r="E164" s="296">
        <f t="shared" ca="1" si="42"/>
        <v>-9.0909090909090912E-2</v>
      </c>
      <c r="F164" s="296">
        <f t="shared" ca="1" si="34"/>
        <v>-9.0909090909090912E-2</v>
      </c>
      <c r="G164" s="303">
        <f t="shared" ca="1" si="38"/>
        <v>0</v>
      </c>
      <c r="H164" s="296">
        <f t="shared" ca="1" si="39"/>
        <v>11.1807</v>
      </c>
      <c r="I164" s="297">
        <f t="shared" ca="1" si="35"/>
        <v>-11</v>
      </c>
    </row>
    <row r="165" spans="1:9">
      <c r="A165" s="295">
        <f t="shared" si="36"/>
        <v>148</v>
      </c>
      <c r="B165" s="300">
        <f t="shared" si="40"/>
        <v>4475</v>
      </c>
      <c r="C165" s="296">
        <f t="shared" ca="1" si="37"/>
        <v>11.1807</v>
      </c>
      <c r="D165" s="295"/>
      <c r="E165" s="296">
        <f t="shared" ca="1" si="42"/>
        <v>-9.0909090909090912E-2</v>
      </c>
      <c r="F165" s="296">
        <f t="shared" ca="1" si="34"/>
        <v>-9.0909090909090912E-2</v>
      </c>
      <c r="G165" s="303">
        <f t="shared" ca="1" si="38"/>
        <v>0</v>
      </c>
      <c r="H165" s="296">
        <f t="shared" ca="1" si="39"/>
        <v>11.271599999999999</v>
      </c>
      <c r="I165" s="297">
        <f t="shared" ca="1" si="35"/>
        <v>-11</v>
      </c>
    </row>
    <row r="166" spans="1:9">
      <c r="A166" s="295">
        <f t="shared" si="36"/>
        <v>149</v>
      </c>
      <c r="B166" s="300">
        <f t="shared" si="40"/>
        <v>4505</v>
      </c>
      <c r="C166" s="296">
        <f t="shared" ca="1" si="37"/>
        <v>11.271599999999999</v>
      </c>
      <c r="D166" s="295"/>
      <c r="E166" s="296">
        <f t="shared" ca="1" si="42"/>
        <v>-9.0909090909090912E-2</v>
      </c>
      <c r="F166" s="296">
        <f t="shared" ca="1" si="34"/>
        <v>-9.0909090909090912E-2</v>
      </c>
      <c r="G166" s="303">
        <f t="shared" ca="1" si="38"/>
        <v>0</v>
      </c>
      <c r="H166" s="296">
        <f t="shared" ca="1" si="39"/>
        <v>11.362500000000001</v>
      </c>
      <c r="I166" s="297">
        <f t="shared" ca="1" si="35"/>
        <v>-11</v>
      </c>
    </row>
    <row r="167" spans="1:9">
      <c r="A167" s="295">
        <f t="shared" si="36"/>
        <v>150</v>
      </c>
      <c r="B167" s="300">
        <f t="shared" si="40"/>
        <v>4536</v>
      </c>
      <c r="C167" s="296">
        <f t="shared" ca="1" si="37"/>
        <v>11.362500000000001</v>
      </c>
      <c r="D167" s="295"/>
      <c r="E167" s="296">
        <f t="shared" ca="1" si="42"/>
        <v>-9.0909090909090912E-2</v>
      </c>
      <c r="F167" s="296">
        <f t="shared" ca="1" si="34"/>
        <v>-9.0909090909090912E-2</v>
      </c>
      <c r="G167" s="303">
        <f t="shared" ca="1" si="38"/>
        <v>0</v>
      </c>
      <c r="H167" s="296">
        <f t="shared" ca="1" si="39"/>
        <v>11.4534</v>
      </c>
      <c r="I167" s="297">
        <f t="shared" ca="1" si="35"/>
        <v>-11</v>
      </c>
    </row>
    <row r="168" spans="1:9">
      <c r="A168" s="295">
        <f t="shared" si="36"/>
        <v>151</v>
      </c>
      <c r="B168" s="300">
        <f t="shared" si="40"/>
        <v>4566</v>
      </c>
      <c r="C168" s="296">
        <f t="shared" ca="1" si="37"/>
        <v>11.4534</v>
      </c>
      <c r="D168" s="295"/>
      <c r="E168" s="296">
        <f t="shared" ca="1" si="42"/>
        <v>-9.0909090909090912E-2</v>
      </c>
      <c r="F168" s="296">
        <f t="shared" ca="1" si="34"/>
        <v>-9.0909090909090912E-2</v>
      </c>
      <c r="G168" s="303">
        <f t="shared" ca="1" si="38"/>
        <v>0</v>
      </c>
      <c r="H168" s="296">
        <f t="shared" ca="1" si="39"/>
        <v>11.5443</v>
      </c>
      <c r="I168" s="297">
        <f t="shared" ca="1" si="35"/>
        <v>-12</v>
      </c>
    </row>
    <row r="169" spans="1:9">
      <c r="A169" s="295">
        <f t="shared" si="36"/>
        <v>152</v>
      </c>
      <c r="B169" s="300">
        <f t="shared" si="40"/>
        <v>4597</v>
      </c>
      <c r="C169" s="296">
        <f t="shared" ca="1" si="37"/>
        <v>11.5443</v>
      </c>
      <c r="D169" s="295"/>
      <c r="E169" s="296">
        <f t="shared" ca="1" si="42"/>
        <v>-9.0909090909090912E-2</v>
      </c>
      <c r="F169" s="296">
        <f t="shared" ca="1" si="34"/>
        <v>-9.0909090909090912E-2</v>
      </c>
      <c r="G169" s="303">
        <f t="shared" ca="1" si="38"/>
        <v>0</v>
      </c>
      <c r="H169" s="296">
        <f t="shared" ca="1" si="39"/>
        <v>11.635199999999999</v>
      </c>
      <c r="I169" s="297">
        <f t="shared" ca="1" si="35"/>
        <v>-12</v>
      </c>
    </row>
    <row r="170" spans="1:9">
      <c r="A170" s="295">
        <f t="shared" si="36"/>
        <v>153</v>
      </c>
      <c r="B170" s="300">
        <f t="shared" si="40"/>
        <v>4628</v>
      </c>
      <c r="C170" s="296">
        <f t="shared" ca="1" si="37"/>
        <v>11.635199999999999</v>
      </c>
      <c r="D170" s="295"/>
      <c r="E170" s="296">
        <f t="shared" ca="1" si="42"/>
        <v>-9.0909090909090912E-2</v>
      </c>
      <c r="F170" s="296">
        <f t="shared" ca="1" si="34"/>
        <v>-9.0909090909090912E-2</v>
      </c>
      <c r="G170" s="303">
        <f t="shared" ca="1" si="38"/>
        <v>0</v>
      </c>
      <c r="H170" s="296">
        <f t="shared" ca="1" si="39"/>
        <v>11.726100000000001</v>
      </c>
      <c r="I170" s="297">
        <f t="shared" ca="1" si="35"/>
        <v>-12</v>
      </c>
    </row>
    <row r="171" spans="1:9">
      <c r="A171" s="295">
        <f t="shared" si="36"/>
        <v>154</v>
      </c>
      <c r="B171" s="300">
        <f t="shared" si="40"/>
        <v>4658</v>
      </c>
      <c r="C171" s="296">
        <f t="shared" ca="1" si="37"/>
        <v>11.726100000000001</v>
      </c>
      <c r="D171" s="295"/>
      <c r="E171" s="296">
        <f t="shared" ca="1" si="42"/>
        <v>-9.0909090909090912E-2</v>
      </c>
      <c r="F171" s="296">
        <f t="shared" ca="1" si="34"/>
        <v>-9.0909090909090912E-2</v>
      </c>
      <c r="G171" s="303">
        <f t="shared" ca="1" si="38"/>
        <v>0</v>
      </c>
      <c r="H171" s="296">
        <f t="shared" ca="1" si="39"/>
        <v>11.817</v>
      </c>
      <c r="I171" s="297">
        <f t="shared" ca="1" si="35"/>
        <v>-12</v>
      </c>
    </row>
    <row r="172" spans="1:9">
      <c r="A172" s="295">
        <f t="shared" si="36"/>
        <v>155</v>
      </c>
      <c r="B172" s="300">
        <f t="shared" si="40"/>
        <v>4689</v>
      </c>
      <c r="C172" s="296">
        <f t="shared" ca="1" si="37"/>
        <v>11.817</v>
      </c>
      <c r="D172" s="295"/>
      <c r="E172" s="296">
        <f t="shared" ca="1" si="42"/>
        <v>-9.0909090909090912E-2</v>
      </c>
      <c r="F172" s="296">
        <f t="shared" ca="1" si="34"/>
        <v>-9.0909090909090912E-2</v>
      </c>
      <c r="G172" s="303">
        <f t="shared" ca="1" si="38"/>
        <v>0</v>
      </c>
      <c r="H172" s="296">
        <f t="shared" ca="1" si="39"/>
        <v>11.9079</v>
      </c>
      <c r="I172" s="297">
        <f t="shared" ca="1" si="35"/>
        <v>-12</v>
      </c>
    </row>
    <row r="173" spans="1:9">
      <c r="A173" s="295">
        <f t="shared" si="36"/>
        <v>156</v>
      </c>
      <c r="B173" s="300">
        <f t="shared" si="40"/>
        <v>4719</v>
      </c>
      <c r="C173" s="296">
        <f t="shared" ca="1" si="37"/>
        <v>11.9079</v>
      </c>
      <c r="D173" s="296">
        <f ca="1">IF(H173&lt;0,0,(K30-L30)/11)</f>
        <v>-9.0909090909090912E-2</v>
      </c>
      <c r="E173" s="296">
        <f t="shared" ca="1" si="42"/>
        <v>-9.0909090909090912E-2</v>
      </c>
      <c r="F173" s="296">
        <f t="shared" ca="1" si="34"/>
        <v>-9.0909090909090912E-2</v>
      </c>
      <c r="G173" s="303">
        <f t="shared" ca="1" si="38"/>
        <v>0</v>
      </c>
      <c r="H173" s="296">
        <f t="shared" ca="1" si="39"/>
        <v>11.998799999999999</v>
      </c>
      <c r="I173" s="297">
        <f t="shared" ca="1" si="35"/>
        <v>-12</v>
      </c>
    </row>
    <row r="174" spans="1:9">
      <c r="A174" s="295">
        <f t="shared" si="36"/>
        <v>157</v>
      </c>
      <c r="B174" s="300">
        <f t="shared" si="40"/>
        <v>4750</v>
      </c>
      <c r="C174" s="296">
        <f t="shared" ca="1" si="37"/>
        <v>11.998799999999999</v>
      </c>
      <c r="D174" s="296"/>
      <c r="E174" s="296">
        <f t="shared" ref="E174:E185" si="43">IF($D$10=1,
 IF(OR(MONTH(B174)=MONTH(EDATE($D$7,0)),MONTH(B174)=MONTH(EDATE($D$7,1)),MONTH(B174)=MONTH(EDATE($D$7,2)),MONTH(B174)=MONTH(EDATE($D$7,3)), MONTH(B174)=MONTH(EDATE($D$7,4)),MONTH(B174)=MONTH(EDATE($D$7,5)),MONTH(B174)=MONTH(EDATE($D$7,6)),MONTH(B174)=MONTH(EDATE($D$7,7)),MONTH(B174)=MONTH(EDATE($D$7,8)),MONTH(B174)=MONTH(EDATE($D$7,9)),MONTH(B174)=MONTH(EDATE($D$7,10))),(MIN( $D$173,H173)),0),
IF($D$10=0,
 IF(OR(MONTH(B174)=MONTH(EDATE($D$7,1)),MONTH(B174)=MONTH(EDATE($D$7,2)),MONTH(B174)=MONTH(EDATE($D$7,3)),MONTH(B174)=MONTH(EDATE($D$7,4)), MONTH(B174)=MONTH(EDATE($D$7,5)),MONTH(B174)=MONTH(EDATE($D$7,6)),MONTH(B174)=MONTH(EDATE($D$7,7)),MONTH(B174)=MONTH(EDATE($D$7,8)),MONTH(B174)=MONTH(EDATE($D$7,9)),MONTH(B174)=MONTH(EDATE($D$7,10)),MONTH(B174)=MONTH(EDATE($D$7,11))),(MIN( $D$173,H173)),0)))</f>
        <v>0</v>
      </c>
      <c r="F174" s="296">
        <f t="shared" ca="1" si="34"/>
        <v>0</v>
      </c>
      <c r="G174" s="303">
        <f t="shared" ca="1" si="38"/>
        <v>0</v>
      </c>
      <c r="H174" s="296">
        <f t="shared" ca="1" si="39"/>
        <v>11.998799999999999</v>
      </c>
      <c r="I174" s="297">
        <f t="shared" ca="1" si="35"/>
        <v>-12</v>
      </c>
    </row>
    <row r="175" spans="1:9">
      <c r="A175" s="295">
        <f t="shared" si="36"/>
        <v>158</v>
      </c>
      <c r="B175" s="300">
        <f t="shared" si="40"/>
        <v>4781</v>
      </c>
      <c r="C175" s="296">
        <f t="shared" ca="1" si="37"/>
        <v>11.998799999999999</v>
      </c>
      <c r="D175" s="295"/>
      <c r="E175" s="296">
        <f t="shared" ca="1" si="43"/>
        <v>-9.0909090909090912E-2</v>
      </c>
      <c r="F175" s="296">
        <f t="shared" ca="1" si="34"/>
        <v>-9.0909090909090912E-2</v>
      </c>
      <c r="G175" s="303">
        <f t="shared" ca="1" si="38"/>
        <v>0</v>
      </c>
      <c r="H175" s="296">
        <f t="shared" ca="1" si="39"/>
        <v>12.089700000000001</v>
      </c>
      <c r="I175" s="297">
        <f t="shared" ca="1" si="35"/>
        <v>-12</v>
      </c>
    </row>
    <row r="176" spans="1:9">
      <c r="A176" s="295">
        <f t="shared" si="36"/>
        <v>159</v>
      </c>
      <c r="B176" s="300">
        <f t="shared" si="40"/>
        <v>4809</v>
      </c>
      <c r="C176" s="296">
        <f t="shared" ca="1" si="37"/>
        <v>12.089700000000001</v>
      </c>
      <c r="D176" s="295"/>
      <c r="E176" s="296">
        <f t="shared" ca="1" si="43"/>
        <v>-9.0909090909090912E-2</v>
      </c>
      <c r="F176" s="296">
        <f t="shared" ca="1" si="34"/>
        <v>-9.0909090909090912E-2</v>
      </c>
      <c r="G176" s="303">
        <f t="shared" ca="1" si="38"/>
        <v>0</v>
      </c>
      <c r="H176" s="296">
        <f t="shared" ca="1" si="39"/>
        <v>12.1806</v>
      </c>
      <c r="I176" s="297">
        <f t="shared" ca="1" si="35"/>
        <v>-12</v>
      </c>
    </row>
    <row r="177" spans="1:9">
      <c r="A177" s="295">
        <f t="shared" si="36"/>
        <v>160</v>
      </c>
      <c r="B177" s="300">
        <f t="shared" si="40"/>
        <v>4840</v>
      </c>
      <c r="C177" s="296">
        <f t="shared" ca="1" si="37"/>
        <v>12.1806</v>
      </c>
      <c r="D177" s="295"/>
      <c r="E177" s="296">
        <f t="shared" ca="1" si="43"/>
        <v>-9.0909090909090912E-2</v>
      </c>
      <c r="F177" s="296">
        <f t="shared" ca="1" si="34"/>
        <v>-9.0909090909090912E-2</v>
      </c>
      <c r="G177" s="303">
        <f t="shared" ca="1" si="38"/>
        <v>0</v>
      </c>
      <c r="H177" s="296">
        <f t="shared" ca="1" si="39"/>
        <v>12.2715</v>
      </c>
      <c r="I177" s="297">
        <f t="shared" ca="1" si="35"/>
        <v>-12</v>
      </c>
    </row>
    <row r="178" spans="1:9">
      <c r="A178" s="295">
        <f t="shared" si="36"/>
        <v>161</v>
      </c>
      <c r="B178" s="300">
        <f t="shared" si="40"/>
        <v>4870</v>
      </c>
      <c r="C178" s="296">
        <f t="shared" ca="1" si="37"/>
        <v>12.2715</v>
      </c>
      <c r="D178" s="295"/>
      <c r="E178" s="296">
        <f t="shared" ca="1" si="43"/>
        <v>-9.0909090909090912E-2</v>
      </c>
      <c r="F178" s="296">
        <f t="shared" ca="1" si="34"/>
        <v>-9.0909090909090912E-2</v>
      </c>
      <c r="G178" s="303">
        <f t="shared" ca="1" si="38"/>
        <v>0</v>
      </c>
      <c r="H178" s="296">
        <f t="shared" ca="1" si="39"/>
        <v>12.362399999999999</v>
      </c>
      <c r="I178" s="297">
        <f t="shared" ca="1" si="35"/>
        <v>-12</v>
      </c>
    </row>
    <row r="179" spans="1:9">
      <c r="A179" s="295">
        <f t="shared" si="36"/>
        <v>162</v>
      </c>
      <c r="B179" s="300">
        <f t="shared" si="40"/>
        <v>4901</v>
      </c>
      <c r="C179" s="296">
        <f t="shared" ca="1" si="37"/>
        <v>12.362399999999999</v>
      </c>
      <c r="D179" s="295"/>
      <c r="E179" s="296">
        <f t="shared" ca="1" si="43"/>
        <v>-9.0909090909090912E-2</v>
      </c>
      <c r="F179" s="296">
        <f t="shared" ca="1" si="34"/>
        <v>-9.0909090909090912E-2</v>
      </c>
      <c r="G179" s="303">
        <f t="shared" ca="1" si="38"/>
        <v>0</v>
      </c>
      <c r="H179" s="296">
        <f t="shared" ca="1" si="39"/>
        <v>12.4533</v>
      </c>
      <c r="I179" s="297">
        <f t="shared" ca="1" si="35"/>
        <v>-12</v>
      </c>
    </row>
    <row r="180" spans="1:9">
      <c r="A180" s="295">
        <f t="shared" si="36"/>
        <v>163</v>
      </c>
      <c r="B180" s="300">
        <f t="shared" si="40"/>
        <v>4931</v>
      </c>
      <c r="C180" s="296">
        <f t="shared" ca="1" si="37"/>
        <v>12.4533</v>
      </c>
      <c r="D180" s="295"/>
      <c r="E180" s="296">
        <f t="shared" ca="1" si="43"/>
        <v>-9.0909090909090912E-2</v>
      </c>
      <c r="F180" s="296">
        <f t="shared" ca="1" si="34"/>
        <v>-9.0909090909090912E-2</v>
      </c>
      <c r="G180" s="303">
        <f t="shared" ca="1" si="38"/>
        <v>0</v>
      </c>
      <c r="H180" s="296">
        <f t="shared" ca="1" si="39"/>
        <v>12.5442</v>
      </c>
      <c r="I180" s="297">
        <f t="shared" ca="1" si="35"/>
        <v>-13</v>
      </c>
    </row>
    <row r="181" spans="1:9">
      <c r="A181" s="295">
        <f t="shared" si="36"/>
        <v>164</v>
      </c>
      <c r="B181" s="300">
        <f t="shared" si="40"/>
        <v>4962</v>
      </c>
      <c r="C181" s="296">
        <f t="shared" ca="1" si="37"/>
        <v>12.5442</v>
      </c>
      <c r="D181" s="295"/>
      <c r="E181" s="296">
        <f t="shared" ca="1" si="43"/>
        <v>-9.0909090909090912E-2</v>
      </c>
      <c r="F181" s="296">
        <f t="shared" ca="1" si="34"/>
        <v>-9.0909090909090912E-2</v>
      </c>
      <c r="G181" s="303">
        <f t="shared" ca="1" si="38"/>
        <v>0</v>
      </c>
      <c r="H181" s="296">
        <f t="shared" ca="1" si="39"/>
        <v>12.6351</v>
      </c>
      <c r="I181" s="297">
        <f t="shared" ca="1" si="35"/>
        <v>-13</v>
      </c>
    </row>
    <row r="182" spans="1:9">
      <c r="A182" s="295">
        <f t="shared" si="36"/>
        <v>165</v>
      </c>
      <c r="B182" s="300">
        <f t="shared" si="40"/>
        <v>4993</v>
      </c>
      <c r="C182" s="296">
        <f t="shared" ca="1" si="37"/>
        <v>12.6351</v>
      </c>
      <c r="D182" s="295"/>
      <c r="E182" s="296">
        <f t="shared" ca="1" si="43"/>
        <v>-9.0909090909090912E-2</v>
      </c>
      <c r="F182" s="296">
        <f t="shared" ca="1" si="34"/>
        <v>-9.0909090909090912E-2</v>
      </c>
      <c r="G182" s="303">
        <f t="shared" ca="1" si="38"/>
        <v>0</v>
      </c>
      <c r="H182" s="296">
        <f t="shared" ca="1" si="39"/>
        <v>12.726000000000001</v>
      </c>
      <c r="I182" s="297">
        <f t="shared" ca="1" si="35"/>
        <v>-13</v>
      </c>
    </row>
    <row r="183" spans="1:9">
      <c r="A183" s="295">
        <f t="shared" si="36"/>
        <v>166</v>
      </c>
      <c r="B183" s="300">
        <f t="shared" si="40"/>
        <v>5023</v>
      </c>
      <c r="C183" s="296">
        <f t="shared" ca="1" si="37"/>
        <v>12.726000000000001</v>
      </c>
      <c r="D183" s="295"/>
      <c r="E183" s="296">
        <f t="shared" ca="1" si="43"/>
        <v>-9.0909090909090912E-2</v>
      </c>
      <c r="F183" s="296">
        <f t="shared" ca="1" si="34"/>
        <v>-9.0909090909090912E-2</v>
      </c>
      <c r="G183" s="303">
        <f t="shared" ca="1" si="38"/>
        <v>0</v>
      </c>
      <c r="H183" s="296">
        <f t="shared" ca="1" si="39"/>
        <v>12.8169</v>
      </c>
      <c r="I183" s="297">
        <f t="shared" ca="1" si="35"/>
        <v>-13</v>
      </c>
    </row>
    <row r="184" spans="1:9">
      <c r="A184" s="295">
        <f t="shared" si="36"/>
        <v>167</v>
      </c>
      <c r="B184" s="300">
        <f t="shared" si="40"/>
        <v>5054</v>
      </c>
      <c r="C184" s="296">
        <f t="shared" ca="1" si="37"/>
        <v>12.8169</v>
      </c>
      <c r="D184" s="295"/>
      <c r="E184" s="296">
        <f t="shared" ca="1" si="43"/>
        <v>-9.0909090909090912E-2</v>
      </c>
      <c r="F184" s="296">
        <f t="shared" ca="1" si="34"/>
        <v>-9.0909090909090912E-2</v>
      </c>
      <c r="G184" s="303">
        <f t="shared" ca="1" si="38"/>
        <v>0</v>
      </c>
      <c r="H184" s="296">
        <f t="shared" ca="1" si="39"/>
        <v>12.9078</v>
      </c>
      <c r="I184" s="297">
        <f t="shared" ca="1" si="35"/>
        <v>-13</v>
      </c>
    </row>
    <row r="185" spans="1:9">
      <c r="A185" s="295">
        <f t="shared" si="36"/>
        <v>168</v>
      </c>
      <c r="B185" s="300">
        <f t="shared" si="40"/>
        <v>5084</v>
      </c>
      <c r="C185" s="296">
        <f t="shared" ca="1" si="37"/>
        <v>12.9078</v>
      </c>
      <c r="D185" s="296">
        <f ca="1">IF(H185&lt;0,0,(K31-L31)/11)</f>
        <v>-9.0909090909090912E-2</v>
      </c>
      <c r="E185" s="296">
        <f t="shared" ca="1" si="43"/>
        <v>-9.0909090909090912E-2</v>
      </c>
      <c r="F185" s="296">
        <f t="shared" ca="1" si="34"/>
        <v>-9.0909090909090912E-2</v>
      </c>
      <c r="G185" s="303">
        <f t="shared" ca="1" si="38"/>
        <v>0</v>
      </c>
      <c r="H185" s="296">
        <f t="shared" ca="1" si="39"/>
        <v>12.998699999999999</v>
      </c>
      <c r="I185" s="297">
        <f t="shared" ca="1" si="35"/>
        <v>-13</v>
      </c>
    </row>
    <row r="186" spans="1:9">
      <c r="A186" s="295">
        <f t="shared" si="36"/>
        <v>169</v>
      </c>
      <c r="B186" s="300">
        <f t="shared" si="40"/>
        <v>5115</v>
      </c>
      <c r="C186" s="296">
        <f t="shared" ca="1" si="37"/>
        <v>12.998699999999999</v>
      </c>
      <c r="D186" s="296"/>
      <c r="E186" s="296">
        <f t="shared" ref="E186:E197" si="44">IF($D$10=1,
 IF(OR(MONTH(B186)=MONTH(EDATE($D$7,0)),MONTH(B186)=MONTH(EDATE($D$7,1)),MONTH(B186)=MONTH(EDATE($D$7,2)),MONTH(B186)=MONTH(EDATE($D$7,3)), MONTH(B186)=MONTH(EDATE($D$7,4)),MONTH(B186)=MONTH(EDATE($D$7,5)),MONTH(B186)=MONTH(EDATE($D$7,6)),MONTH(B186)=MONTH(EDATE($D$7,7)),MONTH(B186)=MONTH(EDATE($D$7,8)),MONTH(B186)=MONTH(EDATE($D$7,9)),MONTH(B186)=MONTH(EDATE($D$7,10))),(MIN( $D$185,H185)),0),
IF($D$10=0,
 IF(OR(MONTH(B186)=MONTH(EDATE($D$7,1)),MONTH(B186)=MONTH(EDATE($D$7,2)),MONTH(B186)=MONTH(EDATE($D$7,3)),MONTH(B186)=MONTH(EDATE($D$7,4)), MONTH(B186)=MONTH(EDATE($D$7,5)),MONTH(B186)=MONTH(EDATE($D$7,6)),MONTH(B186)=MONTH(EDATE($D$7,7)),MONTH(B186)=MONTH(EDATE($D$7,8)),MONTH(B186)=MONTH(EDATE($D$7,9)),MONTH(B186)=MONTH(EDATE($D$7,10)),MONTH(B186)=MONTH(EDATE($D$7,11))),(MIN( $D$185,H185)),0)))</f>
        <v>0</v>
      </c>
      <c r="F186" s="296">
        <f t="shared" ca="1" si="34"/>
        <v>0</v>
      </c>
      <c r="G186" s="303">
        <f t="shared" ca="1" si="38"/>
        <v>0</v>
      </c>
      <c r="H186" s="296">
        <f t="shared" ca="1" si="39"/>
        <v>12.998699999999999</v>
      </c>
      <c r="I186" s="297">
        <f t="shared" ca="1" si="35"/>
        <v>-13</v>
      </c>
    </row>
    <row r="187" spans="1:9">
      <c r="A187" s="295">
        <f t="shared" si="36"/>
        <v>170</v>
      </c>
      <c r="B187" s="300">
        <f t="shared" si="40"/>
        <v>5146</v>
      </c>
      <c r="C187" s="296">
        <f t="shared" ca="1" si="37"/>
        <v>12.998699999999999</v>
      </c>
      <c r="D187" s="295"/>
      <c r="E187" s="296">
        <f t="shared" ca="1" si="44"/>
        <v>-9.0909090909090912E-2</v>
      </c>
      <c r="F187" s="296">
        <f t="shared" ca="1" si="34"/>
        <v>-9.0909090909090912E-2</v>
      </c>
      <c r="G187" s="303">
        <f t="shared" ca="1" si="38"/>
        <v>0</v>
      </c>
      <c r="H187" s="296">
        <f t="shared" ca="1" si="39"/>
        <v>13.089600000000001</v>
      </c>
      <c r="I187" s="297">
        <f t="shared" ca="1" si="35"/>
        <v>-13</v>
      </c>
    </row>
    <row r="188" spans="1:9">
      <c r="A188" s="295">
        <f t="shared" si="36"/>
        <v>171</v>
      </c>
      <c r="B188" s="300">
        <f t="shared" si="40"/>
        <v>5174</v>
      </c>
      <c r="C188" s="296">
        <f t="shared" ca="1" si="37"/>
        <v>13.089600000000001</v>
      </c>
      <c r="D188" s="295"/>
      <c r="E188" s="296">
        <f t="shared" ca="1" si="44"/>
        <v>-9.0909090909090912E-2</v>
      </c>
      <c r="F188" s="296">
        <f t="shared" ca="1" si="34"/>
        <v>-9.0909090909090912E-2</v>
      </c>
      <c r="G188" s="303">
        <f t="shared" ca="1" si="38"/>
        <v>0</v>
      </c>
      <c r="H188" s="296">
        <f t="shared" ca="1" si="39"/>
        <v>13.1805</v>
      </c>
      <c r="I188" s="297">
        <f t="shared" ca="1" si="35"/>
        <v>-13</v>
      </c>
    </row>
    <row r="189" spans="1:9">
      <c r="A189" s="295">
        <f t="shared" si="36"/>
        <v>172</v>
      </c>
      <c r="B189" s="300">
        <f t="shared" si="40"/>
        <v>5205</v>
      </c>
      <c r="C189" s="296">
        <f t="shared" ca="1" si="37"/>
        <v>13.1805</v>
      </c>
      <c r="D189" s="295"/>
      <c r="E189" s="296">
        <f t="shared" ca="1" si="44"/>
        <v>-9.0909090909090912E-2</v>
      </c>
      <c r="F189" s="296">
        <f t="shared" ca="1" si="34"/>
        <v>-9.0909090909090912E-2</v>
      </c>
      <c r="G189" s="303">
        <f t="shared" ca="1" si="38"/>
        <v>0</v>
      </c>
      <c r="H189" s="296">
        <f t="shared" ca="1" si="39"/>
        <v>13.2714</v>
      </c>
      <c r="I189" s="297">
        <f t="shared" ca="1" si="35"/>
        <v>-13</v>
      </c>
    </row>
    <row r="190" spans="1:9">
      <c r="A190" s="295">
        <f t="shared" si="36"/>
        <v>173</v>
      </c>
      <c r="B190" s="300">
        <f t="shared" si="40"/>
        <v>5235</v>
      </c>
      <c r="C190" s="296">
        <f t="shared" ca="1" si="37"/>
        <v>13.2714</v>
      </c>
      <c r="D190" s="295"/>
      <c r="E190" s="296">
        <f t="shared" ca="1" si="44"/>
        <v>-9.0909090909090912E-2</v>
      </c>
      <c r="F190" s="296">
        <f t="shared" ca="1" si="34"/>
        <v>-9.0909090909090912E-2</v>
      </c>
      <c r="G190" s="303">
        <f t="shared" ca="1" si="38"/>
        <v>0</v>
      </c>
      <c r="H190" s="296">
        <f t="shared" ca="1" si="39"/>
        <v>13.362299999999999</v>
      </c>
      <c r="I190" s="297">
        <f t="shared" ca="1" si="35"/>
        <v>-13</v>
      </c>
    </row>
    <row r="191" spans="1:9">
      <c r="A191" s="295">
        <f t="shared" si="36"/>
        <v>174</v>
      </c>
      <c r="B191" s="300">
        <f t="shared" si="40"/>
        <v>5266</v>
      </c>
      <c r="C191" s="296">
        <f t="shared" ca="1" si="37"/>
        <v>13.362299999999999</v>
      </c>
      <c r="D191" s="295"/>
      <c r="E191" s="296">
        <f t="shared" ca="1" si="44"/>
        <v>-9.0909090909090912E-2</v>
      </c>
      <c r="F191" s="296">
        <f t="shared" ca="1" si="34"/>
        <v>-9.0909090909090912E-2</v>
      </c>
      <c r="G191" s="303">
        <f t="shared" ca="1" si="38"/>
        <v>0</v>
      </c>
      <c r="H191" s="296">
        <f t="shared" ca="1" si="39"/>
        <v>13.453200000000001</v>
      </c>
      <c r="I191" s="297">
        <f t="shared" ca="1" si="35"/>
        <v>-13</v>
      </c>
    </row>
    <row r="192" spans="1:9">
      <c r="A192" s="295">
        <f t="shared" si="36"/>
        <v>175</v>
      </c>
      <c r="B192" s="300">
        <f t="shared" si="40"/>
        <v>5296</v>
      </c>
      <c r="C192" s="296">
        <f t="shared" ca="1" si="37"/>
        <v>13.453200000000001</v>
      </c>
      <c r="D192" s="295"/>
      <c r="E192" s="296">
        <f t="shared" ca="1" si="44"/>
        <v>-9.0909090909090912E-2</v>
      </c>
      <c r="F192" s="296">
        <f t="shared" ca="1" si="34"/>
        <v>-9.0909090909090912E-2</v>
      </c>
      <c r="G192" s="303">
        <f t="shared" ca="1" si="38"/>
        <v>0</v>
      </c>
      <c r="H192" s="296">
        <f t="shared" ca="1" si="39"/>
        <v>13.5441</v>
      </c>
      <c r="I192" s="297">
        <f t="shared" ca="1" si="35"/>
        <v>-14</v>
      </c>
    </row>
    <row r="193" spans="1:9">
      <c r="A193" s="295">
        <f t="shared" si="36"/>
        <v>176</v>
      </c>
      <c r="B193" s="300">
        <f t="shared" si="40"/>
        <v>5327</v>
      </c>
      <c r="C193" s="296">
        <f t="shared" ca="1" si="37"/>
        <v>13.5441</v>
      </c>
      <c r="D193" s="295"/>
      <c r="E193" s="296">
        <f t="shared" ca="1" si="44"/>
        <v>-9.0909090909090912E-2</v>
      </c>
      <c r="F193" s="296">
        <f t="shared" ca="1" si="34"/>
        <v>-9.0909090909090912E-2</v>
      </c>
      <c r="G193" s="303">
        <f t="shared" ca="1" si="38"/>
        <v>0</v>
      </c>
      <c r="H193" s="296">
        <f t="shared" ca="1" si="39"/>
        <v>13.635</v>
      </c>
      <c r="I193" s="297">
        <f t="shared" ca="1" si="35"/>
        <v>-14</v>
      </c>
    </row>
    <row r="194" spans="1:9">
      <c r="A194" s="295">
        <f t="shared" si="36"/>
        <v>177</v>
      </c>
      <c r="B194" s="300">
        <f t="shared" si="40"/>
        <v>5358</v>
      </c>
      <c r="C194" s="296">
        <f t="shared" ca="1" si="37"/>
        <v>13.635</v>
      </c>
      <c r="D194" s="295"/>
      <c r="E194" s="296">
        <f t="shared" ca="1" si="44"/>
        <v>-9.0909090909090912E-2</v>
      </c>
      <c r="F194" s="296">
        <f t="shared" ca="1" si="34"/>
        <v>-9.0909090909090912E-2</v>
      </c>
      <c r="G194" s="303">
        <f t="shared" ca="1" si="38"/>
        <v>0</v>
      </c>
      <c r="H194" s="296">
        <f t="shared" ca="1" si="39"/>
        <v>13.725899999999999</v>
      </c>
      <c r="I194" s="297">
        <f t="shared" ca="1" si="35"/>
        <v>-14</v>
      </c>
    </row>
    <row r="195" spans="1:9">
      <c r="A195" s="295">
        <f t="shared" si="36"/>
        <v>178</v>
      </c>
      <c r="B195" s="300">
        <f t="shared" si="40"/>
        <v>5388</v>
      </c>
      <c r="C195" s="296">
        <f t="shared" ca="1" si="37"/>
        <v>13.725899999999999</v>
      </c>
      <c r="D195" s="295"/>
      <c r="E195" s="296">
        <f t="shared" ca="1" si="44"/>
        <v>-9.0909090909090912E-2</v>
      </c>
      <c r="F195" s="296">
        <f t="shared" ca="1" si="34"/>
        <v>-9.0909090909090912E-2</v>
      </c>
      <c r="G195" s="303">
        <f t="shared" ca="1" si="38"/>
        <v>0</v>
      </c>
      <c r="H195" s="296">
        <f t="shared" ca="1" si="39"/>
        <v>13.816800000000001</v>
      </c>
      <c r="I195" s="297">
        <f t="shared" ca="1" si="35"/>
        <v>-14</v>
      </c>
    </row>
    <row r="196" spans="1:9">
      <c r="A196" s="295">
        <f t="shared" si="36"/>
        <v>179</v>
      </c>
      <c r="B196" s="300">
        <f t="shared" si="40"/>
        <v>5419</v>
      </c>
      <c r="C196" s="296">
        <f t="shared" ca="1" si="37"/>
        <v>13.816800000000001</v>
      </c>
      <c r="D196" s="295"/>
      <c r="E196" s="296">
        <f t="shared" ca="1" si="44"/>
        <v>-9.0909090909090912E-2</v>
      </c>
      <c r="F196" s="296">
        <f t="shared" ca="1" si="34"/>
        <v>-9.0909090909090912E-2</v>
      </c>
      <c r="G196" s="303">
        <f t="shared" ca="1" si="38"/>
        <v>0</v>
      </c>
      <c r="H196" s="296">
        <f t="shared" ca="1" si="39"/>
        <v>13.9077</v>
      </c>
      <c r="I196" s="297">
        <f t="shared" ca="1" si="35"/>
        <v>-14</v>
      </c>
    </row>
    <row r="197" spans="1:9">
      <c r="A197" s="295">
        <f t="shared" si="36"/>
        <v>180</v>
      </c>
      <c r="B197" s="300">
        <f t="shared" si="40"/>
        <v>5449</v>
      </c>
      <c r="C197" s="296">
        <f t="shared" ca="1" si="37"/>
        <v>13.9077</v>
      </c>
      <c r="D197" s="296">
        <f ca="1">IF(H197&lt;0,0,(K32-L32)/11)</f>
        <v>-9.0909090909090912E-2</v>
      </c>
      <c r="E197" s="296">
        <f t="shared" ca="1" si="44"/>
        <v>-9.0909090909090912E-2</v>
      </c>
      <c r="F197" s="296">
        <f t="shared" ca="1" si="34"/>
        <v>-9.0909090909090912E-2</v>
      </c>
      <c r="G197" s="303">
        <f t="shared" ca="1" si="38"/>
        <v>0</v>
      </c>
      <c r="H197" s="296">
        <f t="shared" ca="1" si="39"/>
        <v>13.9986</v>
      </c>
      <c r="I197" s="297">
        <f t="shared" ca="1" si="35"/>
        <v>-14</v>
      </c>
    </row>
    <row r="198" spans="1:9">
      <c r="A198" s="295">
        <f t="shared" si="36"/>
        <v>181</v>
      </c>
      <c r="B198" s="300">
        <f t="shared" si="40"/>
        <v>5480</v>
      </c>
      <c r="C198" s="296">
        <f t="shared" ca="1" si="37"/>
        <v>13.9986</v>
      </c>
      <c r="D198" s="296"/>
      <c r="E198" s="296">
        <f t="shared" ref="E198:E209" si="45">IF($D$10=1,
 IF(OR(MONTH(B198)=MONTH(EDATE($D$7,0)),MONTH(B198)=MONTH(EDATE($D$7,1)),MONTH(B198)=MONTH(EDATE($D$7,2)),MONTH(B198)=MONTH(EDATE($D$7,3)), MONTH(B198)=MONTH(EDATE($D$7,4)),MONTH(B198)=MONTH(EDATE($D$7,5)),MONTH(B198)=MONTH(EDATE($D$7,6)),MONTH(B198)=MONTH(EDATE($D$7,7)),MONTH(B198)=MONTH(EDATE($D$7,8)),MONTH(B198)=MONTH(EDATE($D$7,9)),MONTH(B198)=MONTH(EDATE($D$7,10))),(MIN( $D$197,H197)),0),
IF($D$10=0,
 IF(OR(MONTH(B198)=MONTH(EDATE($D$7,1)),MONTH(B198)=MONTH(EDATE($D$7,2)),MONTH(B198)=MONTH(EDATE($D$7,3)),MONTH(B198)=MONTH(EDATE($D$7,4)), MONTH(B198)=MONTH(EDATE($D$7,5)),MONTH(B198)=MONTH(EDATE($D$7,6)),MONTH(B198)=MONTH(EDATE($D$7,7)),MONTH(B198)=MONTH(EDATE($D$7,8)),MONTH(B198)=MONTH(EDATE($D$7,9)),MONTH(B198)=MONTH(EDATE($D$7,10)),MONTH(B198)=MONTH(EDATE($D$7,11))),(MIN( $D$197,H197)),0)))</f>
        <v>0</v>
      </c>
      <c r="F198" s="296">
        <f t="shared" ca="1" si="34"/>
        <v>0</v>
      </c>
      <c r="G198" s="303">
        <f t="shared" ca="1" si="38"/>
        <v>0</v>
      </c>
      <c r="H198" s="296">
        <f t="shared" ca="1" si="39"/>
        <v>13.9986</v>
      </c>
      <c r="I198" s="297">
        <f t="shared" ca="1" si="35"/>
        <v>-14</v>
      </c>
    </row>
    <row r="199" spans="1:9">
      <c r="A199" s="295">
        <f t="shared" si="36"/>
        <v>182</v>
      </c>
      <c r="B199" s="300">
        <f t="shared" si="40"/>
        <v>5511</v>
      </c>
      <c r="C199" s="296">
        <f t="shared" ca="1" si="37"/>
        <v>13.9986</v>
      </c>
      <c r="D199" s="295"/>
      <c r="E199" s="296">
        <f t="shared" ca="1" si="45"/>
        <v>-9.0909090909090912E-2</v>
      </c>
      <c r="F199" s="296">
        <f t="shared" ca="1" si="34"/>
        <v>-9.0909090909090912E-2</v>
      </c>
      <c r="G199" s="303">
        <f t="shared" ca="1" si="38"/>
        <v>0</v>
      </c>
      <c r="H199" s="296">
        <f t="shared" ca="1" si="39"/>
        <v>14.089499999999999</v>
      </c>
      <c r="I199" s="297">
        <f t="shared" ca="1" si="35"/>
        <v>-14</v>
      </c>
    </row>
    <row r="200" spans="1:9">
      <c r="A200" s="295">
        <f t="shared" si="36"/>
        <v>183</v>
      </c>
      <c r="B200" s="300">
        <f t="shared" si="40"/>
        <v>5539</v>
      </c>
      <c r="C200" s="296">
        <f t="shared" ca="1" si="37"/>
        <v>14.089499999999999</v>
      </c>
      <c r="D200" s="295"/>
      <c r="E200" s="296">
        <f t="shared" ca="1" si="45"/>
        <v>-9.0909090909090912E-2</v>
      </c>
      <c r="F200" s="296">
        <f t="shared" ca="1" si="34"/>
        <v>-9.0909090909090912E-2</v>
      </c>
      <c r="G200" s="303">
        <f t="shared" ca="1" si="38"/>
        <v>0</v>
      </c>
      <c r="H200" s="296">
        <f t="shared" ca="1" si="39"/>
        <v>14.180400000000001</v>
      </c>
      <c r="I200" s="297">
        <f t="shared" ca="1" si="35"/>
        <v>-14</v>
      </c>
    </row>
    <row r="201" spans="1:9">
      <c r="A201" s="295">
        <f t="shared" si="36"/>
        <v>184</v>
      </c>
      <c r="B201" s="300">
        <f t="shared" si="40"/>
        <v>5570</v>
      </c>
      <c r="C201" s="296">
        <f t="shared" ca="1" si="37"/>
        <v>14.180400000000001</v>
      </c>
      <c r="D201" s="295"/>
      <c r="E201" s="296">
        <f t="shared" ca="1" si="45"/>
        <v>-9.0909090909090912E-2</v>
      </c>
      <c r="F201" s="296">
        <f t="shared" ca="1" si="34"/>
        <v>-9.0909090909090912E-2</v>
      </c>
      <c r="G201" s="303">
        <f t="shared" ca="1" si="38"/>
        <v>0</v>
      </c>
      <c r="H201" s="296">
        <f t="shared" ca="1" si="39"/>
        <v>14.2713</v>
      </c>
      <c r="I201" s="297">
        <f t="shared" ca="1" si="35"/>
        <v>-14</v>
      </c>
    </row>
    <row r="202" spans="1:9">
      <c r="A202" s="295">
        <f t="shared" si="36"/>
        <v>185</v>
      </c>
      <c r="B202" s="300">
        <f t="shared" si="40"/>
        <v>5600</v>
      </c>
      <c r="C202" s="296">
        <f t="shared" ca="1" si="37"/>
        <v>14.2713</v>
      </c>
      <c r="D202" s="295"/>
      <c r="E202" s="296">
        <f t="shared" ca="1" si="45"/>
        <v>-9.0909090909090912E-2</v>
      </c>
      <c r="F202" s="296">
        <f t="shared" ca="1" si="34"/>
        <v>-9.0909090909090912E-2</v>
      </c>
      <c r="G202" s="303">
        <f t="shared" ca="1" si="38"/>
        <v>0</v>
      </c>
      <c r="H202" s="296">
        <f t="shared" ca="1" si="39"/>
        <v>14.3622</v>
      </c>
      <c r="I202" s="297">
        <f t="shared" ca="1" si="35"/>
        <v>-14</v>
      </c>
    </row>
    <row r="203" spans="1:9">
      <c r="A203" s="295">
        <f t="shared" si="36"/>
        <v>186</v>
      </c>
      <c r="B203" s="300">
        <f t="shared" si="40"/>
        <v>5631</v>
      </c>
      <c r="C203" s="296">
        <f t="shared" ca="1" si="37"/>
        <v>14.3622</v>
      </c>
      <c r="D203" s="295"/>
      <c r="E203" s="296">
        <f t="shared" ca="1" si="45"/>
        <v>-9.0909090909090912E-2</v>
      </c>
      <c r="F203" s="296">
        <f t="shared" ca="1" si="34"/>
        <v>-9.0909090909090912E-2</v>
      </c>
      <c r="G203" s="303">
        <f t="shared" ca="1" si="38"/>
        <v>0</v>
      </c>
      <c r="H203" s="296">
        <f t="shared" ca="1" si="39"/>
        <v>14.453099999999999</v>
      </c>
      <c r="I203" s="297">
        <f t="shared" ca="1" si="35"/>
        <v>-14</v>
      </c>
    </row>
    <row r="204" spans="1:9">
      <c r="A204" s="295">
        <f t="shared" si="36"/>
        <v>187</v>
      </c>
      <c r="B204" s="300">
        <f t="shared" si="40"/>
        <v>5661</v>
      </c>
      <c r="C204" s="296">
        <f t="shared" ca="1" si="37"/>
        <v>14.453099999999999</v>
      </c>
      <c r="D204" s="295"/>
      <c r="E204" s="296">
        <f t="shared" ca="1" si="45"/>
        <v>-9.0909090909090912E-2</v>
      </c>
      <c r="F204" s="296">
        <f t="shared" ca="1" si="34"/>
        <v>-9.0909090909090912E-2</v>
      </c>
      <c r="G204" s="303">
        <f t="shared" ca="1" si="38"/>
        <v>0</v>
      </c>
      <c r="H204" s="296">
        <f t="shared" ca="1" si="39"/>
        <v>14.544</v>
      </c>
      <c r="I204" s="297">
        <f t="shared" ca="1" si="35"/>
        <v>-15</v>
      </c>
    </row>
    <row r="205" spans="1:9">
      <c r="A205" s="295">
        <f t="shared" si="36"/>
        <v>188</v>
      </c>
      <c r="B205" s="300">
        <f t="shared" si="40"/>
        <v>5692</v>
      </c>
      <c r="C205" s="296">
        <f t="shared" ca="1" si="37"/>
        <v>14.544</v>
      </c>
      <c r="D205" s="295"/>
      <c r="E205" s="296">
        <f t="shared" ca="1" si="45"/>
        <v>-9.0909090909090912E-2</v>
      </c>
      <c r="F205" s="296">
        <f t="shared" ca="1" si="34"/>
        <v>-9.0909090909090912E-2</v>
      </c>
      <c r="G205" s="303">
        <f t="shared" ca="1" si="38"/>
        <v>0</v>
      </c>
      <c r="H205" s="296">
        <f t="shared" ca="1" si="39"/>
        <v>14.6349</v>
      </c>
      <c r="I205" s="297">
        <f t="shared" ca="1" si="35"/>
        <v>-15</v>
      </c>
    </row>
    <row r="206" spans="1:9">
      <c r="A206" s="295">
        <f t="shared" si="36"/>
        <v>189</v>
      </c>
      <c r="B206" s="300">
        <f t="shared" si="40"/>
        <v>5723</v>
      </c>
      <c r="C206" s="296">
        <f t="shared" ca="1" si="37"/>
        <v>14.6349</v>
      </c>
      <c r="D206" s="295"/>
      <c r="E206" s="296">
        <f t="shared" ca="1" si="45"/>
        <v>-9.0909090909090912E-2</v>
      </c>
      <c r="F206" s="296">
        <f t="shared" ca="1" si="34"/>
        <v>-9.0909090909090912E-2</v>
      </c>
      <c r="G206" s="303">
        <f t="shared" ca="1" si="38"/>
        <v>0</v>
      </c>
      <c r="H206" s="296">
        <f t="shared" ca="1" si="39"/>
        <v>14.7258</v>
      </c>
      <c r="I206" s="297">
        <f t="shared" ca="1" si="35"/>
        <v>-15</v>
      </c>
    </row>
    <row r="207" spans="1:9">
      <c r="A207" s="295">
        <f t="shared" si="36"/>
        <v>190</v>
      </c>
      <c r="B207" s="300">
        <f t="shared" si="40"/>
        <v>5753</v>
      </c>
      <c r="C207" s="296">
        <f t="shared" ca="1" si="37"/>
        <v>14.7258</v>
      </c>
      <c r="D207" s="295"/>
      <c r="E207" s="296">
        <f t="shared" ca="1" si="45"/>
        <v>-9.0909090909090912E-2</v>
      </c>
      <c r="F207" s="296">
        <f t="shared" ca="1" si="34"/>
        <v>-9.0909090909090912E-2</v>
      </c>
      <c r="G207" s="303">
        <f t="shared" ca="1" si="38"/>
        <v>0</v>
      </c>
      <c r="H207" s="296">
        <f t="shared" ca="1" si="39"/>
        <v>14.816700000000001</v>
      </c>
      <c r="I207" s="297">
        <f t="shared" ca="1" si="35"/>
        <v>-15</v>
      </c>
    </row>
    <row r="208" spans="1:9">
      <c r="A208" s="295">
        <f t="shared" si="36"/>
        <v>191</v>
      </c>
      <c r="B208" s="300">
        <f t="shared" si="40"/>
        <v>5784</v>
      </c>
      <c r="C208" s="296">
        <f t="shared" ca="1" si="37"/>
        <v>14.816700000000001</v>
      </c>
      <c r="D208" s="295"/>
      <c r="E208" s="296">
        <f t="shared" ca="1" si="45"/>
        <v>-9.0909090909090912E-2</v>
      </c>
      <c r="F208" s="296">
        <f t="shared" ca="1" si="34"/>
        <v>-9.0909090909090912E-2</v>
      </c>
      <c r="G208" s="303">
        <f t="shared" ca="1" si="38"/>
        <v>0</v>
      </c>
      <c r="H208" s="296">
        <f t="shared" ca="1" si="39"/>
        <v>14.9076</v>
      </c>
      <c r="I208" s="297">
        <f t="shared" ca="1" si="35"/>
        <v>-15</v>
      </c>
    </row>
    <row r="209" spans="1:9">
      <c r="A209" s="295">
        <f t="shared" si="36"/>
        <v>192</v>
      </c>
      <c r="B209" s="300">
        <f t="shared" si="40"/>
        <v>5814</v>
      </c>
      <c r="C209" s="296">
        <f t="shared" ca="1" si="37"/>
        <v>14.9076</v>
      </c>
      <c r="D209" s="296">
        <f ca="1">IF(H209&lt;0,0,(K33-L33)/11)</f>
        <v>-9.0909090909090912E-2</v>
      </c>
      <c r="E209" s="296">
        <f t="shared" ca="1" si="45"/>
        <v>-9.0909090909090912E-2</v>
      </c>
      <c r="F209" s="296">
        <f t="shared" ca="1" si="34"/>
        <v>-9.0909090909090912E-2</v>
      </c>
      <c r="G209" s="303">
        <f t="shared" ca="1" si="38"/>
        <v>0</v>
      </c>
      <c r="H209" s="296">
        <f t="shared" ca="1" si="39"/>
        <v>14.9985</v>
      </c>
      <c r="I209" s="297">
        <f t="shared" ca="1" si="35"/>
        <v>-15</v>
      </c>
    </row>
    <row r="210" spans="1:9">
      <c r="A210" s="295">
        <f t="shared" si="36"/>
        <v>193</v>
      </c>
      <c r="B210" s="300">
        <f t="shared" si="40"/>
        <v>5845</v>
      </c>
      <c r="C210" s="296">
        <f t="shared" ca="1" si="37"/>
        <v>14.9985</v>
      </c>
      <c r="D210" s="296"/>
      <c r="E210" s="296">
        <f t="shared" ref="E210:E221" si="46">IF($D$10=1,
 IF(OR(MONTH(B210)=MONTH(EDATE($D$7,0)),MONTH(B210)=MONTH(EDATE($D$7,1)),MONTH(B210)=MONTH(EDATE($D$7,2)),MONTH(B210)=MONTH(EDATE($D$7,3)), MONTH(B210)=MONTH(EDATE($D$7,4)),MONTH(B210)=MONTH(EDATE($D$7,5)),MONTH(B210)=MONTH(EDATE($D$7,6)),MONTH(B210)=MONTH(EDATE($D$7,7)),MONTH(B210)=MONTH(EDATE($D$7,8)),MONTH(B210)=MONTH(EDATE($D$7,9)),MONTH(B210)=MONTH(EDATE($D$7,10))),(MIN( $D$209,H209)),0),
IF($D$10=0,
 IF(OR(MONTH(B210)=MONTH(EDATE($D$7,1)),MONTH(B210)=MONTH(EDATE($D$7,2)),MONTH(B210)=MONTH(EDATE($D$7,3)),MONTH(B210)=MONTH(EDATE($D$7,4)), MONTH(B210)=MONTH(EDATE($D$7,5)),MONTH(B210)=MONTH(EDATE($D$7,6)),MONTH(B210)=MONTH(EDATE($D$7,7)),MONTH(B210)=MONTH(EDATE($D$7,8)),MONTH(B210)=MONTH(EDATE($D$7,9)),MONTH(B210)=MONTH(EDATE($D$7,10)),MONTH(B210)=MONTH(EDATE($D$7,11))),(MIN( $D$209,H209)),0)))</f>
        <v>0</v>
      </c>
      <c r="F210" s="296">
        <f t="shared" ref="F210:F273" ca="1" si="47">IF(E210="","",E210-G210)</f>
        <v>0</v>
      </c>
      <c r="G210" s="303">
        <f t="shared" ca="1" si="38"/>
        <v>0</v>
      </c>
      <c r="H210" s="296">
        <f t="shared" ca="1" si="39"/>
        <v>14.9985</v>
      </c>
      <c r="I210" s="297">
        <f t="shared" ref="I210:I273" ca="1" si="48">ROUND((D210-H210),0)</f>
        <v>-15</v>
      </c>
    </row>
    <row r="211" spans="1:9">
      <c r="A211" s="295">
        <f t="shared" ref="A211:A274" si="49">IF(A210="","",IF(A210=$D$6,"",A210+1))</f>
        <v>194</v>
      </c>
      <c r="B211" s="300">
        <f t="shared" si="40"/>
        <v>5876</v>
      </c>
      <c r="C211" s="296">
        <f t="shared" ref="C211:C274" ca="1" si="50">IF(H210=0,0,H210)</f>
        <v>14.9985</v>
      </c>
      <c r="D211" s="295"/>
      <c r="E211" s="296">
        <f t="shared" ca="1" si="46"/>
        <v>-9.0909090909090912E-2</v>
      </c>
      <c r="F211" s="296">
        <f t="shared" ca="1" si="47"/>
        <v>-9.0909090909090912E-2</v>
      </c>
      <c r="G211" s="303">
        <f t="shared" ref="G211:G274" ca="1" si="51">ROUND((C211-E211)*$D$5,3)</f>
        <v>0</v>
      </c>
      <c r="H211" s="296">
        <f t="shared" ref="H211:H274" ca="1" si="52">IF(E211="","",ROUND(H210-F211,4))</f>
        <v>15.089399999999999</v>
      </c>
      <c r="I211" s="297">
        <f t="shared" ca="1" si="48"/>
        <v>-15</v>
      </c>
    </row>
    <row r="212" spans="1:9">
      <c r="A212" s="295">
        <f t="shared" si="49"/>
        <v>195</v>
      </c>
      <c r="B212" s="300">
        <f t="shared" ref="B212:B275" si="53">DATE(YEAR(B211),MONTH(B211)+1,1)</f>
        <v>5905</v>
      </c>
      <c r="C212" s="296">
        <f t="shared" ca="1" si="50"/>
        <v>15.089399999999999</v>
      </c>
      <c r="D212" s="295"/>
      <c r="E212" s="296">
        <f t="shared" ca="1" si="46"/>
        <v>-9.0909090909090912E-2</v>
      </c>
      <c r="F212" s="296">
        <f t="shared" ca="1" si="47"/>
        <v>-9.0909090909090912E-2</v>
      </c>
      <c r="G212" s="303">
        <f t="shared" ca="1" si="51"/>
        <v>0</v>
      </c>
      <c r="H212" s="296">
        <f t="shared" ca="1" si="52"/>
        <v>15.180300000000001</v>
      </c>
      <c r="I212" s="297">
        <f t="shared" ca="1" si="48"/>
        <v>-15</v>
      </c>
    </row>
    <row r="213" spans="1:9">
      <c r="A213" s="295">
        <f t="shared" si="49"/>
        <v>196</v>
      </c>
      <c r="B213" s="300">
        <f t="shared" si="53"/>
        <v>5936</v>
      </c>
      <c r="C213" s="296">
        <f t="shared" ca="1" si="50"/>
        <v>15.180300000000001</v>
      </c>
      <c r="D213" s="295"/>
      <c r="E213" s="296">
        <f t="shared" ca="1" si="46"/>
        <v>-9.0909090909090912E-2</v>
      </c>
      <c r="F213" s="296">
        <f t="shared" ca="1" si="47"/>
        <v>-9.0909090909090912E-2</v>
      </c>
      <c r="G213" s="303">
        <f t="shared" ca="1" si="51"/>
        <v>0</v>
      </c>
      <c r="H213" s="296">
        <f t="shared" ca="1" si="52"/>
        <v>15.2712</v>
      </c>
      <c r="I213" s="297">
        <f t="shared" ca="1" si="48"/>
        <v>-15</v>
      </c>
    </row>
    <row r="214" spans="1:9">
      <c r="A214" s="295">
        <f t="shared" si="49"/>
        <v>197</v>
      </c>
      <c r="B214" s="300">
        <f t="shared" si="53"/>
        <v>5966</v>
      </c>
      <c r="C214" s="296">
        <f t="shared" ca="1" si="50"/>
        <v>15.2712</v>
      </c>
      <c r="D214" s="295"/>
      <c r="E214" s="296">
        <f t="shared" ca="1" si="46"/>
        <v>-9.0909090909090912E-2</v>
      </c>
      <c r="F214" s="296">
        <f t="shared" ca="1" si="47"/>
        <v>-9.0909090909090912E-2</v>
      </c>
      <c r="G214" s="303">
        <f t="shared" ca="1" si="51"/>
        <v>0</v>
      </c>
      <c r="H214" s="296">
        <f t="shared" ca="1" si="52"/>
        <v>15.3621</v>
      </c>
      <c r="I214" s="297">
        <f t="shared" ca="1" si="48"/>
        <v>-15</v>
      </c>
    </row>
    <row r="215" spans="1:9">
      <c r="A215" s="295">
        <f t="shared" si="49"/>
        <v>198</v>
      </c>
      <c r="B215" s="300">
        <f t="shared" si="53"/>
        <v>5997</v>
      </c>
      <c r="C215" s="296">
        <f t="shared" ca="1" si="50"/>
        <v>15.3621</v>
      </c>
      <c r="D215" s="295"/>
      <c r="E215" s="296">
        <f t="shared" ca="1" si="46"/>
        <v>-9.0909090909090912E-2</v>
      </c>
      <c r="F215" s="296">
        <f t="shared" ca="1" si="47"/>
        <v>-9.0909090909090912E-2</v>
      </c>
      <c r="G215" s="303">
        <f t="shared" ca="1" si="51"/>
        <v>0</v>
      </c>
      <c r="H215" s="296">
        <f t="shared" ca="1" si="52"/>
        <v>15.452999999999999</v>
      </c>
      <c r="I215" s="297">
        <f t="shared" ca="1" si="48"/>
        <v>-15</v>
      </c>
    </row>
    <row r="216" spans="1:9">
      <c r="A216" s="295">
        <f t="shared" si="49"/>
        <v>199</v>
      </c>
      <c r="B216" s="300">
        <f t="shared" si="53"/>
        <v>6027</v>
      </c>
      <c r="C216" s="296">
        <f t="shared" ca="1" si="50"/>
        <v>15.452999999999999</v>
      </c>
      <c r="D216" s="295"/>
      <c r="E216" s="296">
        <f t="shared" ca="1" si="46"/>
        <v>-9.0909090909090912E-2</v>
      </c>
      <c r="F216" s="296">
        <f t="shared" ca="1" si="47"/>
        <v>-9.0909090909090912E-2</v>
      </c>
      <c r="G216" s="303">
        <f t="shared" ca="1" si="51"/>
        <v>0</v>
      </c>
      <c r="H216" s="296">
        <f t="shared" ca="1" si="52"/>
        <v>15.543900000000001</v>
      </c>
      <c r="I216" s="297">
        <f t="shared" ca="1" si="48"/>
        <v>-16</v>
      </c>
    </row>
    <row r="217" spans="1:9">
      <c r="A217" s="295">
        <f t="shared" si="49"/>
        <v>200</v>
      </c>
      <c r="B217" s="300">
        <f t="shared" si="53"/>
        <v>6058</v>
      </c>
      <c r="C217" s="296">
        <f t="shared" ca="1" si="50"/>
        <v>15.543900000000001</v>
      </c>
      <c r="D217" s="295"/>
      <c r="E217" s="296">
        <f t="shared" ca="1" si="46"/>
        <v>-9.0909090909090912E-2</v>
      </c>
      <c r="F217" s="296">
        <f t="shared" ca="1" si="47"/>
        <v>-9.0909090909090912E-2</v>
      </c>
      <c r="G217" s="303">
        <f t="shared" ca="1" si="51"/>
        <v>0</v>
      </c>
      <c r="H217" s="296">
        <f t="shared" ca="1" si="52"/>
        <v>15.6348</v>
      </c>
      <c r="I217" s="297">
        <f t="shared" ca="1" si="48"/>
        <v>-16</v>
      </c>
    </row>
    <row r="218" spans="1:9">
      <c r="A218" s="295">
        <f t="shared" si="49"/>
        <v>201</v>
      </c>
      <c r="B218" s="300">
        <f t="shared" si="53"/>
        <v>6089</v>
      </c>
      <c r="C218" s="296">
        <f t="shared" ca="1" si="50"/>
        <v>15.6348</v>
      </c>
      <c r="D218" s="295"/>
      <c r="E218" s="296">
        <f t="shared" ca="1" si="46"/>
        <v>-9.0909090909090912E-2</v>
      </c>
      <c r="F218" s="296">
        <f t="shared" ca="1" si="47"/>
        <v>-9.0909090909090912E-2</v>
      </c>
      <c r="G218" s="303">
        <f t="shared" ca="1" si="51"/>
        <v>0</v>
      </c>
      <c r="H218" s="296">
        <f t="shared" ca="1" si="52"/>
        <v>15.7257</v>
      </c>
      <c r="I218" s="297">
        <f t="shared" ca="1" si="48"/>
        <v>-16</v>
      </c>
    </row>
    <row r="219" spans="1:9">
      <c r="A219" s="295">
        <f t="shared" si="49"/>
        <v>202</v>
      </c>
      <c r="B219" s="300">
        <f t="shared" si="53"/>
        <v>6119</v>
      </c>
      <c r="C219" s="296">
        <f t="shared" ca="1" si="50"/>
        <v>15.7257</v>
      </c>
      <c r="D219" s="295"/>
      <c r="E219" s="296">
        <f t="shared" ca="1" si="46"/>
        <v>-9.0909090909090912E-2</v>
      </c>
      <c r="F219" s="296">
        <f t="shared" ca="1" si="47"/>
        <v>-9.0909090909090912E-2</v>
      </c>
      <c r="G219" s="303">
        <f t="shared" ca="1" si="51"/>
        <v>0</v>
      </c>
      <c r="H219" s="296">
        <f t="shared" ca="1" si="52"/>
        <v>15.816599999999999</v>
      </c>
      <c r="I219" s="297">
        <f t="shared" ca="1" si="48"/>
        <v>-16</v>
      </c>
    </row>
    <row r="220" spans="1:9">
      <c r="A220" s="295">
        <f t="shared" si="49"/>
        <v>203</v>
      </c>
      <c r="B220" s="300">
        <f t="shared" si="53"/>
        <v>6150</v>
      </c>
      <c r="C220" s="296">
        <f t="shared" ca="1" si="50"/>
        <v>15.816599999999999</v>
      </c>
      <c r="D220" s="295"/>
      <c r="E220" s="296">
        <f t="shared" ca="1" si="46"/>
        <v>-9.0909090909090912E-2</v>
      </c>
      <c r="F220" s="296">
        <f t="shared" ca="1" si="47"/>
        <v>-9.0909090909090912E-2</v>
      </c>
      <c r="G220" s="303">
        <f t="shared" ca="1" si="51"/>
        <v>0</v>
      </c>
      <c r="H220" s="296">
        <f t="shared" ca="1" si="52"/>
        <v>15.907500000000001</v>
      </c>
      <c r="I220" s="297">
        <f t="shared" ca="1" si="48"/>
        <v>-16</v>
      </c>
    </row>
    <row r="221" spans="1:9">
      <c r="A221" s="295">
        <f t="shared" si="49"/>
        <v>204</v>
      </c>
      <c r="B221" s="300">
        <f t="shared" si="53"/>
        <v>6180</v>
      </c>
      <c r="C221" s="296">
        <f t="shared" ca="1" si="50"/>
        <v>15.907500000000001</v>
      </c>
      <c r="D221" s="296">
        <f ca="1">IF(H221&lt;0,0,(K34-L34)/11)</f>
        <v>-9.0909090909090912E-2</v>
      </c>
      <c r="E221" s="296">
        <f t="shared" ca="1" si="46"/>
        <v>-9.0909090909090912E-2</v>
      </c>
      <c r="F221" s="296">
        <f t="shared" ca="1" si="47"/>
        <v>-9.0909090909090912E-2</v>
      </c>
      <c r="G221" s="303">
        <f t="shared" ca="1" si="51"/>
        <v>0</v>
      </c>
      <c r="H221" s="296">
        <f t="shared" ca="1" si="52"/>
        <v>15.9984</v>
      </c>
      <c r="I221" s="297">
        <f t="shared" ca="1" si="48"/>
        <v>-16</v>
      </c>
    </row>
    <row r="222" spans="1:9">
      <c r="A222" s="295">
        <f t="shared" si="49"/>
        <v>205</v>
      </c>
      <c r="B222" s="300">
        <f t="shared" si="53"/>
        <v>6211</v>
      </c>
      <c r="C222" s="296">
        <f t="shared" ca="1" si="50"/>
        <v>15.9984</v>
      </c>
      <c r="D222" s="296"/>
      <c r="E222" s="296">
        <f t="shared" ref="E222:E233" si="54">IF($D$10=1,
 IF(OR(MONTH(B222)=MONTH(EDATE($D$7,0)),MONTH(B222)=MONTH(EDATE($D$7,1)),MONTH(B222)=MONTH(EDATE($D$7,2)),MONTH(B222)=MONTH(EDATE($D$7,3)), MONTH(B222)=MONTH(EDATE($D$7,4)),MONTH(B222)=MONTH(EDATE($D$7,5)),MONTH(B222)=MONTH(EDATE($D$7,6)),MONTH(B222)=MONTH(EDATE($D$7,7)),MONTH(B222)=MONTH(EDATE($D$7,8)),MONTH(B222)=MONTH(EDATE($D$7,9)),MONTH(B222)=MONTH(EDATE($D$7,10))),(MIN( $D$221,H221)),0),
IF($D$10=0,
 IF(OR(MONTH(B222)=MONTH(EDATE($D$7,1)),MONTH(B222)=MONTH(EDATE($D$7,2)),MONTH(B222)=MONTH(EDATE($D$7,3)),MONTH(B222)=MONTH(EDATE($D$7,4)), MONTH(B222)=MONTH(EDATE($D$7,5)),MONTH(B222)=MONTH(EDATE($D$7,6)),MONTH(B222)=MONTH(EDATE($D$7,7)),MONTH(B222)=MONTH(EDATE($D$7,8)),MONTH(B222)=MONTH(EDATE($D$7,9)),MONTH(B222)=MONTH(EDATE($D$7,10)),MONTH(B222)=MONTH(EDATE($D$7,11))),(MIN( $D$221,H221)),0)))</f>
        <v>0</v>
      </c>
      <c r="F222" s="296">
        <f t="shared" ca="1" si="47"/>
        <v>0</v>
      </c>
      <c r="G222" s="303">
        <f t="shared" ca="1" si="51"/>
        <v>0</v>
      </c>
      <c r="H222" s="296">
        <f t="shared" ca="1" si="52"/>
        <v>15.9984</v>
      </c>
      <c r="I222" s="297">
        <f t="shared" ca="1" si="48"/>
        <v>-16</v>
      </c>
    </row>
    <row r="223" spans="1:9">
      <c r="A223" s="295">
        <f t="shared" si="49"/>
        <v>206</v>
      </c>
      <c r="B223" s="300">
        <f t="shared" si="53"/>
        <v>6242</v>
      </c>
      <c r="C223" s="296">
        <f t="shared" ca="1" si="50"/>
        <v>15.9984</v>
      </c>
      <c r="D223" s="295"/>
      <c r="E223" s="296">
        <f t="shared" ca="1" si="54"/>
        <v>-9.0909090909090912E-2</v>
      </c>
      <c r="F223" s="296">
        <f t="shared" ca="1" si="47"/>
        <v>-9.0909090909090912E-2</v>
      </c>
      <c r="G223" s="303">
        <f t="shared" ca="1" si="51"/>
        <v>0</v>
      </c>
      <c r="H223" s="296">
        <f t="shared" ca="1" si="52"/>
        <v>16.089300000000001</v>
      </c>
      <c r="I223" s="297">
        <f t="shared" ca="1" si="48"/>
        <v>-16</v>
      </c>
    </row>
    <row r="224" spans="1:9">
      <c r="A224" s="295">
        <f t="shared" si="49"/>
        <v>207</v>
      </c>
      <c r="B224" s="300">
        <f t="shared" si="53"/>
        <v>6270</v>
      </c>
      <c r="C224" s="296">
        <f t="shared" ca="1" si="50"/>
        <v>16.089300000000001</v>
      </c>
      <c r="D224" s="295"/>
      <c r="E224" s="296">
        <f t="shared" ca="1" si="54"/>
        <v>-9.0909090909090912E-2</v>
      </c>
      <c r="F224" s="296">
        <f t="shared" ca="1" si="47"/>
        <v>-9.0909090909090912E-2</v>
      </c>
      <c r="G224" s="303">
        <f t="shared" ca="1" si="51"/>
        <v>0</v>
      </c>
      <c r="H224" s="296">
        <f t="shared" ca="1" si="52"/>
        <v>16.180199999999999</v>
      </c>
      <c r="I224" s="297">
        <f t="shared" ca="1" si="48"/>
        <v>-16</v>
      </c>
    </row>
    <row r="225" spans="1:9">
      <c r="A225" s="295">
        <f t="shared" si="49"/>
        <v>208</v>
      </c>
      <c r="B225" s="300">
        <f t="shared" si="53"/>
        <v>6301</v>
      </c>
      <c r="C225" s="296">
        <f t="shared" ca="1" si="50"/>
        <v>16.180199999999999</v>
      </c>
      <c r="D225" s="295"/>
      <c r="E225" s="296">
        <f t="shared" ca="1" si="54"/>
        <v>-9.0909090909090912E-2</v>
      </c>
      <c r="F225" s="296">
        <f t="shared" ca="1" si="47"/>
        <v>-9.0909090909090912E-2</v>
      </c>
      <c r="G225" s="303">
        <f t="shared" ca="1" si="51"/>
        <v>0</v>
      </c>
      <c r="H225" s="296">
        <f t="shared" ca="1" si="52"/>
        <v>16.271100000000001</v>
      </c>
      <c r="I225" s="297">
        <f t="shared" ca="1" si="48"/>
        <v>-16</v>
      </c>
    </row>
    <row r="226" spans="1:9">
      <c r="A226" s="295">
        <f t="shared" si="49"/>
        <v>209</v>
      </c>
      <c r="B226" s="300">
        <f t="shared" si="53"/>
        <v>6331</v>
      </c>
      <c r="C226" s="296">
        <f t="shared" ca="1" si="50"/>
        <v>16.271100000000001</v>
      </c>
      <c r="D226" s="295"/>
      <c r="E226" s="296">
        <f t="shared" ca="1" si="54"/>
        <v>-9.0909090909090912E-2</v>
      </c>
      <c r="F226" s="296">
        <f t="shared" ca="1" si="47"/>
        <v>-9.0909090909090912E-2</v>
      </c>
      <c r="G226" s="303">
        <f t="shared" ca="1" si="51"/>
        <v>0</v>
      </c>
      <c r="H226" s="296">
        <f t="shared" ca="1" si="52"/>
        <v>16.361999999999998</v>
      </c>
      <c r="I226" s="297">
        <f t="shared" ca="1" si="48"/>
        <v>-16</v>
      </c>
    </row>
    <row r="227" spans="1:9">
      <c r="A227" s="295">
        <f t="shared" si="49"/>
        <v>210</v>
      </c>
      <c r="B227" s="300">
        <f t="shared" si="53"/>
        <v>6362</v>
      </c>
      <c r="C227" s="296">
        <f t="shared" ca="1" si="50"/>
        <v>16.361999999999998</v>
      </c>
      <c r="D227" s="295"/>
      <c r="E227" s="296">
        <f t="shared" ca="1" si="54"/>
        <v>-9.0909090909090912E-2</v>
      </c>
      <c r="F227" s="296">
        <f t="shared" ca="1" si="47"/>
        <v>-9.0909090909090912E-2</v>
      </c>
      <c r="G227" s="303">
        <f t="shared" ca="1" si="51"/>
        <v>0</v>
      </c>
      <c r="H227" s="296">
        <f t="shared" ca="1" si="52"/>
        <v>16.4529</v>
      </c>
      <c r="I227" s="297">
        <f t="shared" ca="1" si="48"/>
        <v>-16</v>
      </c>
    </row>
    <row r="228" spans="1:9">
      <c r="A228" s="295">
        <f t="shared" si="49"/>
        <v>211</v>
      </c>
      <c r="B228" s="300">
        <f t="shared" si="53"/>
        <v>6392</v>
      </c>
      <c r="C228" s="296">
        <f t="shared" ca="1" si="50"/>
        <v>16.4529</v>
      </c>
      <c r="D228" s="295"/>
      <c r="E228" s="296">
        <f t="shared" ca="1" si="54"/>
        <v>-9.0909090909090912E-2</v>
      </c>
      <c r="F228" s="296">
        <f t="shared" ca="1" si="47"/>
        <v>-9.0909090909090912E-2</v>
      </c>
      <c r="G228" s="303">
        <f t="shared" ca="1" si="51"/>
        <v>0</v>
      </c>
      <c r="H228" s="296">
        <f t="shared" ca="1" si="52"/>
        <v>16.543800000000001</v>
      </c>
      <c r="I228" s="297">
        <f t="shared" ca="1" si="48"/>
        <v>-17</v>
      </c>
    </row>
    <row r="229" spans="1:9">
      <c r="A229" s="295">
        <f t="shared" si="49"/>
        <v>212</v>
      </c>
      <c r="B229" s="300">
        <f t="shared" si="53"/>
        <v>6423</v>
      </c>
      <c r="C229" s="296">
        <f t="shared" ca="1" si="50"/>
        <v>16.543800000000001</v>
      </c>
      <c r="D229" s="295"/>
      <c r="E229" s="296">
        <f t="shared" ca="1" si="54"/>
        <v>-9.0909090909090912E-2</v>
      </c>
      <c r="F229" s="296">
        <f t="shared" ca="1" si="47"/>
        <v>-9.0909090909090912E-2</v>
      </c>
      <c r="G229" s="303">
        <f t="shared" ca="1" si="51"/>
        <v>0</v>
      </c>
      <c r="H229" s="296">
        <f t="shared" ca="1" si="52"/>
        <v>16.634699999999999</v>
      </c>
      <c r="I229" s="297">
        <f t="shared" ca="1" si="48"/>
        <v>-17</v>
      </c>
    </row>
    <row r="230" spans="1:9">
      <c r="A230" s="295">
        <f t="shared" si="49"/>
        <v>213</v>
      </c>
      <c r="B230" s="300">
        <f t="shared" si="53"/>
        <v>6454</v>
      </c>
      <c r="C230" s="296">
        <f t="shared" ca="1" si="50"/>
        <v>16.634699999999999</v>
      </c>
      <c r="D230" s="295"/>
      <c r="E230" s="296">
        <f t="shared" ca="1" si="54"/>
        <v>-9.0909090909090912E-2</v>
      </c>
      <c r="F230" s="296">
        <f t="shared" ca="1" si="47"/>
        <v>-9.0909090909090912E-2</v>
      </c>
      <c r="G230" s="303">
        <f t="shared" ca="1" si="51"/>
        <v>0</v>
      </c>
      <c r="H230" s="296">
        <f t="shared" ca="1" si="52"/>
        <v>16.7256</v>
      </c>
      <c r="I230" s="297">
        <f t="shared" ca="1" si="48"/>
        <v>-17</v>
      </c>
    </row>
    <row r="231" spans="1:9">
      <c r="A231" s="295">
        <f t="shared" si="49"/>
        <v>214</v>
      </c>
      <c r="B231" s="300">
        <f t="shared" si="53"/>
        <v>6484</v>
      </c>
      <c r="C231" s="296">
        <f t="shared" ca="1" si="50"/>
        <v>16.7256</v>
      </c>
      <c r="D231" s="295"/>
      <c r="E231" s="296">
        <f t="shared" ca="1" si="54"/>
        <v>-9.0909090909090912E-2</v>
      </c>
      <c r="F231" s="296">
        <f t="shared" ca="1" si="47"/>
        <v>-9.0909090909090912E-2</v>
      </c>
      <c r="G231" s="303">
        <f t="shared" ca="1" si="51"/>
        <v>0</v>
      </c>
      <c r="H231" s="296">
        <f t="shared" ca="1" si="52"/>
        <v>16.816500000000001</v>
      </c>
      <c r="I231" s="297">
        <f t="shared" ca="1" si="48"/>
        <v>-17</v>
      </c>
    </row>
    <row r="232" spans="1:9">
      <c r="A232" s="295">
        <f t="shared" si="49"/>
        <v>215</v>
      </c>
      <c r="B232" s="300">
        <f t="shared" si="53"/>
        <v>6515</v>
      </c>
      <c r="C232" s="296">
        <f t="shared" ca="1" si="50"/>
        <v>16.816500000000001</v>
      </c>
      <c r="D232" s="295"/>
      <c r="E232" s="296">
        <f t="shared" ca="1" si="54"/>
        <v>-9.0909090909090912E-2</v>
      </c>
      <c r="F232" s="296">
        <f t="shared" ca="1" si="47"/>
        <v>-9.0909090909090912E-2</v>
      </c>
      <c r="G232" s="303">
        <f t="shared" ca="1" si="51"/>
        <v>0</v>
      </c>
      <c r="H232" s="296">
        <f t="shared" ca="1" si="52"/>
        <v>16.907399999999999</v>
      </c>
      <c r="I232" s="297">
        <f t="shared" ca="1" si="48"/>
        <v>-17</v>
      </c>
    </row>
    <row r="233" spans="1:9">
      <c r="A233" s="295">
        <f t="shared" si="49"/>
        <v>216</v>
      </c>
      <c r="B233" s="300">
        <f t="shared" si="53"/>
        <v>6545</v>
      </c>
      <c r="C233" s="296">
        <f t="shared" ca="1" si="50"/>
        <v>16.907399999999999</v>
      </c>
      <c r="D233" s="296">
        <f ca="1">IF(H233&lt;0,0,(K35-L35)/11)</f>
        <v>-9.0909090909090912E-2</v>
      </c>
      <c r="E233" s="296">
        <f t="shared" ca="1" si="54"/>
        <v>-9.0909090909090912E-2</v>
      </c>
      <c r="F233" s="296">
        <f t="shared" ca="1" si="47"/>
        <v>-9.0909090909090912E-2</v>
      </c>
      <c r="G233" s="303">
        <f t="shared" ca="1" si="51"/>
        <v>0</v>
      </c>
      <c r="H233" s="296">
        <f t="shared" ca="1" si="52"/>
        <v>16.9983</v>
      </c>
      <c r="I233" s="297">
        <f t="shared" ca="1" si="48"/>
        <v>-17</v>
      </c>
    </row>
    <row r="234" spans="1:9">
      <c r="A234" s="295">
        <f t="shared" si="49"/>
        <v>217</v>
      </c>
      <c r="B234" s="300">
        <f t="shared" si="53"/>
        <v>6576</v>
      </c>
      <c r="C234" s="296">
        <f t="shared" ca="1" si="50"/>
        <v>16.9983</v>
      </c>
      <c r="D234" s="296"/>
      <c r="E234" s="296">
        <f t="shared" ref="E234:E245" si="55">IF($D$10=1,
 IF(OR(MONTH(B234)=MONTH(EDATE($D$7,0)),MONTH(B234)=MONTH(EDATE($D$7,1)),MONTH(B234)=MONTH(EDATE($D$7,2)),MONTH(B234)=MONTH(EDATE($D$7,3)), MONTH(B234)=MONTH(EDATE($D$7,4)),MONTH(B234)=MONTH(EDATE($D$7,5)),MONTH(B234)=MONTH(EDATE($D$7,6)),MONTH(B234)=MONTH(EDATE($D$7,7)),MONTH(B234)=MONTH(EDATE($D$7,8)),MONTH(B234)=MONTH(EDATE($D$7,9)),MONTH(B234)=MONTH(EDATE($D$7,10))),(MIN( $D$233,H233)),0),
IF($D$10=0,
 IF(OR(MONTH(B234)=MONTH(EDATE($D$7,1)),MONTH(B234)=MONTH(EDATE($D$7,2)),MONTH(B234)=MONTH(EDATE($D$7,3)),MONTH(B234)=MONTH(EDATE($D$7,4)), MONTH(B234)=MONTH(EDATE($D$7,5)),MONTH(B234)=MONTH(EDATE($D$7,6)),MONTH(B234)=MONTH(EDATE($D$7,7)),MONTH(B234)=MONTH(EDATE($D$7,8)),MONTH(B234)=MONTH(EDATE($D$7,9)),MONTH(B234)=MONTH(EDATE($D$7,10)),MONTH(B234)=MONTH(EDATE($D$7,11))),(MIN( $D$233,H233)),0)))</f>
        <v>0</v>
      </c>
      <c r="F234" s="296">
        <f t="shared" ca="1" si="47"/>
        <v>0</v>
      </c>
      <c r="G234" s="303">
        <f t="shared" ca="1" si="51"/>
        <v>0</v>
      </c>
      <c r="H234" s="296">
        <f t="shared" ca="1" si="52"/>
        <v>16.9983</v>
      </c>
      <c r="I234" s="297">
        <f t="shared" ca="1" si="48"/>
        <v>-17</v>
      </c>
    </row>
    <row r="235" spans="1:9">
      <c r="A235" s="295">
        <f t="shared" si="49"/>
        <v>218</v>
      </c>
      <c r="B235" s="300">
        <f t="shared" si="53"/>
        <v>6607</v>
      </c>
      <c r="C235" s="296">
        <f t="shared" ca="1" si="50"/>
        <v>16.9983</v>
      </c>
      <c r="D235" s="295"/>
      <c r="E235" s="296">
        <f t="shared" ca="1" si="55"/>
        <v>-9.0909090909090912E-2</v>
      </c>
      <c r="F235" s="296">
        <f t="shared" ca="1" si="47"/>
        <v>-9.0909090909090912E-2</v>
      </c>
      <c r="G235" s="303">
        <f t="shared" ca="1" si="51"/>
        <v>0</v>
      </c>
      <c r="H235" s="296">
        <f t="shared" ca="1" si="52"/>
        <v>17.089200000000002</v>
      </c>
      <c r="I235" s="297">
        <f t="shared" ca="1" si="48"/>
        <v>-17</v>
      </c>
    </row>
    <row r="236" spans="1:9">
      <c r="A236" s="295">
        <f t="shared" si="49"/>
        <v>219</v>
      </c>
      <c r="B236" s="300">
        <f t="shared" si="53"/>
        <v>6635</v>
      </c>
      <c r="C236" s="296">
        <f t="shared" ca="1" si="50"/>
        <v>17.089200000000002</v>
      </c>
      <c r="D236" s="295"/>
      <c r="E236" s="296">
        <f t="shared" ca="1" si="55"/>
        <v>-9.0909090909090912E-2</v>
      </c>
      <c r="F236" s="296">
        <f t="shared" ca="1" si="47"/>
        <v>-9.0909090909090912E-2</v>
      </c>
      <c r="G236" s="303">
        <f t="shared" ca="1" si="51"/>
        <v>0</v>
      </c>
      <c r="H236" s="296">
        <f t="shared" ca="1" si="52"/>
        <v>17.180099999999999</v>
      </c>
      <c r="I236" s="297">
        <f t="shared" ca="1" si="48"/>
        <v>-17</v>
      </c>
    </row>
    <row r="237" spans="1:9">
      <c r="A237" s="295">
        <f t="shared" si="49"/>
        <v>220</v>
      </c>
      <c r="B237" s="300">
        <f t="shared" si="53"/>
        <v>6666</v>
      </c>
      <c r="C237" s="296">
        <f t="shared" ca="1" si="50"/>
        <v>17.180099999999999</v>
      </c>
      <c r="D237" s="295"/>
      <c r="E237" s="296">
        <f t="shared" ca="1" si="55"/>
        <v>-9.0909090909090912E-2</v>
      </c>
      <c r="F237" s="296">
        <f t="shared" ca="1" si="47"/>
        <v>-9.0909090909090912E-2</v>
      </c>
      <c r="G237" s="303">
        <f t="shared" ca="1" si="51"/>
        <v>0</v>
      </c>
      <c r="H237" s="296">
        <f t="shared" ca="1" si="52"/>
        <v>17.271000000000001</v>
      </c>
      <c r="I237" s="297">
        <f t="shared" ca="1" si="48"/>
        <v>-17</v>
      </c>
    </row>
    <row r="238" spans="1:9">
      <c r="A238" s="295">
        <f t="shared" si="49"/>
        <v>221</v>
      </c>
      <c r="B238" s="300">
        <f t="shared" si="53"/>
        <v>6696</v>
      </c>
      <c r="C238" s="296">
        <f t="shared" ca="1" si="50"/>
        <v>17.271000000000001</v>
      </c>
      <c r="D238" s="295"/>
      <c r="E238" s="296">
        <f t="shared" ca="1" si="55"/>
        <v>-9.0909090909090912E-2</v>
      </c>
      <c r="F238" s="296">
        <f t="shared" ca="1" si="47"/>
        <v>-9.0909090909090912E-2</v>
      </c>
      <c r="G238" s="303">
        <f t="shared" ca="1" si="51"/>
        <v>0</v>
      </c>
      <c r="H238" s="296">
        <f t="shared" ca="1" si="52"/>
        <v>17.361899999999999</v>
      </c>
      <c r="I238" s="297">
        <f t="shared" ca="1" si="48"/>
        <v>-17</v>
      </c>
    </row>
    <row r="239" spans="1:9">
      <c r="A239" s="295">
        <f t="shared" si="49"/>
        <v>222</v>
      </c>
      <c r="B239" s="300">
        <f t="shared" si="53"/>
        <v>6727</v>
      </c>
      <c r="C239" s="296">
        <f t="shared" ca="1" si="50"/>
        <v>17.361899999999999</v>
      </c>
      <c r="D239" s="295"/>
      <c r="E239" s="296">
        <f t="shared" ca="1" si="55"/>
        <v>-9.0909090909090912E-2</v>
      </c>
      <c r="F239" s="296">
        <f t="shared" ca="1" si="47"/>
        <v>-9.0909090909090912E-2</v>
      </c>
      <c r="G239" s="303">
        <f t="shared" ca="1" si="51"/>
        <v>0</v>
      </c>
      <c r="H239" s="296">
        <f t="shared" ca="1" si="52"/>
        <v>17.4528</v>
      </c>
      <c r="I239" s="297">
        <f t="shared" ca="1" si="48"/>
        <v>-17</v>
      </c>
    </row>
    <row r="240" spans="1:9">
      <c r="A240" s="295">
        <f t="shared" si="49"/>
        <v>223</v>
      </c>
      <c r="B240" s="300">
        <f t="shared" si="53"/>
        <v>6757</v>
      </c>
      <c r="C240" s="296">
        <f t="shared" ca="1" si="50"/>
        <v>17.4528</v>
      </c>
      <c r="D240" s="295"/>
      <c r="E240" s="296">
        <f t="shared" ca="1" si="55"/>
        <v>-9.0909090909090912E-2</v>
      </c>
      <c r="F240" s="296">
        <f t="shared" ca="1" si="47"/>
        <v>-9.0909090909090912E-2</v>
      </c>
      <c r="G240" s="303">
        <f t="shared" ca="1" si="51"/>
        <v>0</v>
      </c>
      <c r="H240" s="296">
        <f t="shared" ca="1" si="52"/>
        <v>17.543700000000001</v>
      </c>
      <c r="I240" s="297">
        <f t="shared" ca="1" si="48"/>
        <v>-18</v>
      </c>
    </row>
    <row r="241" spans="1:9">
      <c r="A241" s="295">
        <f t="shared" si="49"/>
        <v>224</v>
      </c>
      <c r="B241" s="300">
        <f t="shared" si="53"/>
        <v>6788</v>
      </c>
      <c r="C241" s="296">
        <f t="shared" ca="1" si="50"/>
        <v>17.543700000000001</v>
      </c>
      <c r="D241" s="295"/>
      <c r="E241" s="296">
        <f t="shared" ca="1" si="55"/>
        <v>-9.0909090909090912E-2</v>
      </c>
      <c r="F241" s="296">
        <f t="shared" ca="1" si="47"/>
        <v>-9.0909090909090912E-2</v>
      </c>
      <c r="G241" s="303">
        <f t="shared" ca="1" si="51"/>
        <v>0</v>
      </c>
      <c r="H241" s="296">
        <f t="shared" ca="1" si="52"/>
        <v>17.634599999999999</v>
      </c>
      <c r="I241" s="297">
        <f t="shared" ca="1" si="48"/>
        <v>-18</v>
      </c>
    </row>
    <row r="242" spans="1:9">
      <c r="A242" s="295">
        <f t="shared" si="49"/>
        <v>225</v>
      </c>
      <c r="B242" s="300">
        <f t="shared" si="53"/>
        <v>6819</v>
      </c>
      <c r="C242" s="296">
        <f t="shared" ca="1" si="50"/>
        <v>17.634599999999999</v>
      </c>
      <c r="D242" s="295"/>
      <c r="E242" s="296">
        <f t="shared" ca="1" si="55"/>
        <v>-9.0909090909090912E-2</v>
      </c>
      <c r="F242" s="296">
        <f t="shared" ca="1" si="47"/>
        <v>-9.0909090909090912E-2</v>
      </c>
      <c r="G242" s="303">
        <f t="shared" ca="1" si="51"/>
        <v>0</v>
      </c>
      <c r="H242" s="296">
        <f t="shared" ca="1" si="52"/>
        <v>17.7255</v>
      </c>
      <c r="I242" s="297">
        <f t="shared" ca="1" si="48"/>
        <v>-18</v>
      </c>
    </row>
    <row r="243" spans="1:9">
      <c r="A243" s="295">
        <f t="shared" si="49"/>
        <v>226</v>
      </c>
      <c r="B243" s="300">
        <f t="shared" si="53"/>
        <v>6849</v>
      </c>
      <c r="C243" s="296">
        <f t="shared" ca="1" si="50"/>
        <v>17.7255</v>
      </c>
      <c r="D243" s="295"/>
      <c r="E243" s="296">
        <f t="shared" ca="1" si="55"/>
        <v>-9.0909090909090912E-2</v>
      </c>
      <c r="F243" s="296">
        <f t="shared" ca="1" si="47"/>
        <v>-9.0909090909090912E-2</v>
      </c>
      <c r="G243" s="303">
        <f t="shared" ca="1" si="51"/>
        <v>0</v>
      </c>
      <c r="H243" s="296">
        <f t="shared" ca="1" si="52"/>
        <v>17.816400000000002</v>
      </c>
      <c r="I243" s="297">
        <f t="shared" ca="1" si="48"/>
        <v>-18</v>
      </c>
    </row>
    <row r="244" spans="1:9">
      <c r="A244" s="295">
        <f t="shared" si="49"/>
        <v>227</v>
      </c>
      <c r="B244" s="300">
        <f t="shared" si="53"/>
        <v>6880</v>
      </c>
      <c r="C244" s="296">
        <f t="shared" ca="1" si="50"/>
        <v>17.816400000000002</v>
      </c>
      <c r="D244" s="295"/>
      <c r="E244" s="296">
        <f t="shared" ca="1" si="55"/>
        <v>-9.0909090909090912E-2</v>
      </c>
      <c r="F244" s="296">
        <f t="shared" ca="1" si="47"/>
        <v>-9.0909090909090912E-2</v>
      </c>
      <c r="G244" s="303">
        <f t="shared" ca="1" si="51"/>
        <v>0</v>
      </c>
      <c r="H244" s="296">
        <f t="shared" ca="1" si="52"/>
        <v>17.907299999999999</v>
      </c>
      <c r="I244" s="297">
        <f t="shared" ca="1" si="48"/>
        <v>-18</v>
      </c>
    </row>
    <row r="245" spans="1:9">
      <c r="A245" s="295">
        <f t="shared" si="49"/>
        <v>228</v>
      </c>
      <c r="B245" s="300">
        <f t="shared" si="53"/>
        <v>6910</v>
      </c>
      <c r="C245" s="296">
        <f t="shared" ca="1" si="50"/>
        <v>17.907299999999999</v>
      </c>
      <c r="D245" s="296">
        <f ca="1">IF(H245&lt;0,0,(K36-L36)/11)</f>
        <v>-9.0909090909090912E-2</v>
      </c>
      <c r="E245" s="296">
        <f t="shared" ca="1" si="55"/>
        <v>-9.0909090909090912E-2</v>
      </c>
      <c r="F245" s="296">
        <f t="shared" ca="1" si="47"/>
        <v>-9.0909090909090912E-2</v>
      </c>
      <c r="G245" s="303">
        <f t="shared" ca="1" si="51"/>
        <v>0</v>
      </c>
      <c r="H245" s="296">
        <f t="shared" ca="1" si="52"/>
        <v>17.998200000000001</v>
      </c>
      <c r="I245" s="297">
        <f t="shared" ca="1" si="48"/>
        <v>-18</v>
      </c>
    </row>
    <row r="246" spans="1:9">
      <c r="A246" s="295">
        <f t="shared" si="49"/>
        <v>229</v>
      </c>
      <c r="B246" s="300">
        <f t="shared" si="53"/>
        <v>6941</v>
      </c>
      <c r="C246" s="296">
        <f t="shared" ca="1" si="50"/>
        <v>17.998200000000001</v>
      </c>
      <c r="D246" s="296"/>
      <c r="E246" s="296">
        <f t="shared" ref="E246:E257" si="56">IF($D$10=1,
 IF(OR(MONTH(B246)=MONTH(EDATE($D$7,0)),MONTH(B246)=MONTH(EDATE($D$7,1)),MONTH(B246)=MONTH(EDATE($D$7,2)),MONTH(B246)=MONTH(EDATE($D$7,3)), MONTH(B246)=MONTH(EDATE($D$7,4)),MONTH(B246)=MONTH(EDATE($D$7,5)),MONTH(B246)=MONTH(EDATE($D$7,6)),MONTH(B246)=MONTH(EDATE($D$7,7)),MONTH(B246)=MONTH(EDATE($D$7,8)),MONTH(B246)=MONTH(EDATE($D$7,9)),MONTH(B246)=MONTH(EDATE($D$7,10))),(MIN( $D$245,H245)),0),
IF($D$10=0,
 IF(OR(MONTH(B246)=MONTH(EDATE($D$7,1)),MONTH(B246)=MONTH(EDATE($D$7,2)),MONTH(B246)=MONTH(EDATE($D$7,3)),MONTH(B246)=MONTH(EDATE($D$7,4)), MONTH(B246)=MONTH(EDATE($D$7,5)),MONTH(B246)=MONTH(EDATE($D$7,6)),MONTH(B246)=MONTH(EDATE($D$7,7)),MONTH(B246)=MONTH(EDATE($D$7,8)),MONTH(B246)=MONTH(EDATE($D$7,9)),MONTH(B246)=MONTH(EDATE($D$7,10)),MONTH(B246)=MONTH(EDATE($D$7,11))),(MIN( $D$245,H245)),0)))</f>
        <v>0</v>
      </c>
      <c r="F246" s="296">
        <f t="shared" ca="1" si="47"/>
        <v>0</v>
      </c>
      <c r="G246" s="303">
        <f t="shared" ca="1" si="51"/>
        <v>0</v>
      </c>
      <c r="H246" s="296">
        <f t="shared" ca="1" si="52"/>
        <v>17.998200000000001</v>
      </c>
      <c r="I246" s="297">
        <f t="shared" ca="1" si="48"/>
        <v>-18</v>
      </c>
    </row>
    <row r="247" spans="1:9">
      <c r="A247" s="295">
        <f t="shared" si="49"/>
        <v>230</v>
      </c>
      <c r="B247" s="300">
        <f t="shared" si="53"/>
        <v>6972</v>
      </c>
      <c r="C247" s="296">
        <f t="shared" ca="1" si="50"/>
        <v>17.998200000000001</v>
      </c>
      <c r="D247" s="295"/>
      <c r="E247" s="296">
        <f t="shared" ca="1" si="56"/>
        <v>-9.0909090909090912E-2</v>
      </c>
      <c r="F247" s="296">
        <f t="shared" ca="1" si="47"/>
        <v>-9.0909090909090912E-2</v>
      </c>
      <c r="G247" s="303">
        <f t="shared" ca="1" si="51"/>
        <v>0</v>
      </c>
      <c r="H247" s="296">
        <f t="shared" ca="1" si="52"/>
        <v>18.089099999999998</v>
      </c>
      <c r="I247" s="297">
        <f t="shared" ca="1" si="48"/>
        <v>-18</v>
      </c>
    </row>
    <row r="248" spans="1:9">
      <c r="A248" s="295">
        <f t="shared" si="49"/>
        <v>231</v>
      </c>
      <c r="B248" s="300">
        <f t="shared" si="53"/>
        <v>7000</v>
      </c>
      <c r="C248" s="296">
        <f t="shared" ca="1" si="50"/>
        <v>18.089099999999998</v>
      </c>
      <c r="D248" s="295"/>
      <c r="E248" s="296">
        <f t="shared" ca="1" si="56"/>
        <v>-9.0909090909090912E-2</v>
      </c>
      <c r="F248" s="296">
        <f t="shared" ca="1" si="47"/>
        <v>-9.0909090909090912E-2</v>
      </c>
      <c r="G248" s="303">
        <f t="shared" ca="1" si="51"/>
        <v>0</v>
      </c>
      <c r="H248" s="296">
        <f t="shared" ca="1" si="52"/>
        <v>18.18</v>
      </c>
      <c r="I248" s="297">
        <f t="shared" ca="1" si="48"/>
        <v>-18</v>
      </c>
    </row>
    <row r="249" spans="1:9">
      <c r="A249" s="295">
        <f t="shared" si="49"/>
        <v>232</v>
      </c>
      <c r="B249" s="300">
        <f t="shared" si="53"/>
        <v>7031</v>
      </c>
      <c r="C249" s="296">
        <f t="shared" ca="1" si="50"/>
        <v>18.18</v>
      </c>
      <c r="D249" s="295"/>
      <c r="E249" s="296">
        <f t="shared" ca="1" si="56"/>
        <v>-9.0909090909090912E-2</v>
      </c>
      <c r="F249" s="296">
        <f t="shared" ca="1" si="47"/>
        <v>-9.0909090909090912E-2</v>
      </c>
      <c r="G249" s="303">
        <f t="shared" ca="1" si="51"/>
        <v>0</v>
      </c>
      <c r="H249" s="296">
        <f t="shared" ca="1" si="52"/>
        <v>18.270900000000001</v>
      </c>
      <c r="I249" s="297">
        <f t="shared" ca="1" si="48"/>
        <v>-18</v>
      </c>
    </row>
    <row r="250" spans="1:9">
      <c r="A250" s="295">
        <f t="shared" si="49"/>
        <v>233</v>
      </c>
      <c r="B250" s="300">
        <f t="shared" si="53"/>
        <v>7061</v>
      </c>
      <c r="C250" s="296">
        <f t="shared" ca="1" si="50"/>
        <v>18.270900000000001</v>
      </c>
      <c r="D250" s="295"/>
      <c r="E250" s="296">
        <f t="shared" ca="1" si="56"/>
        <v>-9.0909090909090912E-2</v>
      </c>
      <c r="F250" s="296">
        <f t="shared" ca="1" si="47"/>
        <v>-9.0909090909090912E-2</v>
      </c>
      <c r="G250" s="303">
        <f t="shared" ca="1" si="51"/>
        <v>0</v>
      </c>
      <c r="H250" s="296">
        <f t="shared" ca="1" si="52"/>
        <v>18.361799999999999</v>
      </c>
      <c r="I250" s="297">
        <f t="shared" ca="1" si="48"/>
        <v>-18</v>
      </c>
    </row>
    <row r="251" spans="1:9">
      <c r="A251" s="295">
        <f t="shared" si="49"/>
        <v>234</v>
      </c>
      <c r="B251" s="300">
        <f t="shared" si="53"/>
        <v>7092</v>
      </c>
      <c r="C251" s="296">
        <f t="shared" ca="1" si="50"/>
        <v>18.361799999999999</v>
      </c>
      <c r="D251" s="295"/>
      <c r="E251" s="296">
        <f t="shared" ca="1" si="56"/>
        <v>-9.0909090909090912E-2</v>
      </c>
      <c r="F251" s="296">
        <f t="shared" ca="1" si="47"/>
        <v>-9.0909090909090912E-2</v>
      </c>
      <c r="G251" s="303">
        <f t="shared" ca="1" si="51"/>
        <v>0</v>
      </c>
      <c r="H251" s="296">
        <f t="shared" ca="1" si="52"/>
        <v>18.4527</v>
      </c>
      <c r="I251" s="297">
        <f t="shared" ca="1" si="48"/>
        <v>-18</v>
      </c>
    </row>
    <row r="252" spans="1:9">
      <c r="A252" s="295">
        <f t="shared" si="49"/>
        <v>235</v>
      </c>
      <c r="B252" s="300">
        <f t="shared" si="53"/>
        <v>7122</v>
      </c>
      <c r="C252" s="296">
        <f t="shared" ca="1" si="50"/>
        <v>18.4527</v>
      </c>
      <c r="D252" s="295"/>
      <c r="E252" s="296">
        <f t="shared" ca="1" si="56"/>
        <v>-9.0909090909090912E-2</v>
      </c>
      <c r="F252" s="296">
        <f t="shared" ca="1" si="47"/>
        <v>-9.0909090909090912E-2</v>
      </c>
      <c r="G252" s="303">
        <f t="shared" ca="1" si="51"/>
        <v>0</v>
      </c>
      <c r="H252" s="296">
        <f t="shared" ca="1" si="52"/>
        <v>18.543600000000001</v>
      </c>
      <c r="I252" s="297">
        <f t="shared" ca="1" si="48"/>
        <v>-19</v>
      </c>
    </row>
    <row r="253" spans="1:9">
      <c r="A253" s="295">
        <f t="shared" si="49"/>
        <v>236</v>
      </c>
      <c r="B253" s="300">
        <f t="shared" si="53"/>
        <v>7153</v>
      </c>
      <c r="C253" s="296">
        <f t="shared" ca="1" si="50"/>
        <v>18.543600000000001</v>
      </c>
      <c r="D253" s="295"/>
      <c r="E253" s="296">
        <f t="shared" ca="1" si="56"/>
        <v>-9.0909090909090912E-2</v>
      </c>
      <c r="F253" s="296">
        <f t="shared" ca="1" si="47"/>
        <v>-9.0909090909090912E-2</v>
      </c>
      <c r="G253" s="303">
        <f t="shared" ca="1" si="51"/>
        <v>0</v>
      </c>
      <c r="H253" s="296">
        <f t="shared" ca="1" si="52"/>
        <v>18.634499999999999</v>
      </c>
      <c r="I253" s="297">
        <f t="shared" ca="1" si="48"/>
        <v>-19</v>
      </c>
    </row>
    <row r="254" spans="1:9">
      <c r="A254" s="295">
        <f t="shared" si="49"/>
        <v>237</v>
      </c>
      <c r="B254" s="300">
        <f t="shared" si="53"/>
        <v>7184</v>
      </c>
      <c r="C254" s="296">
        <f t="shared" ca="1" si="50"/>
        <v>18.634499999999999</v>
      </c>
      <c r="D254" s="295"/>
      <c r="E254" s="296">
        <f t="shared" ca="1" si="56"/>
        <v>-9.0909090909090912E-2</v>
      </c>
      <c r="F254" s="296">
        <f t="shared" ca="1" si="47"/>
        <v>-9.0909090909090912E-2</v>
      </c>
      <c r="G254" s="303">
        <f t="shared" ca="1" si="51"/>
        <v>0</v>
      </c>
      <c r="H254" s="296">
        <f t="shared" ca="1" si="52"/>
        <v>18.7254</v>
      </c>
      <c r="I254" s="297">
        <f t="shared" ca="1" si="48"/>
        <v>-19</v>
      </c>
    </row>
    <row r="255" spans="1:9">
      <c r="A255" s="295">
        <f t="shared" si="49"/>
        <v>238</v>
      </c>
      <c r="B255" s="300">
        <f t="shared" si="53"/>
        <v>7214</v>
      </c>
      <c r="C255" s="296">
        <f t="shared" ca="1" si="50"/>
        <v>18.7254</v>
      </c>
      <c r="D255" s="295"/>
      <c r="E255" s="296">
        <f t="shared" ca="1" si="56"/>
        <v>-9.0909090909090912E-2</v>
      </c>
      <c r="F255" s="296">
        <f t="shared" ca="1" si="47"/>
        <v>-9.0909090909090912E-2</v>
      </c>
      <c r="G255" s="303">
        <f t="shared" ca="1" si="51"/>
        <v>0</v>
      </c>
      <c r="H255" s="296">
        <f t="shared" ca="1" si="52"/>
        <v>18.816299999999998</v>
      </c>
      <c r="I255" s="297">
        <f t="shared" ca="1" si="48"/>
        <v>-19</v>
      </c>
    </row>
    <row r="256" spans="1:9">
      <c r="A256" s="295">
        <f t="shared" si="49"/>
        <v>239</v>
      </c>
      <c r="B256" s="300">
        <f t="shared" si="53"/>
        <v>7245</v>
      </c>
      <c r="C256" s="296">
        <f t="shared" ca="1" si="50"/>
        <v>18.816299999999998</v>
      </c>
      <c r="D256" s="295"/>
      <c r="E256" s="296">
        <f t="shared" ca="1" si="56"/>
        <v>-9.0909090909090912E-2</v>
      </c>
      <c r="F256" s="296">
        <f t="shared" ca="1" si="47"/>
        <v>-9.0909090909090912E-2</v>
      </c>
      <c r="G256" s="303">
        <f t="shared" ca="1" si="51"/>
        <v>0</v>
      </c>
      <c r="H256" s="296">
        <f t="shared" ca="1" si="52"/>
        <v>18.9072</v>
      </c>
      <c r="I256" s="297">
        <f t="shared" ca="1" si="48"/>
        <v>-19</v>
      </c>
    </row>
    <row r="257" spans="1:9">
      <c r="A257" s="295">
        <f t="shared" si="49"/>
        <v>240</v>
      </c>
      <c r="B257" s="300">
        <f t="shared" si="53"/>
        <v>7275</v>
      </c>
      <c r="C257" s="296">
        <f t="shared" ca="1" si="50"/>
        <v>18.9072</v>
      </c>
      <c r="D257" s="296">
        <f ca="1">IF(H257&lt;0,0,(K37-L37)/11)</f>
        <v>-9.0909090909090912E-2</v>
      </c>
      <c r="E257" s="296">
        <f t="shared" ca="1" si="56"/>
        <v>-9.0909090909090912E-2</v>
      </c>
      <c r="F257" s="296">
        <f t="shared" ca="1" si="47"/>
        <v>-9.0909090909090912E-2</v>
      </c>
      <c r="G257" s="303">
        <f t="shared" ca="1" si="51"/>
        <v>0</v>
      </c>
      <c r="H257" s="296">
        <f t="shared" ca="1" si="52"/>
        <v>18.998100000000001</v>
      </c>
      <c r="I257" s="297">
        <f t="shared" ca="1" si="48"/>
        <v>-19</v>
      </c>
    </row>
    <row r="258" spans="1:9">
      <c r="A258" s="295">
        <f t="shared" si="49"/>
        <v>241</v>
      </c>
      <c r="B258" s="300">
        <f t="shared" si="53"/>
        <v>7306</v>
      </c>
      <c r="C258" s="296">
        <f t="shared" ca="1" si="50"/>
        <v>18.998100000000001</v>
      </c>
      <c r="D258" s="296"/>
      <c r="E258" s="296">
        <f t="shared" ref="E258:E269" si="57">IF($D$10=1,
 IF(OR(MONTH(B258)=MONTH(EDATE($D$7,0)),MONTH(B258)=MONTH(EDATE($D$7,1)),MONTH(B258)=MONTH(EDATE($D$7,2)),MONTH(B258)=MONTH(EDATE($D$7,3)), MONTH(B258)=MONTH(EDATE($D$7,4)),MONTH(B258)=MONTH(EDATE($D$7,5)),MONTH(B258)=MONTH(EDATE($D$7,6)),MONTH(B258)=MONTH(EDATE($D$7,7)),MONTH(B258)=MONTH(EDATE($D$7,8)),MONTH(B258)=MONTH(EDATE($D$7,9)),MONTH(B258)=MONTH(EDATE($D$7,10))),(MIN( $D$257,H257)),0),
IF($D$10=0,
 IF(OR(MONTH(B258)=MONTH(EDATE($D$7,1)),MONTH(B258)=MONTH(EDATE($D$7,2)),MONTH(B258)=MONTH(EDATE($D$7,3)),MONTH(B258)=MONTH(EDATE($D$7,4)), MONTH(B258)=MONTH(EDATE($D$7,5)),MONTH(B258)=MONTH(EDATE($D$7,6)),MONTH(B258)=MONTH(EDATE($D$7,7)),MONTH(B258)=MONTH(EDATE($D$7,8)),MONTH(B258)=MONTH(EDATE($D$7,9)),MONTH(B258)=MONTH(EDATE($D$7,10)),MONTH(B258)=MONTH(EDATE($D$7,11))),(MIN( $D$257,H257)),0)))</f>
        <v>0</v>
      </c>
      <c r="F258" s="296">
        <f t="shared" ca="1" si="47"/>
        <v>0</v>
      </c>
      <c r="G258" s="303">
        <f t="shared" ca="1" si="51"/>
        <v>0</v>
      </c>
      <c r="H258" s="296">
        <f t="shared" ca="1" si="52"/>
        <v>18.998100000000001</v>
      </c>
      <c r="I258" s="297">
        <f t="shared" ca="1" si="48"/>
        <v>-19</v>
      </c>
    </row>
    <row r="259" spans="1:9">
      <c r="A259" s="295">
        <f t="shared" si="49"/>
        <v>242</v>
      </c>
      <c r="B259" s="300">
        <f t="shared" si="53"/>
        <v>7337</v>
      </c>
      <c r="C259" s="296">
        <f t="shared" ca="1" si="50"/>
        <v>18.998100000000001</v>
      </c>
      <c r="D259" s="295"/>
      <c r="E259" s="296">
        <f t="shared" ca="1" si="57"/>
        <v>-9.0909090909090912E-2</v>
      </c>
      <c r="F259" s="296">
        <f t="shared" ca="1" si="47"/>
        <v>-9.0909090909090912E-2</v>
      </c>
      <c r="G259" s="303">
        <f t="shared" ca="1" si="51"/>
        <v>0</v>
      </c>
      <c r="H259" s="296">
        <f t="shared" ca="1" si="52"/>
        <v>19.088999999999999</v>
      </c>
      <c r="I259" s="297">
        <f t="shared" ca="1" si="48"/>
        <v>-19</v>
      </c>
    </row>
    <row r="260" spans="1:9">
      <c r="A260" s="295">
        <f t="shared" si="49"/>
        <v>243</v>
      </c>
      <c r="B260" s="300">
        <f t="shared" si="53"/>
        <v>7366</v>
      </c>
      <c r="C260" s="296">
        <f t="shared" ca="1" si="50"/>
        <v>19.088999999999999</v>
      </c>
      <c r="D260" s="295"/>
      <c r="E260" s="296">
        <f t="shared" ca="1" si="57"/>
        <v>-9.0909090909090912E-2</v>
      </c>
      <c r="F260" s="296">
        <f t="shared" ca="1" si="47"/>
        <v>-9.0909090909090912E-2</v>
      </c>
      <c r="G260" s="303">
        <f t="shared" ca="1" si="51"/>
        <v>0</v>
      </c>
      <c r="H260" s="296">
        <f t="shared" ca="1" si="52"/>
        <v>19.1799</v>
      </c>
      <c r="I260" s="297">
        <f t="shared" ca="1" si="48"/>
        <v>-19</v>
      </c>
    </row>
    <row r="261" spans="1:9">
      <c r="A261" s="295">
        <f t="shared" si="49"/>
        <v>244</v>
      </c>
      <c r="B261" s="300">
        <f t="shared" si="53"/>
        <v>7397</v>
      </c>
      <c r="C261" s="296">
        <f t="shared" ca="1" si="50"/>
        <v>19.1799</v>
      </c>
      <c r="D261" s="295"/>
      <c r="E261" s="296">
        <f t="shared" ca="1" si="57"/>
        <v>-9.0909090909090912E-2</v>
      </c>
      <c r="F261" s="296">
        <f t="shared" ca="1" si="47"/>
        <v>-9.0909090909090912E-2</v>
      </c>
      <c r="G261" s="303">
        <f t="shared" ca="1" si="51"/>
        <v>0</v>
      </c>
      <c r="H261" s="296">
        <f t="shared" ca="1" si="52"/>
        <v>19.270800000000001</v>
      </c>
      <c r="I261" s="297">
        <f t="shared" ca="1" si="48"/>
        <v>-19</v>
      </c>
    </row>
    <row r="262" spans="1:9">
      <c r="A262" s="295">
        <f t="shared" si="49"/>
        <v>245</v>
      </c>
      <c r="B262" s="300">
        <f t="shared" si="53"/>
        <v>7427</v>
      </c>
      <c r="C262" s="296">
        <f t="shared" ca="1" si="50"/>
        <v>19.270800000000001</v>
      </c>
      <c r="D262" s="295"/>
      <c r="E262" s="296">
        <f t="shared" ca="1" si="57"/>
        <v>-9.0909090909090912E-2</v>
      </c>
      <c r="F262" s="296">
        <f t="shared" ca="1" si="47"/>
        <v>-9.0909090909090912E-2</v>
      </c>
      <c r="G262" s="303">
        <f t="shared" ca="1" si="51"/>
        <v>0</v>
      </c>
      <c r="H262" s="296">
        <f t="shared" ca="1" si="52"/>
        <v>19.361699999999999</v>
      </c>
      <c r="I262" s="297">
        <f t="shared" ca="1" si="48"/>
        <v>-19</v>
      </c>
    </row>
    <row r="263" spans="1:9">
      <c r="A263" s="295">
        <f t="shared" si="49"/>
        <v>246</v>
      </c>
      <c r="B263" s="300">
        <f t="shared" si="53"/>
        <v>7458</v>
      </c>
      <c r="C263" s="296">
        <f t="shared" ca="1" si="50"/>
        <v>19.361699999999999</v>
      </c>
      <c r="D263" s="295"/>
      <c r="E263" s="296">
        <f t="shared" ca="1" si="57"/>
        <v>-9.0909090909090912E-2</v>
      </c>
      <c r="F263" s="296">
        <f t="shared" ca="1" si="47"/>
        <v>-9.0909090909090912E-2</v>
      </c>
      <c r="G263" s="303">
        <f t="shared" ca="1" si="51"/>
        <v>0</v>
      </c>
      <c r="H263" s="296">
        <f t="shared" ca="1" si="52"/>
        <v>19.4526</v>
      </c>
      <c r="I263" s="297">
        <f t="shared" ca="1" si="48"/>
        <v>-19</v>
      </c>
    </row>
    <row r="264" spans="1:9">
      <c r="A264" s="295">
        <f t="shared" si="49"/>
        <v>247</v>
      </c>
      <c r="B264" s="300">
        <f t="shared" si="53"/>
        <v>7488</v>
      </c>
      <c r="C264" s="296">
        <f t="shared" ca="1" si="50"/>
        <v>19.4526</v>
      </c>
      <c r="D264" s="295"/>
      <c r="E264" s="296">
        <f t="shared" ca="1" si="57"/>
        <v>-9.0909090909090912E-2</v>
      </c>
      <c r="F264" s="296">
        <f t="shared" ca="1" si="47"/>
        <v>-9.0909090909090912E-2</v>
      </c>
      <c r="G264" s="303">
        <f t="shared" ca="1" si="51"/>
        <v>0</v>
      </c>
      <c r="H264" s="296">
        <f t="shared" ca="1" si="52"/>
        <v>19.543500000000002</v>
      </c>
      <c r="I264" s="297">
        <f t="shared" ca="1" si="48"/>
        <v>-20</v>
      </c>
    </row>
    <row r="265" spans="1:9">
      <c r="A265" s="295">
        <f t="shared" si="49"/>
        <v>248</v>
      </c>
      <c r="B265" s="300">
        <f t="shared" si="53"/>
        <v>7519</v>
      </c>
      <c r="C265" s="296">
        <f t="shared" ca="1" si="50"/>
        <v>19.543500000000002</v>
      </c>
      <c r="D265" s="295"/>
      <c r="E265" s="296">
        <f t="shared" ca="1" si="57"/>
        <v>-9.0909090909090912E-2</v>
      </c>
      <c r="F265" s="296">
        <f t="shared" ca="1" si="47"/>
        <v>-9.0909090909090912E-2</v>
      </c>
      <c r="G265" s="303">
        <f t="shared" ca="1" si="51"/>
        <v>0</v>
      </c>
      <c r="H265" s="296">
        <f t="shared" ca="1" si="52"/>
        <v>19.634399999999999</v>
      </c>
      <c r="I265" s="297">
        <f t="shared" ca="1" si="48"/>
        <v>-20</v>
      </c>
    </row>
    <row r="266" spans="1:9">
      <c r="A266" s="295">
        <f t="shared" si="49"/>
        <v>249</v>
      </c>
      <c r="B266" s="300">
        <f t="shared" si="53"/>
        <v>7550</v>
      </c>
      <c r="C266" s="296">
        <f t="shared" ca="1" si="50"/>
        <v>19.634399999999999</v>
      </c>
      <c r="D266" s="295"/>
      <c r="E266" s="296">
        <f t="shared" ca="1" si="57"/>
        <v>-9.0909090909090912E-2</v>
      </c>
      <c r="F266" s="296">
        <f t="shared" ca="1" si="47"/>
        <v>-9.0909090909090912E-2</v>
      </c>
      <c r="G266" s="303">
        <f t="shared" ca="1" si="51"/>
        <v>0</v>
      </c>
      <c r="H266" s="296">
        <f t="shared" ca="1" si="52"/>
        <v>19.725300000000001</v>
      </c>
      <c r="I266" s="297">
        <f t="shared" ca="1" si="48"/>
        <v>-20</v>
      </c>
    </row>
    <row r="267" spans="1:9">
      <c r="A267" s="295">
        <f t="shared" si="49"/>
        <v>250</v>
      </c>
      <c r="B267" s="300">
        <f t="shared" si="53"/>
        <v>7580</v>
      </c>
      <c r="C267" s="296">
        <f t="shared" ca="1" si="50"/>
        <v>19.725300000000001</v>
      </c>
      <c r="D267" s="295"/>
      <c r="E267" s="296">
        <f t="shared" ca="1" si="57"/>
        <v>-9.0909090909090912E-2</v>
      </c>
      <c r="F267" s="296">
        <f t="shared" ca="1" si="47"/>
        <v>-9.0909090909090912E-2</v>
      </c>
      <c r="G267" s="303">
        <f t="shared" ca="1" si="51"/>
        <v>0</v>
      </c>
      <c r="H267" s="296">
        <f t="shared" ca="1" si="52"/>
        <v>19.816199999999998</v>
      </c>
      <c r="I267" s="297">
        <f t="shared" ca="1" si="48"/>
        <v>-20</v>
      </c>
    </row>
    <row r="268" spans="1:9">
      <c r="A268" s="295">
        <f t="shared" si="49"/>
        <v>251</v>
      </c>
      <c r="B268" s="300">
        <f t="shared" si="53"/>
        <v>7611</v>
      </c>
      <c r="C268" s="296">
        <f t="shared" ca="1" si="50"/>
        <v>19.816199999999998</v>
      </c>
      <c r="D268" s="295"/>
      <c r="E268" s="296">
        <f t="shared" ca="1" si="57"/>
        <v>-9.0909090909090912E-2</v>
      </c>
      <c r="F268" s="296">
        <f t="shared" ca="1" si="47"/>
        <v>-9.0909090909090912E-2</v>
      </c>
      <c r="G268" s="303">
        <f t="shared" ca="1" si="51"/>
        <v>0</v>
      </c>
      <c r="H268" s="296">
        <f t="shared" ca="1" si="52"/>
        <v>19.9071</v>
      </c>
      <c r="I268" s="297">
        <f t="shared" ca="1" si="48"/>
        <v>-20</v>
      </c>
    </row>
    <row r="269" spans="1:9">
      <c r="A269" s="295">
        <f t="shared" si="49"/>
        <v>252</v>
      </c>
      <c r="B269" s="300">
        <f t="shared" si="53"/>
        <v>7641</v>
      </c>
      <c r="C269" s="296">
        <f t="shared" ca="1" si="50"/>
        <v>19.9071</v>
      </c>
      <c r="D269" s="296">
        <f ca="1">IF(H269&lt;0,0,(K38-L38)/11)</f>
        <v>-9.0909090909090912E-2</v>
      </c>
      <c r="E269" s="296">
        <f t="shared" ca="1" si="57"/>
        <v>-9.0909090909090912E-2</v>
      </c>
      <c r="F269" s="296">
        <f t="shared" ca="1" si="47"/>
        <v>-9.0909090909090912E-2</v>
      </c>
      <c r="G269" s="303">
        <f t="shared" ca="1" si="51"/>
        <v>0</v>
      </c>
      <c r="H269" s="296">
        <f t="shared" ca="1" si="52"/>
        <v>19.998000000000001</v>
      </c>
      <c r="I269" s="297">
        <f t="shared" ca="1" si="48"/>
        <v>-20</v>
      </c>
    </row>
    <row r="270" spans="1:9">
      <c r="A270" s="295">
        <f t="shared" si="49"/>
        <v>253</v>
      </c>
      <c r="B270" s="300">
        <f t="shared" si="53"/>
        <v>7672</v>
      </c>
      <c r="C270" s="296">
        <f t="shared" ca="1" si="50"/>
        <v>19.998000000000001</v>
      </c>
      <c r="D270" s="296"/>
      <c r="E270" s="296">
        <f t="shared" ref="E270:E281" si="58">IF($D$10=1,
 IF(OR(MONTH(B270)=MONTH(EDATE($D$7,0)),MONTH(B270)=MONTH(EDATE($D$7,1)),MONTH(B270)=MONTH(EDATE($D$7,2)),MONTH(B270)=MONTH(EDATE($D$7,3)), MONTH(B270)=MONTH(EDATE($D$7,4)),MONTH(B270)=MONTH(EDATE($D$7,5)),MONTH(B270)=MONTH(EDATE($D$7,6)),MONTH(B270)=MONTH(EDATE($D$7,7)),MONTH(B270)=MONTH(EDATE($D$7,8)),MONTH(B270)=MONTH(EDATE($D$7,9)),MONTH(B270)=MONTH(EDATE($D$7,10))),(MIN( $D$269,H269)),0),
IF($D$10=0,
 IF(OR(MONTH(B270)=MONTH(EDATE($D$7,1)),MONTH(B270)=MONTH(EDATE($D$7,2)),MONTH(B270)=MONTH(EDATE($D$7,3)),MONTH(B270)=MONTH(EDATE($D$7,4)), MONTH(B270)=MONTH(EDATE($D$7,5)),MONTH(B270)=MONTH(EDATE($D$7,6)),MONTH(B270)=MONTH(EDATE($D$7,7)),MONTH(B270)=MONTH(EDATE($D$7,8)),MONTH(B270)=MONTH(EDATE($D$7,9)),MONTH(B270)=MONTH(EDATE($D$7,10)),MONTH(B270)=MONTH(EDATE($D$7,11))),(MIN( $D$269,H269)),0)))</f>
        <v>0</v>
      </c>
      <c r="F270" s="296">
        <f t="shared" ca="1" si="47"/>
        <v>0</v>
      </c>
      <c r="G270" s="303">
        <f t="shared" ca="1" si="51"/>
        <v>0</v>
      </c>
      <c r="H270" s="296">
        <f t="shared" ca="1" si="52"/>
        <v>19.998000000000001</v>
      </c>
      <c r="I270" s="297">
        <f t="shared" ca="1" si="48"/>
        <v>-20</v>
      </c>
    </row>
    <row r="271" spans="1:9">
      <c r="A271" s="295">
        <f t="shared" si="49"/>
        <v>254</v>
      </c>
      <c r="B271" s="300">
        <f t="shared" si="53"/>
        <v>7703</v>
      </c>
      <c r="C271" s="296">
        <f t="shared" ca="1" si="50"/>
        <v>19.998000000000001</v>
      </c>
      <c r="D271" s="295"/>
      <c r="E271" s="296">
        <f t="shared" ca="1" si="58"/>
        <v>-9.0909090909090912E-2</v>
      </c>
      <c r="F271" s="296">
        <f t="shared" ca="1" si="47"/>
        <v>-9.0909090909090912E-2</v>
      </c>
      <c r="G271" s="303">
        <f t="shared" ca="1" si="51"/>
        <v>0</v>
      </c>
      <c r="H271" s="296">
        <f t="shared" ca="1" si="52"/>
        <v>20.088899999999999</v>
      </c>
      <c r="I271" s="297">
        <f t="shared" ca="1" si="48"/>
        <v>-20</v>
      </c>
    </row>
    <row r="272" spans="1:9">
      <c r="A272" s="295">
        <f t="shared" si="49"/>
        <v>255</v>
      </c>
      <c r="B272" s="300">
        <f t="shared" si="53"/>
        <v>7731</v>
      </c>
      <c r="C272" s="296">
        <f t="shared" ca="1" si="50"/>
        <v>20.088899999999999</v>
      </c>
      <c r="D272" s="295"/>
      <c r="E272" s="296">
        <f t="shared" ca="1" si="58"/>
        <v>-9.0909090909090912E-2</v>
      </c>
      <c r="F272" s="296">
        <f t="shared" ca="1" si="47"/>
        <v>-9.0909090909090912E-2</v>
      </c>
      <c r="G272" s="303">
        <f t="shared" ca="1" si="51"/>
        <v>0</v>
      </c>
      <c r="H272" s="296">
        <f t="shared" ca="1" si="52"/>
        <v>20.1798</v>
      </c>
      <c r="I272" s="297">
        <f t="shared" ca="1" si="48"/>
        <v>-20</v>
      </c>
    </row>
    <row r="273" spans="1:9">
      <c r="A273" s="295">
        <f t="shared" si="49"/>
        <v>256</v>
      </c>
      <c r="B273" s="300">
        <f t="shared" si="53"/>
        <v>7762</v>
      </c>
      <c r="C273" s="296">
        <f t="shared" ca="1" si="50"/>
        <v>20.1798</v>
      </c>
      <c r="D273" s="295"/>
      <c r="E273" s="296">
        <f t="shared" ca="1" si="58"/>
        <v>-9.0909090909090912E-2</v>
      </c>
      <c r="F273" s="296">
        <f t="shared" ca="1" si="47"/>
        <v>-9.0909090909090912E-2</v>
      </c>
      <c r="G273" s="303">
        <f t="shared" ca="1" si="51"/>
        <v>0</v>
      </c>
      <c r="H273" s="296">
        <f t="shared" ca="1" si="52"/>
        <v>20.270700000000001</v>
      </c>
      <c r="I273" s="297">
        <f t="shared" ca="1" si="48"/>
        <v>-20</v>
      </c>
    </row>
    <row r="274" spans="1:9">
      <c r="A274" s="295">
        <f t="shared" si="49"/>
        <v>257</v>
      </c>
      <c r="B274" s="300">
        <f t="shared" si="53"/>
        <v>7792</v>
      </c>
      <c r="C274" s="296">
        <f t="shared" ca="1" si="50"/>
        <v>20.270700000000001</v>
      </c>
      <c r="D274" s="295"/>
      <c r="E274" s="296">
        <f t="shared" ca="1" si="58"/>
        <v>-9.0909090909090912E-2</v>
      </c>
      <c r="F274" s="296">
        <f t="shared" ref="F274:F337" ca="1" si="59">IF(E274="","",E274-G274)</f>
        <v>-9.0909090909090912E-2</v>
      </c>
      <c r="G274" s="303">
        <f t="shared" ca="1" si="51"/>
        <v>0</v>
      </c>
      <c r="H274" s="296">
        <f t="shared" ca="1" si="52"/>
        <v>20.361599999999999</v>
      </c>
      <c r="I274" s="297">
        <f t="shared" ref="I274:I337" ca="1" si="60">ROUND((D274-H274),0)</f>
        <v>-20</v>
      </c>
    </row>
    <row r="275" spans="1:9">
      <c r="A275" s="295">
        <f t="shared" ref="A275:A338" si="61">IF(A274="","",IF(A274=$D$6,"",A274+1))</f>
        <v>258</v>
      </c>
      <c r="B275" s="300">
        <f t="shared" si="53"/>
        <v>7823</v>
      </c>
      <c r="C275" s="296">
        <f t="shared" ref="C275:C338" ca="1" si="62">IF(H274=0,0,H274)</f>
        <v>20.361599999999999</v>
      </c>
      <c r="D275" s="295"/>
      <c r="E275" s="296">
        <f t="shared" ca="1" si="58"/>
        <v>-9.0909090909090912E-2</v>
      </c>
      <c r="F275" s="296">
        <f t="shared" ca="1" si="59"/>
        <v>-9.0909090909090912E-2</v>
      </c>
      <c r="G275" s="303">
        <f t="shared" ref="G275:G338" ca="1" si="63">ROUND((C275-E275)*$D$5,3)</f>
        <v>0</v>
      </c>
      <c r="H275" s="296">
        <f t="shared" ref="H275:H338" ca="1" si="64">IF(E275="","",ROUND(H274-F275,4))</f>
        <v>20.452500000000001</v>
      </c>
      <c r="I275" s="297">
        <f t="shared" ca="1" si="60"/>
        <v>-20</v>
      </c>
    </row>
    <row r="276" spans="1:9">
      <c r="A276" s="295">
        <f t="shared" si="61"/>
        <v>259</v>
      </c>
      <c r="B276" s="300">
        <f t="shared" ref="B276:B339" si="65">DATE(YEAR(B275),MONTH(B275)+1,1)</f>
        <v>7853</v>
      </c>
      <c r="C276" s="296">
        <f t="shared" ca="1" si="62"/>
        <v>20.452500000000001</v>
      </c>
      <c r="D276" s="295"/>
      <c r="E276" s="296">
        <f t="shared" ca="1" si="58"/>
        <v>-9.0909090909090912E-2</v>
      </c>
      <c r="F276" s="296">
        <f t="shared" ca="1" si="59"/>
        <v>-9.0909090909090912E-2</v>
      </c>
      <c r="G276" s="303">
        <f t="shared" ca="1" si="63"/>
        <v>0</v>
      </c>
      <c r="H276" s="296">
        <f t="shared" ca="1" si="64"/>
        <v>20.543399999999998</v>
      </c>
      <c r="I276" s="297">
        <f t="shared" ca="1" si="60"/>
        <v>-21</v>
      </c>
    </row>
    <row r="277" spans="1:9">
      <c r="A277" s="295">
        <f t="shared" si="61"/>
        <v>260</v>
      </c>
      <c r="B277" s="300">
        <f t="shared" si="65"/>
        <v>7884</v>
      </c>
      <c r="C277" s="296">
        <f t="shared" ca="1" si="62"/>
        <v>20.543399999999998</v>
      </c>
      <c r="D277" s="295"/>
      <c r="E277" s="296">
        <f t="shared" ca="1" si="58"/>
        <v>-9.0909090909090912E-2</v>
      </c>
      <c r="F277" s="296">
        <f t="shared" ca="1" si="59"/>
        <v>-9.0909090909090912E-2</v>
      </c>
      <c r="G277" s="303">
        <f t="shared" ca="1" si="63"/>
        <v>0</v>
      </c>
      <c r="H277" s="296">
        <f t="shared" ca="1" si="64"/>
        <v>20.6343</v>
      </c>
      <c r="I277" s="297">
        <f t="shared" ca="1" si="60"/>
        <v>-21</v>
      </c>
    </row>
    <row r="278" spans="1:9">
      <c r="A278" s="295">
        <f t="shared" si="61"/>
        <v>261</v>
      </c>
      <c r="B278" s="300">
        <f t="shared" si="65"/>
        <v>7915</v>
      </c>
      <c r="C278" s="296">
        <f t="shared" ca="1" si="62"/>
        <v>20.6343</v>
      </c>
      <c r="D278" s="295"/>
      <c r="E278" s="296">
        <f t="shared" ca="1" si="58"/>
        <v>-9.0909090909090912E-2</v>
      </c>
      <c r="F278" s="296">
        <f t="shared" ca="1" si="59"/>
        <v>-9.0909090909090912E-2</v>
      </c>
      <c r="G278" s="303">
        <f t="shared" ca="1" si="63"/>
        <v>0</v>
      </c>
      <c r="H278" s="296">
        <f t="shared" ca="1" si="64"/>
        <v>20.725200000000001</v>
      </c>
      <c r="I278" s="297">
        <f t="shared" ca="1" si="60"/>
        <v>-21</v>
      </c>
    </row>
    <row r="279" spans="1:9">
      <c r="A279" s="295">
        <f t="shared" si="61"/>
        <v>262</v>
      </c>
      <c r="B279" s="300">
        <f t="shared" si="65"/>
        <v>7945</v>
      </c>
      <c r="C279" s="296">
        <f t="shared" ca="1" si="62"/>
        <v>20.725200000000001</v>
      </c>
      <c r="D279" s="295"/>
      <c r="E279" s="296">
        <f t="shared" ca="1" si="58"/>
        <v>-9.0909090909090912E-2</v>
      </c>
      <c r="F279" s="296">
        <f t="shared" ca="1" si="59"/>
        <v>-9.0909090909090912E-2</v>
      </c>
      <c r="G279" s="303">
        <f t="shared" ca="1" si="63"/>
        <v>0</v>
      </c>
      <c r="H279" s="296">
        <f t="shared" ca="1" si="64"/>
        <v>20.816099999999999</v>
      </c>
      <c r="I279" s="297">
        <f t="shared" ca="1" si="60"/>
        <v>-21</v>
      </c>
    </row>
    <row r="280" spans="1:9">
      <c r="A280" s="295">
        <f t="shared" si="61"/>
        <v>263</v>
      </c>
      <c r="B280" s="300">
        <f t="shared" si="65"/>
        <v>7976</v>
      </c>
      <c r="C280" s="296">
        <f t="shared" ca="1" si="62"/>
        <v>20.816099999999999</v>
      </c>
      <c r="D280" s="295"/>
      <c r="E280" s="296">
        <f t="shared" ca="1" si="58"/>
        <v>-9.0909090909090912E-2</v>
      </c>
      <c r="F280" s="296">
        <f t="shared" ca="1" si="59"/>
        <v>-9.0909090909090912E-2</v>
      </c>
      <c r="G280" s="303">
        <f t="shared" ca="1" si="63"/>
        <v>0</v>
      </c>
      <c r="H280" s="296">
        <f t="shared" ca="1" si="64"/>
        <v>20.907</v>
      </c>
      <c r="I280" s="297">
        <f t="shared" ca="1" si="60"/>
        <v>-21</v>
      </c>
    </row>
    <row r="281" spans="1:9">
      <c r="A281" s="295">
        <f t="shared" si="61"/>
        <v>264</v>
      </c>
      <c r="B281" s="300">
        <f t="shared" si="65"/>
        <v>8006</v>
      </c>
      <c r="C281" s="296">
        <f t="shared" ca="1" si="62"/>
        <v>20.907</v>
      </c>
      <c r="D281" s="296">
        <f ca="1">IF(H281&lt;0,0,(K39-L39)/11)</f>
        <v>-9.0909090909090912E-2</v>
      </c>
      <c r="E281" s="296">
        <f t="shared" ca="1" si="58"/>
        <v>-9.0909090909090912E-2</v>
      </c>
      <c r="F281" s="296">
        <f t="shared" ca="1" si="59"/>
        <v>-9.0909090909090912E-2</v>
      </c>
      <c r="G281" s="303">
        <f t="shared" ca="1" si="63"/>
        <v>0</v>
      </c>
      <c r="H281" s="296">
        <f t="shared" ca="1" si="64"/>
        <v>20.997900000000001</v>
      </c>
      <c r="I281" s="297">
        <f t="shared" ca="1" si="60"/>
        <v>-21</v>
      </c>
    </row>
    <row r="282" spans="1:9">
      <c r="A282" s="295">
        <f t="shared" si="61"/>
        <v>265</v>
      </c>
      <c r="B282" s="300">
        <f t="shared" si="65"/>
        <v>8037</v>
      </c>
      <c r="C282" s="296">
        <f t="shared" ca="1" si="62"/>
        <v>20.997900000000001</v>
      </c>
      <c r="D282" s="296"/>
      <c r="E282" s="296">
        <f t="shared" ref="E282:E293" si="66">IF($D$10=1,
 IF(OR(MONTH(B282)=MONTH(EDATE($D$7,0)),MONTH(B282)=MONTH(EDATE($D$7,1)),MONTH(B282)=MONTH(EDATE($D$7,2)),MONTH(B282)=MONTH(EDATE($D$7,3)), MONTH(B282)=MONTH(EDATE($D$7,4)),MONTH(B282)=MONTH(EDATE($D$7,5)),MONTH(B282)=MONTH(EDATE($D$7,6)),MONTH(B282)=MONTH(EDATE($D$7,7)),MONTH(B282)=MONTH(EDATE($D$7,8)),MONTH(B282)=MONTH(EDATE($D$7,9)),MONTH(B282)=MONTH(EDATE($D$7,10))),(MIN( $D$281,H281)),0),
IF($D$10=0,
 IF(OR(MONTH(B282)=MONTH(EDATE($D$7,1)),MONTH(B282)=MONTH(EDATE($D$7,2)),MONTH(B282)=MONTH(EDATE($D$7,3)),MONTH(B282)=MONTH(EDATE($D$7,4)), MONTH(B282)=MONTH(EDATE($D$7,5)),MONTH(B282)=MONTH(EDATE($D$7,6)),MONTH(B282)=MONTH(EDATE($D$7,7)),MONTH(B282)=MONTH(EDATE($D$7,8)),MONTH(B282)=MONTH(EDATE($D$7,9)),MONTH(B282)=MONTH(EDATE($D$7,10)),MONTH(B282)=MONTH(EDATE($D$7,11))),(MIN( $D$281,H281)),0)))</f>
        <v>0</v>
      </c>
      <c r="F282" s="296">
        <f t="shared" ca="1" si="59"/>
        <v>0</v>
      </c>
      <c r="G282" s="303">
        <f t="shared" ca="1" si="63"/>
        <v>0</v>
      </c>
      <c r="H282" s="296">
        <f t="shared" ca="1" si="64"/>
        <v>20.997900000000001</v>
      </c>
      <c r="I282" s="297">
        <f t="shared" ca="1" si="60"/>
        <v>-21</v>
      </c>
    </row>
    <row r="283" spans="1:9">
      <c r="A283" s="295">
        <f t="shared" si="61"/>
        <v>266</v>
      </c>
      <c r="B283" s="300">
        <f t="shared" si="65"/>
        <v>8068</v>
      </c>
      <c r="C283" s="296">
        <f t="shared" ca="1" si="62"/>
        <v>20.997900000000001</v>
      </c>
      <c r="D283" s="295"/>
      <c r="E283" s="296">
        <f t="shared" ca="1" si="66"/>
        <v>-9.0909090909090912E-2</v>
      </c>
      <c r="F283" s="296">
        <f t="shared" ca="1" si="59"/>
        <v>-9.0909090909090912E-2</v>
      </c>
      <c r="G283" s="303">
        <f t="shared" ca="1" si="63"/>
        <v>0</v>
      </c>
      <c r="H283" s="296">
        <f t="shared" ca="1" si="64"/>
        <v>21.088799999999999</v>
      </c>
      <c r="I283" s="297">
        <f t="shared" ca="1" si="60"/>
        <v>-21</v>
      </c>
    </row>
    <row r="284" spans="1:9">
      <c r="A284" s="295">
        <f t="shared" si="61"/>
        <v>267</v>
      </c>
      <c r="B284" s="300">
        <f t="shared" si="65"/>
        <v>8096</v>
      </c>
      <c r="C284" s="296">
        <f t="shared" ca="1" si="62"/>
        <v>21.088799999999999</v>
      </c>
      <c r="D284" s="295"/>
      <c r="E284" s="296">
        <f t="shared" ca="1" si="66"/>
        <v>-9.0909090909090912E-2</v>
      </c>
      <c r="F284" s="296">
        <f t="shared" ca="1" si="59"/>
        <v>-9.0909090909090912E-2</v>
      </c>
      <c r="G284" s="303">
        <f t="shared" ca="1" si="63"/>
        <v>0</v>
      </c>
      <c r="H284" s="296">
        <f t="shared" ca="1" si="64"/>
        <v>21.1797</v>
      </c>
      <c r="I284" s="297">
        <f t="shared" ca="1" si="60"/>
        <v>-21</v>
      </c>
    </row>
    <row r="285" spans="1:9">
      <c r="A285" s="295">
        <f t="shared" si="61"/>
        <v>268</v>
      </c>
      <c r="B285" s="300">
        <f t="shared" si="65"/>
        <v>8127</v>
      </c>
      <c r="C285" s="296">
        <f t="shared" ca="1" si="62"/>
        <v>21.1797</v>
      </c>
      <c r="D285" s="295"/>
      <c r="E285" s="296">
        <f t="shared" ca="1" si="66"/>
        <v>-9.0909090909090912E-2</v>
      </c>
      <c r="F285" s="296">
        <f t="shared" ca="1" si="59"/>
        <v>-9.0909090909090912E-2</v>
      </c>
      <c r="G285" s="303">
        <f t="shared" ca="1" si="63"/>
        <v>0</v>
      </c>
      <c r="H285" s="296">
        <f t="shared" ca="1" si="64"/>
        <v>21.270600000000002</v>
      </c>
      <c r="I285" s="297">
        <f t="shared" ca="1" si="60"/>
        <v>-21</v>
      </c>
    </row>
    <row r="286" spans="1:9">
      <c r="A286" s="295">
        <f t="shared" si="61"/>
        <v>269</v>
      </c>
      <c r="B286" s="300">
        <f t="shared" si="65"/>
        <v>8157</v>
      </c>
      <c r="C286" s="296">
        <f t="shared" ca="1" si="62"/>
        <v>21.270600000000002</v>
      </c>
      <c r="D286" s="295"/>
      <c r="E286" s="296">
        <f t="shared" ca="1" si="66"/>
        <v>-9.0909090909090912E-2</v>
      </c>
      <c r="F286" s="296">
        <f t="shared" ca="1" si="59"/>
        <v>-9.0909090909090912E-2</v>
      </c>
      <c r="G286" s="303">
        <f t="shared" ca="1" si="63"/>
        <v>0</v>
      </c>
      <c r="H286" s="296">
        <f t="shared" ca="1" si="64"/>
        <v>21.361499999999999</v>
      </c>
      <c r="I286" s="297">
        <f t="shared" ca="1" si="60"/>
        <v>-21</v>
      </c>
    </row>
    <row r="287" spans="1:9">
      <c r="A287" s="295">
        <f t="shared" si="61"/>
        <v>270</v>
      </c>
      <c r="B287" s="300">
        <f t="shared" si="65"/>
        <v>8188</v>
      </c>
      <c r="C287" s="296">
        <f t="shared" ca="1" si="62"/>
        <v>21.361499999999999</v>
      </c>
      <c r="D287" s="295"/>
      <c r="E287" s="296">
        <f t="shared" ca="1" si="66"/>
        <v>-9.0909090909090912E-2</v>
      </c>
      <c r="F287" s="296">
        <f t="shared" ca="1" si="59"/>
        <v>-9.0909090909090912E-2</v>
      </c>
      <c r="G287" s="303">
        <f t="shared" ca="1" si="63"/>
        <v>0</v>
      </c>
      <c r="H287" s="296">
        <f t="shared" ca="1" si="64"/>
        <v>21.452400000000001</v>
      </c>
      <c r="I287" s="297">
        <f t="shared" ca="1" si="60"/>
        <v>-21</v>
      </c>
    </row>
    <row r="288" spans="1:9">
      <c r="A288" s="295">
        <f t="shared" si="61"/>
        <v>271</v>
      </c>
      <c r="B288" s="300">
        <f t="shared" si="65"/>
        <v>8218</v>
      </c>
      <c r="C288" s="296">
        <f t="shared" ca="1" si="62"/>
        <v>21.452400000000001</v>
      </c>
      <c r="D288" s="295"/>
      <c r="E288" s="296">
        <f t="shared" ca="1" si="66"/>
        <v>-9.0909090909090912E-2</v>
      </c>
      <c r="F288" s="296">
        <f t="shared" ca="1" si="59"/>
        <v>-9.0909090909090912E-2</v>
      </c>
      <c r="G288" s="303">
        <f t="shared" ca="1" si="63"/>
        <v>0</v>
      </c>
      <c r="H288" s="296">
        <f t="shared" ca="1" si="64"/>
        <v>21.543299999999999</v>
      </c>
      <c r="I288" s="297">
        <f t="shared" ca="1" si="60"/>
        <v>-22</v>
      </c>
    </row>
    <row r="289" spans="1:9">
      <c r="A289" s="295">
        <f t="shared" si="61"/>
        <v>272</v>
      </c>
      <c r="B289" s="300">
        <f t="shared" si="65"/>
        <v>8249</v>
      </c>
      <c r="C289" s="296">
        <f t="shared" ca="1" si="62"/>
        <v>21.543299999999999</v>
      </c>
      <c r="D289" s="295"/>
      <c r="E289" s="296">
        <f t="shared" ca="1" si="66"/>
        <v>-9.0909090909090912E-2</v>
      </c>
      <c r="F289" s="296">
        <f t="shared" ca="1" si="59"/>
        <v>-9.0909090909090912E-2</v>
      </c>
      <c r="G289" s="303">
        <f t="shared" ca="1" si="63"/>
        <v>0</v>
      </c>
      <c r="H289" s="296">
        <f t="shared" ca="1" si="64"/>
        <v>21.6342</v>
      </c>
      <c r="I289" s="297">
        <f t="shared" ca="1" si="60"/>
        <v>-22</v>
      </c>
    </row>
    <row r="290" spans="1:9">
      <c r="A290" s="295">
        <f t="shared" si="61"/>
        <v>273</v>
      </c>
      <c r="B290" s="300">
        <f t="shared" si="65"/>
        <v>8280</v>
      </c>
      <c r="C290" s="296">
        <f t="shared" ca="1" si="62"/>
        <v>21.6342</v>
      </c>
      <c r="D290" s="295"/>
      <c r="E290" s="296">
        <f t="shared" ca="1" si="66"/>
        <v>-9.0909090909090912E-2</v>
      </c>
      <c r="F290" s="296">
        <f t="shared" ca="1" si="59"/>
        <v>-9.0909090909090912E-2</v>
      </c>
      <c r="G290" s="303">
        <f t="shared" ca="1" si="63"/>
        <v>0</v>
      </c>
      <c r="H290" s="296">
        <f t="shared" ca="1" si="64"/>
        <v>21.725100000000001</v>
      </c>
      <c r="I290" s="297">
        <f t="shared" ca="1" si="60"/>
        <v>-22</v>
      </c>
    </row>
    <row r="291" spans="1:9">
      <c r="A291" s="295">
        <f t="shared" si="61"/>
        <v>274</v>
      </c>
      <c r="B291" s="300">
        <f t="shared" si="65"/>
        <v>8310</v>
      </c>
      <c r="C291" s="296">
        <f t="shared" ca="1" si="62"/>
        <v>21.725100000000001</v>
      </c>
      <c r="D291" s="295"/>
      <c r="E291" s="296">
        <f t="shared" ca="1" si="66"/>
        <v>-9.0909090909090912E-2</v>
      </c>
      <c r="F291" s="296">
        <f t="shared" ca="1" si="59"/>
        <v>-9.0909090909090912E-2</v>
      </c>
      <c r="G291" s="303">
        <f t="shared" ca="1" si="63"/>
        <v>0</v>
      </c>
      <c r="H291" s="296">
        <f t="shared" ca="1" si="64"/>
        <v>21.815999999999999</v>
      </c>
      <c r="I291" s="297">
        <f t="shared" ca="1" si="60"/>
        <v>-22</v>
      </c>
    </row>
    <row r="292" spans="1:9">
      <c r="A292" s="295">
        <f t="shared" si="61"/>
        <v>275</v>
      </c>
      <c r="B292" s="300">
        <f t="shared" si="65"/>
        <v>8341</v>
      </c>
      <c r="C292" s="296">
        <f t="shared" ca="1" si="62"/>
        <v>21.815999999999999</v>
      </c>
      <c r="D292" s="295"/>
      <c r="E292" s="296">
        <f t="shared" ca="1" si="66"/>
        <v>-9.0909090909090912E-2</v>
      </c>
      <c r="F292" s="296">
        <f t="shared" ca="1" si="59"/>
        <v>-9.0909090909090912E-2</v>
      </c>
      <c r="G292" s="303">
        <f t="shared" ca="1" si="63"/>
        <v>0</v>
      </c>
      <c r="H292" s="296">
        <f t="shared" ca="1" si="64"/>
        <v>21.9069</v>
      </c>
      <c r="I292" s="297">
        <f t="shared" ca="1" si="60"/>
        <v>-22</v>
      </c>
    </row>
    <row r="293" spans="1:9">
      <c r="A293" s="295">
        <f t="shared" si="61"/>
        <v>276</v>
      </c>
      <c r="B293" s="300">
        <f t="shared" si="65"/>
        <v>8371</v>
      </c>
      <c r="C293" s="296">
        <f t="shared" ca="1" si="62"/>
        <v>21.9069</v>
      </c>
      <c r="D293" s="296">
        <f ca="1">IF(H293&lt;0,0,(K40-L40)/11)</f>
        <v>-9.0909090909090912E-2</v>
      </c>
      <c r="E293" s="296">
        <f t="shared" ca="1" si="66"/>
        <v>-9.0909090909090912E-2</v>
      </c>
      <c r="F293" s="296">
        <f t="shared" ca="1" si="59"/>
        <v>-9.0909090909090912E-2</v>
      </c>
      <c r="G293" s="303">
        <f t="shared" ca="1" si="63"/>
        <v>0</v>
      </c>
      <c r="H293" s="296">
        <f t="shared" ca="1" si="64"/>
        <v>21.997800000000002</v>
      </c>
      <c r="I293" s="297">
        <f t="shared" ca="1" si="60"/>
        <v>-22</v>
      </c>
    </row>
    <row r="294" spans="1:9">
      <c r="A294" s="295">
        <f t="shared" si="61"/>
        <v>277</v>
      </c>
      <c r="B294" s="300">
        <f t="shared" si="65"/>
        <v>8402</v>
      </c>
      <c r="C294" s="296">
        <f t="shared" ca="1" si="62"/>
        <v>21.997800000000002</v>
      </c>
      <c r="D294" s="295"/>
      <c r="E294" s="296">
        <f t="shared" ref="E294:E305" si="67">IF($D$10=1,
 IF(OR(MONTH(B294)=MONTH(EDATE($D$7,0)),MONTH(B294)=MONTH(EDATE($D$7,1)),MONTH(B294)=MONTH(EDATE($D$7,2)),MONTH(B294)=MONTH(EDATE($D$7,3)), MONTH(B294)=MONTH(EDATE($D$7,4)),MONTH(B294)=MONTH(EDATE($D$7,5)),MONTH(B294)=MONTH(EDATE($D$7,6)),MONTH(B294)=MONTH(EDATE($D$7,7)),MONTH(B294)=MONTH(EDATE($D$7,8)),MONTH(B294)=MONTH(EDATE($D$7,9)),MONTH(B294)=MONTH(EDATE($D$7,10))),(MIN( $D$293,H293)),0),
IF($D$10=0,
 IF(OR(MONTH(B294)=MONTH(EDATE($D$7,1)),MONTH(B294)=MONTH(EDATE($D$7,2)),MONTH(B294)=MONTH(EDATE($D$7,3)),MONTH(B294)=MONTH(EDATE($D$7,4)), MONTH(B294)=MONTH(EDATE($D$7,5)),MONTH(B294)=MONTH(EDATE($D$7,6)),MONTH(B294)=MONTH(EDATE($D$7,7)),MONTH(B294)=MONTH(EDATE($D$7,8)),MONTH(B294)=MONTH(EDATE($D$7,9)),MONTH(B294)=MONTH(EDATE($D$7,10)),MONTH(B294)=MONTH(EDATE($D$7,11))),(MIN( $D$293,H293)),0)))</f>
        <v>0</v>
      </c>
      <c r="F294" s="296">
        <f t="shared" ca="1" si="59"/>
        <v>0</v>
      </c>
      <c r="G294" s="303">
        <f t="shared" ca="1" si="63"/>
        <v>0</v>
      </c>
      <c r="H294" s="296">
        <f t="shared" ca="1" si="64"/>
        <v>21.997800000000002</v>
      </c>
      <c r="I294" s="297">
        <f t="shared" ca="1" si="60"/>
        <v>-22</v>
      </c>
    </row>
    <row r="295" spans="1:9">
      <c r="A295" s="295">
        <f t="shared" si="61"/>
        <v>278</v>
      </c>
      <c r="B295" s="300">
        <f t="shared" si="65"/>
        <v>8433</v>
      </c>
      <c r="C295" s="296">
        <f t="shared" ca="1" si="62"/>
        <v>21.997800000000002</v>
      </c>
      <c r="D295" s="295"/>
      <c r="E295" s="296">
        <f t="shared" ca="1" si="67"/>
        <v>-9.0909090909090912E-2</v>
      </c>
      <c r="F295" s="296">
        <f t="shared" ca="1" si="59"/>
        <v>-9.0909090909090912E-2</v>
      </c>
      <c r="G295" s="303">
        <f t="shared" ca="1" si="63"/>
        <v>0</v>
      </c>
      <c r="H295" s="296">
        <f t="shared" ca="1" si="64"/>
        <v>22.088699999999999</v>
      </c>
      <c r="I295" s="297">
        <f t="shared" ca="1" si="60"/>
        <v>-22</v>
      </c>
    </row>
    <row r="296" spans="1:9">
      <c r="A296" s="295">
        <f t="shared" si="61"/>
        <v>279</v>
      </c>
      <c r="B296" s="300">
        <f t="shared" si="65"/>
        <v>8461</v>
      </c>
      <c r="C296" s="296">
        <f t="shared" ca="1" si="62"/>
        <v>22.088699999999999</v>
      </c>
      <c r="D296" s="295"/>
      <c r="E296" s="296">
        <f t="shared" ca="1" si="67"/>
        <v>-9.0909090909090912E-2</v>
      </c>
      <c r="F296" s="296">
        <f t="shared" ca="1" si="59"/>
        <v>-9.0909090909090912E-2</v>
      </c>
      <c r="G296" s="303">
        <f t="shared" ca="1" si="63"/>
        <v>0</v>
      </c>
      <c r="H296" s="296">
        <f t="shared" ca="1" si="64"/>
        <v>22.179600000000001</v>
      </c>
      <c r="I296" s="297">
        <f t="shared" ca="1" si="60"/>
        <v>-22</v>
      </c>
    </row>
    <row r="297" spans="1:9">
      <c r="A297" s="295">
        <f t="shared" si="61"/>
        <v>280</v>
      </c>
      <c r="B297" s="300">
        <f t="shared" si="65"/>
        <v>8492</v>
      </c>
      <c r="C297" s="296">
        <f t="shared" ca="1" si="62"/>
        <v>22.179600000000001</v>
      </c>
      <c r="D297" s="295"/>
      <c r="E297" s="296">
        <f t="shared" ca="1" si="67"/>
        <v>-9.0909090909090912E-2</v>
      </c>
      <c r="F297" s="296">
        <f t="shared" ca="1" si="59"/>
        <v>-9.0909090909090912E-2</v>
      </c>
      <c r="G297" s="303">
        <f t="shared" ca="1" si="63"/>
        <v>0</v>
      </c>
      <c r="H297" s="296">
        <f t="shared" ca="1" si="64"/>
        <v>22.270499999999998</v>
      </c>
      <c r="I297" s="297">
        <f t="shared" ca="1" si="60"/>
        <v>-22</v>
      </c>
    </row>
    <row r="298" spans="1:9">
      <c r="A298" s="295">
        <f t="shared" si="61"/>
        <v>281</v>
      </c>
      <c r="B298" s="300">
        <f t="shared" si="65"/>
        <v>8522</v>
      </c>
      <c r="C298" s="296">
        <f t="shared" ca="1" si="62"/>
        <v>22.270499999999998</v>
      </c>
      <c r="D298" s="295"/>
      <c r="E298" s="296">
        <f t="shared" ca="1" si="67"/>
        <v>-9.0909090909090912E-2</v>
      </c>
      <c r="F298" s="296">
        <f t="shared" ca="1" si="59"/>
        <v>-9.0909090909090912E-2</v>
      </c>
      <c r="G298" s="303">
        <f t="shared" ca="1" si="63"/>
        <v>0</v>
      </c>
      <c r="H298" s="296">
        <f t="shared" ca="1" si="64"/>
        <v>22.3614</v>
      </c>
      <c r="I298" s="297">
        <f t="shared" ca="1" si="60"/>
        <v>-22</v>
      </c>
    </row>
    <row r="299" spans="1:9">
      <c r="A299" s="295">
        <f t="shared" si="61"/>
        <v>282</v>
      </c>
      <c r="B299" s="300">
        <f t="shared" si="65"/>
        <v>8553</v>
      </c>
      <c r="C299" s="296">
        <f t="shared" ca="1" si="62"/>
        <v>22.3614</v>
      </c>
      <c r="D299" s="295"/>
      <c r="E299" s="296">
        <f t="shared" ca="1" si="67"/>
        <v>-9.0909090909090912E-2</v>
      </c>
      <c r="F299" s="296">
        <f t="shared" ca="1" si="59"/>
        <v>-9.0909090909090912E-2</v>
      </c>
      <c r="G299" s="303">
        <f t="shared" ca="1" si="63"/>
        <v>0</v>
      </c>
      <c r="H299" s="296">
        <f t="shared" ca="1" si="64"/>
        <v>22.452300000000001</v>
      </c>
      <c r="I299" s="297">
        <f t="shared" ca="1" si="60"/>
        <v>-22</v>
      </c>
    </row>
    <row r="300" spans="1:9">
      <c r="A300" s="295">
        <f t="shared" si="61"/>
        <v>283</v>
      </c>
      <c r="B300" s="300">
        <f t="shared" si="65"/>
        <v>8583</v>
      </c>
      <c r="C300" s="296">
        <f t="shared" ca="1" si="62"/>
        <v>22.452300000000001</v>
      </c>
      <c r="D300" s="295"/>
      <c r="E300" s="296">
        <f t="shared" ca="1" si="67"/>
        <v>-9.0909090909090912E-2</v>
      </c>
      <c r="F300" s="296">
        <f t="shared" ca="1" si="59"/>
        <v>-9.0909090909090912E-2</v>
      </c>
      <c r="G300" s="303">
        <f t="shared" ca="1" si="63"/>
        <v>0</v>
      </c>
      <c r="H300" s="296">
        <f t="shared" ca="1" si="64"/>
        <v>22.543199999999999</v>
      </c>
      <c r="I300" s="297">
        <f t="shared" ca="1" si="60"/>
        <v>-23</v>
      </c>
    </row>
    <row r="301" spans="1:9">
      <c r="A301" s="295">
        <f t="shared" si="61"/>
        <v>284</v>
      </c>
      <c r="B301" s="300">
        <f t="shared" si="65"/>
        <v>8614</v>
      </c>
      <c r="C301" s="296">
        <f t="shared" ca="1" si="62"/>
        <v>22.543199999999999</v>
      </c>
      <c r="D301" s="295"/>
      <c r="E301" s="296">
        <f t="shared" ca="1" si="67"/>
        <v>-9.0909090909090912E-2</v>
      </c>
      <c r="F301" s="296">
        <f t="shared" ca="1" si="59"/>
        <v>-9.0909090909090912E-2</v>
      </c>
      <c r="G301" s="303">
        <f t="shared" ca="1" si="63"/>
        <v>0</v>
      </c>
      <c r="H301" s="296">
        <f t="shared" ca="1" si="64"/>
        <v>22.6341</v>
      </c>
      <c r="I301" s="297">
        <f t="shared" ca="1" si="60"/>
        <v>-23</v>
      </c>
    </row>
    <row r="302" spans="1:9">
      <c r="A302" s="295">
        <f t="shared" si="61"/>
        <v>285</v>
      </c>
      <c r="B302" s="300">
        <f t="shared" si="65"/>
        <v>8645</v>
      </c>
      <c r="C302" s="296">
        <f t="shared" ca="1" si="62"/>
        <v>22.6341</v>
      </c>
      <c r="D302" s="295"/>
      <c r="E302" s="296">
        <f t="shared" ca="1" si="67"/>
        <v>-9.0909090909090912E-2</v>
      </c>
      <c r="F302" s="296">
        <f ca="1">IF(E302="","",E302-G302)</f>
        <v>-9.0909090909090912E-2</v>
      </c>
      <c r="G302" s="303">
        <f t="shared" ca="1" si="63"/>
        <v>0</v>
      </c>
      <c r="H302" s="296">
        <f t="shared" ca="1" si="64"/>
        <v>22.725000000000001</v>
      </c>
      <c r="I302" s="297">
        <f t="shared" ca="1" si="60"/>
        <v>-23</v>
      </c>
    </row>
    <row r="303" spans="1:9">
      <c r="A303" s="295">
        <f t="shared" si="61"/>
        <v>286</v>
      </c>
      <c r="B303" s="300">
        <f t="shared" si="65"/>
        <v>8675</v>
      </c>
      <c r="C303" s="296">
        <f t="shared" ca="1" si="62"/>
        <v>22.725000000000001</v>
      </c>
      <c r="D303" s="295"/>
      <c r="E303" s="296">
        <f t="shared" ca="1" si="67"/>
        <v>-9.0909090909090912E-2</v>
      </c>
      <c r="F303" s="296">
        <f t="shared" ca="1" si="59"/>
        <v>-9.0909090909090912E-2</v>
      </c>
      <c r="G303" s="303">
        <f t="shared" ca="1" si="63"/>
        <v>0</v>
      </c>
      <c r="H303" s="296">
        <f t="shared" ca="1" si="64"/>
        <v>22.815899999999999</v>
      </c>
      <c r="I303" s="297">
        <f t="shared" ca="1" si="60"/>
        <v>-23</v>
      </c>
    </row>
    <row r="304" spans="1:9">
      <c r="A304" s="295">
        <f t="shared" si="61"/>
        <v>287</v>
      </c>
      <c r="B304" s="300">
        <f t="shared" si="65"/>
        <v>8706</v>
      </c>
      <c r="C304" s="296">
        <f t="shared" ca="1" si="62"/>
        <v>22.815899999999999</v>
      </c>
      <c r="D304" s="295"/>
      <c r="E304" s="296">
        <f t="shared" ca="1" si="67"/>
        <v>-9.0909090909090912E-2</v>
      </c>
      <c r="F304" s="296">
        <f t="shared" ca="1" si="59"/>
        <v>-9.0909090909090912E-2</v>
      </c>
      <c r="G304" s="303">
        <f t="shared" ca="1" si="63"/>
        <v>0</v>
      </c>
      <c r="H304" s="296">
        <f t="shared" ca="1" si="64"/>
        <v>22.9068</v>
      </c>
      <c r="I304" s="297">
        <f t="shared" ca="1" si="60"/>
        <v>-23</v>
      </c>
    </row>
    <row r="305" spans="1:9">
      <c r="A305" s="295">
        <f t="shared" si="61"/>
        <v>288</v>
      </c>
      <c r="B305" s="300">
        <f t="shared" si="65"/>
        <v>8736</v>
      </c>
      <c r="C305" s="296">
        <f t="shared" ca="1" si="62"/>
        <v>22.9068</v>
      </c>
      <c r="D305" s="296">
        <f ca="1">IF(H305&lt;0,0,(K41-L41)/11)</f>
        <v>-9.0909090909090912E-2</v>
      </c>
      <c r="E305" s="296">
        <f t="shared" ca="1" si="67"/>
        <v>-9.0909090909090912E-2</v>
      </c>
      <c r="F305" s="296">
        <f t="shared" ca="1" si="59"/>
        <v>-9.0909090909090912E-2</v>
      </c>
      <c r="G305" s="303">
        <f t="shared" ca="1" si="63"/>
        <v>0</v>
      </c>
      <c r="H305" s="296">
        <f t="shared" ca="1" si="64"/>
        <v>22.997699999999998</v>
      </c>
      <c r="I305" s="297">
        <f t="shared" ca="1" si="60"/>
        <v>-23</v>
      </c>
    </row>
    <row r="306" spans="1:9">
      <c r="A306" s="295">
        <f t="shared" si="61"/>
        <v>289</v>
      </c>
      <c r="B306" s="300">
        <f t="shared" si="65"/>
        <v>8767</v>
      </c>
      <c r="C306" s="296">
        <f t="shared" ca="1" si="62"/>
        <v>22.997699999999998</v>
      </c>
      <c r="D306" s="296"/>
      <c r="E306" s="296">
        <f t="shared" ref="E306:E317" si="68">IF($D$10=1,
 IF(OR(MONTH(B306)=MONTH(EDATE($D$7,0)),MONTH(B306)=MONTH(EDATE($D$7,1)),MONTH(B306)=MONTH(EDATE($D$7,2)),MONTH(B306)=MONTH(EDATE($D$7,3)), MONTH(B306)=MONTH(EDATE($D$7,4)),MONTH(B306)=MONTH(EDATE($D$7,5)),MONTH(B306)=MONTH(EDATE($D$7,6)),MONTH(B306)=MONTH(EDATE($D$7,7)),MONTH(B306)=MONTH(EDATE($D$7,8)),MONTH(B306)=MONTH(EDATE($D$7,9)),MONTH(B306)=MONTH(EDATE($D$7,10))),(MIN( $D$305,H305)),0),
IF($D$10=0,
 IF(OR(MONTH(B306)=MONTH(EDATE($D$7,1)),MONTH(B306)=MONTH(EDATE($D$7,2)),MONTH(B306)=MONTH(EDATE($D$7,3)),MONTH(B306)=MONTH(EDATE($D$7,4)), MONTH(B306)=MONTH(EDATE($D$7,5)),MONTH(B306)=MONTH(EDATE($D$7,6)),MONTH(B306)=MONTH(EDATE($D$7,7)),MONTH(B306)=MONTH(EDATE($D$7,8)),MONTH(B306)=MONTH(EDATE($D$7,9)),MONTH(B306)=MONTH(EDATE($D$7,10)),MONTH(B306)=MONTH(EDATE($D$7,11))),(MIN( $D$305,H305)),0)))</f>
        <v>0</v>
      </c>
      <c r="F306" s="296">
        <f ca="1">IF(E306="","",E306-G306)</f>
        <v>0</v>
      </c>
      <c r="G306" s="303">
        <f t="shared" ca="1" si="63"/>
        <v>0</v>
      </c>
      <c r="H306" s="296">
        <f t="shared" ca="1" si="64"/>
        <v>22.997699999999998</v>
      </c>
      <c r="I306" s="297">
        <f t="shared" ca="1" si="60"/>
        <v>-23</v>
      </c>
    </row>
    <row r="307" spans="1:9">
      <c r="A307" s="295">
        <f t="shared" si="61"/>
        <v>290</v>
      </c>
      <c r="B307" s="300">
        <f t="shared" si="65"/>
        <v>8798</v>
      </c>
      <c r="C307" s="296">
        <f t="shared" ca="1" si="62"/>
        <v>22.997699999999998</v>
      </c>
      <c r="D307" s="295"/>
      <c r="E307" s="296">
        <f t="shared" ca="1" si="68"/>
        <v>-9.0909090909090912E-2</v>
      </c>
      <c r="F307" s="296">
        <f t="shared" ca="1" si="59"/>
        <v>-9.0909090909090912E-2</v>
      </c>
      <c r="G307" s="303">
        <f t="shared" ca="1" si="63"/>
        <v>0</v>
      </c>
      <c r="H307" s="296">
        <f t="shared" ca="1" si="64"/>
        <v>23.0886</v>
      </c>
      <c r="I307" s="297">
        <f t="shared" ca="1" si="60"/>
        <v>-23</v>
      </c>
    </row>
    <row r="308" spans="1:9">
      <c r="A308" s="295">
        <f t="shared" si="61"/>
        <v>291</v>
      </c>
      <c r="B308" s="300">
        <f t="shared" si="65"/>
        <v>8827</v>
      </c>
      <c r="C308" s="296">
        <f t="shared" ca="1" si="62"/>
        <v>23.0886</v>
      </c>
      <c r="D308" s="295"/>
      <c r="E308" s="296">
        <f t="shared" ca="1" si="68"/>
        <v>-9.0909090909090912E-2</v>
      </c>
      <c r="F308" s="296">
        <f t="shared" ca="1" si="59"/>
        <v>-9.0909090909090912E-2</v>
      </c>
      <c r="G308" s="303">
        <f t="shared" ca="1" si="63"/>
        <v>0</v>
      </c>
      <c r="H308" s="296">
        <f t="shared" ca="1" si="64"/>
        <v>23.179500000000001</v>
      </c>
      <c r="I308" s="297">
        <f t="shared" ca="1" si="60"/>
        <v>-23</v>
      </c>
    </row>
    <row r="309" spans="1:9">
      <c r="A309" s="295">
        <f t="shared" si="61"/>
        <v>292</v>
      </c>
      <c r="B309" s="300">
        <f t="shared" si="65"/>
        <v>8858</v>
      </c>
      <c r="C309" s="296">
        <f t="shared" ca="1" si="62"/>
        <v>23.179500000000001</v>
      </c>
      <c r="D309" s="295"/>
      <c r="E309" s="296">
        <f t="shared" ca="1" si="68"/>
        <v>-9.0909090909090912E-2</v>
      </c>
      <c r="F309" s="296">
        <f t="shared" ca="1" si="59"/>
        <v>-9.0909090909090912E-2</v>
      </c>
      <c r="G309" s="303">
        <f t="shared" ca="1" si="63"/>
        <v>0</v>
      </c>
      <c r="H309" s="296">
        <f t="shared" ca="1" si="64"/>
        <v>23.270399999999999</v>
      </c>
      <c r="I309" s="297">
        <f t="shared" ca="1" si="60"/>
        <v>-23</v>
      </c>
    </row>
    <row r="310" spans="1:9">
      <c r="A310" s="295">
        <f t="shared" si="61"/>
        <v>293</v>
      </c>
      <c r="B310" s="300">
        <f t="shared" si="65"/>
        <v>8888</v>
      </c>
      <c r="C310" s="296">
        <f t="shared" ca="1" si="62"/>
        <v>23.270399999999999</v>
      </c>
      <c r="D310" s="295"/>
      <c r="E310" s="296">
        <f t="shared" ca="1" si="68"/>
        <v>-9.0909090909090912E-2</v>
      </c>
      <c r="F310" s="296">
        <f t="shared" ca="1" si="59"/>
        <v>-9.0909090909090912E-2</v>
      </c>
      <c r="G310" s="303">
        <f t="shared" ca="1" si="63"/>
        <v>0</v>
      </c>
      <c r="H310" s="296">
        <f t="shared" ca="1" si="64"/>
        <v>23.3613</v>
      </c>
      <c r="I310" s="297">
        <f t="shared" ca="1" si="60"/>
        <v>-23</v>
      </c>
    </row>
    <row r="311" spans="1:9">
      <c r="A311" s="295">
        <f t="shared" si="61"/>
        <v>294</v>
      </c>
      <c r="B311" s="300">
        <f t="shared" si="65"/>
        <v>8919</v>
      </c>
      <c r="C311" s="296">
        <f t="shared" ca="1" si="62"/>
        <v>23.3613</v>
      </c>
      <c r="D311" s="295"/>
      <c r="E311" s="296">
        <f t="shared" ca="1" si="68"/>
        <v>-9.0909090909090912E-2</v>
      </c>
      <c r="F311" s="296">
        <f t="shared" ca="1" si="59"/>
        <v>-9.0909090909090912E-2</v>
      </c>
      <c r="G311" s="303">
        <f t="shared" ca="1" si="63"/>
        <v>0</v>
      </c>
      <c r="H311" s="296">
        <f t="shared" ca="1" si="64"/>
        <v>23.452200000000001</v>
      </c>
      <c r="I311" s="297">
        <f t="shared" ca="1" si="60"/>
        <v>-23</v>
      </c>
    </row>
    <row r="312" spans="1:9">
      <c r="A312" s="295">
        <f t="shared" si="61"/>
        <v>295</v>
      </c>
      <c r="B312" s="300">
        <f t="shared" si="65"/>
        <v>8949</v>
      </c>
      <c r="C312" s="296">
        <f t="shared" ca="1" si="62"/>
        <v>23.452200000000001</v>
      </c>
      <c r="D312" s="295"/>
      <c r="E312" s="296">
        <f t="shared" ca="1" si="68"/>
        <v>-9.0909090909090912E-2</v>
      </c>
      <c r="F312" s="296">
        <f t="shared" ca="1" si="59"/>
        <v>-9.0909090909090912E-2</v>
      </c>
      <c r="G312" s="303">
        <f t="shared" ca="1" si="63"/>
        <v>0</v>
      </c>
      <c r="H312" s="296">
        <f t="shared" ca="1" si="64"/>
        <v>23.543099999999999</v>
      </c>
      <c r="I312" s="297">
        <f t="shared" ca="1" si="60"/>
        <v>-24</v>
      </c>
    </row>
    <row r="313" spans="1:9">
      <c r="A313" s="295">
        <f t="shared" si="61"/>
        <v>296</v>
      </c>
      <c r="B313" s="300">
        <f t="shared" si="65"/>
        <v>8980</v>
      </c>
      <c r="C313" s="296">
        <f t="shared" ca="1" si="62"/>
        <v>23.543099999999999</v>
      </c>
      <c r="D313" s="295"/>
      <c r="E313" s="296">
        <f t="shared" ca="1" si="68"/>
        <v>-9.0909090909090912E-2</v>
      </c>
      <c r="F313" s="296">
        <f t="shared" ca="1" si="59"/>
        <v>-9.0909090909090912E-2</v>
      </c>
      <c r="G313" s="303">
        <f t="shared" ca="1" si="63"/>
        <v>0</v>
      </c>
      <c r="H313" s="296">
        <f t="shared" ca="1" si="64"/>
        <v>23.634</v>
      </c>
      <c r="I313" s="297">
        <f t="shared" ca="1" si="60"/>
        <v>-24</v>
      </c>
    </row>
    <row r="314" spans="1:9">
      <c r="A314" s="295">
        <f t="shared" si="61"/>
        <v>297</v>
      </c>
      <c r="B314" s="300">
        <f t="shared" si="65"/>
        <v>9011</v>
      </c>
      <c r="C314" s="296">
        <f t="shared" ca="1" si="62"/>
        <v>23.634</v>
      </c>
      <c r="D314" s="295"/>
      <c r="E314" s="296">
        <f t="shared" ca="1" si="68"/>
        <v>-9.0909090909090912E-2</v>
      </c>
      <c r="F314" s="296">
        <f t="shared" ca="1" si="59"/>
        <v>-9.0909090909090912E-2</v>
      </c>
      <c r="G314" s="303">
        <f t="shared" ca="1" si="63"/>
        <v>0</v>
      </c>
      <c r="H314" s="296">
        <f t="shared" ca="1" si="64"/>
        <v>23.724900000000002</v>
      </c>
      <c r="I314" s="297">
        <f t="shared" ca="1" si="60"/>
        <v>-24</v>
      </c>
    </row>
    <row r="315" spans="1:9">
      <c r="A315" s="295">
        <f t="shared" si="61"/>
        <v>298</v>
      </c>
      <c r="B315" s="300">
        <f t="shared" si="65"/>
        <v>9041</v>
      </c>
      <c r="C315" s="296">
        <f t="shared" ca="1" si="62"/>
        <v>23.724900000000002</v>
      </c>
      <c r="D315" s="295"/>
      <c r="E315" s="296">
        <f t="shared" ca="1" si="68"/>
        <v>-9.0909090909090912E-2</v>
      </c>
      <c r="F315" s="296">
        <f t="shared" ca="1" si="59"/>
        <v>-9.0909090909090912E-2</v>
      </c>
      <c r="G315" s="303">
        <f t="shared" ca="1" si="63"/>
        <v>0</v>
      </c>
      <c r="H315" s="296">
        <f t="shared" ca="1" si="64"/>
        <v>23.815799999999999</v>
      </c>
      <c r="I315" s="297">
        <f t="shared" ca="1" si="60"/>
        <v>-24</v>
      </c>
    </row>
    <row r="316" spans="1:9">
      <c r="A316" s="295">
        <f t="shared" si="61"/>
        <v>299</v>
      </c>
      <c r="B316" s="300">
        <f t="shared" si="65"/>
        <v>9072</v>
      </c>
      <c r="C316" s="296">
        <f t="shared" ca="1" si="62"/>
        <v>23.815799999999999</v>
      </c>
      <c r="D316" s="295"/>
      <c r="E316" s="296">
        <f t="shared" ca="1" si="68"/>
        <v>-9.0909090909090912E-2</v>
      </c>
      <c r="F316" s="296">
        <f t="shared" ca="1" si="59"/>
        <v>-9.0909090909090912E-2</v>
      </c>
      <c r="G316" s="303">
        <f t="shared" ca="1" si="63"/>
        <v>0</v>
      </c>
      <c r="H316" s="296">
        <f t="shared" ca="1" si="64"/>
        <v>23.906700000000001</v>
      </c>
      <c r="I316" s="297">
        <f t="shared" ca="1" si="60"/>
        <v>-24</v>
      </c>
    </row>
    <row r="317" spans="1:9">
      <c r="A317" s="295">
        <f t="shared" si="61"/>
        <v>300</v>
      </c>
      <c r="B317" s="300">
        <f t="shared" si="65"/>
        <v>9102</v>
      </c>
      <c r="C317" s="296">
        <f t="shared" ca="1" si="62"/>
        <v>23.906700000000001</v>
      </c>
      <c r="D317" s="296">
        <f ca="1">IF(H317&lt;0,0,(K42-L42)/11)</f>
        <v>-9.0909090909090912E-2</v>
      </c>
      <c r="E317" s="296">
        <f t="shared" ca="1" si="68"/>
        <v>-9.0909090909090912E-2</v>
      </c>
      <c r="F317" s="296">
        <f t="shared" ca="1" si="59"/>
        <v>-9.0909090909090912E-2</v>
      </c>
      <c r="G317" s="303">
        <f t="shared" ca="1" si="63"/>
        <v>0</v>
      </c>
      <c r="H317" s="296">
        <f t="shared" ca="1" si="64"/>
        <v>23.997599999999998</v>
      </c>
      <c r="I317" s="297">
        <f t="shared" ca="1" si="60"/>
        <v>-24</v>
      </c>
    </row>
    <row r="318" spans="1:9">
      <c r="A318" s="295">
        <f t="shared" si="61"/>
        <v>301</v>
      </c>
      <c r="B318" s="300">
        <f t="shared" si="65"/>
        <v>9133</v>
      </c>
      <c r="C318" s="296">
        <f t="shared" ca="1" si="62"/>
        <v>23.997599999999998</v>
      </c>
      <c r="D318" s="296"/>
      <c r="E318" s="296">
        <f>IF($D$10=1,
 IF(OR(MONTH(B318)=MONTH(EDATE($D$7,0)),MONTH(B318)=MONTH(EDATE($D$7,1)),MONTH(B318)=MONTH(EDATE($D$7,2)),MONTH(B318)=MONTH(EDATE($D$7,3)), MONTH(B318)=MONTH(EDATE($D$7,4)),MONTH(B318)=MONTH(EDATE($D$7,5)),MONTH(B318)=MONTH(EDATE($D$7,6)),MONTH(B318)=MONTH(EDATE($D$7,7)),MONTH(B318)=MONTH(EDATE($D$7,8)),MONTH(B318)=MONTH(EDATE($D$7,9)),MONTH(B318)=MONTH(EDATE($D$7,10))),(MIN( $D$317,H317)),0),
IF($D$10=0,
 IF(OR(MONTH(B318)=MONTH(EDATE($D$7,1)),MONTH(B318)=MONTH(EDATE($D$7,2)),MONTH(B318)=MONTH(EDATE($D$7,3)),MONTH(B318)=MONTH(EDATE($D$7,4)), MONTH(B318)=MONTH(EDATE($D$7,5)),MONTH(B318)=MONTH(EDATE($D$7,6)),MONTH(B318)=MONTH(EDATE($D$7,7)),MONTH(B318)=MONTH(EDATE($D$7,8)),MONTH(B318)=MONTH(EDATE($D$7,9)),MONTH(B318)=MONTH(EDATE($D$7,10)),MONTH(B318)=MONTH(EDATE($D$7,11))),(MIN( $D$317,H317)),0)))</f>
        <v>0</v>
      </c>
      <c r="F318" s="296">
        <f t="shared" ca="1" si="59"/>
        <v>0</v>
      </c>
      <c r="G318" s="303">
        <f t="shared" ca="1" si="63"/>
        <v>0</v>
      </c>
      <c r="H318" s="296">
        <f t="shared" ca="1" si="64"/>
        <v>23.997599999999998</v>
      </c>
      <c r="I318" s="297">
        <f t="shared" ca="1" si="60"/>
        <v>-24</v>
      </c>
    </row>
    <row r="319" spans="1:9">
      <c r="A319" s="295">
        <f t="shared" si="61"/>
        <v>302</v>
      </c>
      <c r="B319" s="300">
        <f t="shared" si="65"/>
        <v>9164</v>
      </c>
      <c r="C319" s="296">
        <f t="shared" ca="1" si="62"/>
        <v>23.997599999999998</v>
      </c>
      <c r="D319" s="295"/>
      <c r="E319" s="296">
        <f t="shared" ref="E319:E329" ca="1" si="69">IF($D$10=1,
 IF(OR(MONTH(B319)=MONTH(EDATE($D$7,0)),MONTH(B319)=MONTH(EDATE($D$7,1)),MONTH(B319)=MONTH(EDATE($D$7,2)),MONTH(B319)=MONTH(EDATE($D$7,3)), MONTH(B319)=MONTH(EDATE($D$7,4)),MONTH(B319)=MONTH(EDATE($D$7,5)),MONTH(B319)=MONTH(EDATE($D$7,6)),MONTH(B319)=MONTH(EDATE($D$7,7)),MONTH(B319)=MONTH(EDATE($D$7,8)),MONTH(B319)=MONTH(EDATE($D$7,9)),MONTH(B319)=MONTH(EDATE($D$7,10))),(MIN( $D$317,H318)),0),
IF($D$10=0,
 IF(OR(MONTH(B319)=MONTH(EDATE($D$7,1)),MONTH(B319)=MONTH(EDATE($D$7,2)),MONTH(B319)=MONTH(EDATE($D$7,3)),MONTH(B319)=MONTH(EDATE($D$7,4)), MONTH(B319)=MONTH(EDATE($D$7,5)),MONTH(B319)=MONTH(EDATE($D$7,6)),MONTH(B319)=MONTH(EDATE($D$7,7)),MONTH(B319)=MONTH(EDATE($D$7,8)),MONTH(B319)=MONTH(EDATE($D$7,9)),MONTH(B319)=MONTH(EDATE($D$7,10)),MONTH(B319)=MONTH(EDATE($D$7,11))),(MIN( $D$317,H318)),0)))</f>
        <v>-9.0909090909090912E-2</v>
      </c>
      <c r="F319" s="296">
        <f t="shared" ca="1" si="59"/>
        <v>-9.0909090909090912E-2</v>
      </c>
      <c r="G319" s="303">
        <f t="shared" ca="1" si="63"/>
        <v>0</v>
      </c>
      <c r="H319" s="296">
        <f t="shared" ca="1" si="64"/>
        <v>24.0885</v>
      </c>
      <c r="I319" s="297">
        <f t="shared" ca="1" si="60"/>
        <v>-24</v>
      </c>
    </row>
    <row r="320" spans="1:9">
      <c r="A320" s="295">
        <f t="shared" si="61"/>
        <v>303</v>
      </c>
      <c r="B320" s="300">
        <f t="shared" si="65"/>
        <v>9192</v>
      </c>
      <c r="C320" s="296">
        <f t="shared" ca="1" si="62"/>
        <v>24.0885</v>
      </c>
      <c r="D320" s="295"/>
      <c r="E320" s="296">
        <f t="shared" ca="1" si="69"/>
        <v>-9.0909090909090912E-2</v>
      </c>
      <c r="F320" s="296">
        <f t="shared" ca="1" si="59"/>
        <v>-9.0909090909090912E-2</v>
      </c>
      <c r="G320" s="303">
        <f t="shared" ca="1" si="63"/>
        <v>0</v>
      </c>
      <c r="H320" s="296">
        <f t="shared" ca="1" si="64"/>
        <v>24.179400000000001</v>
      </c>
      <c r="I320" s="297">
        <f t="shared" ca="1" si="60"/>
        <v>-24</v>
      </c>
    </row>
    <row r="321" spans="1:9">
      <c r="A321" s="295">
        <f t="shared" si="61"/>
        <v>304</v>
      </c>
      <c r="B321" s="300">
        <f t="shared" si="65"/>
        <v>9223</v>
      </c>
      <c r="C321" s="296">
        <f t="shared" ca="1" si="62"/>
        <v>24.179400000000001</v>
      </c>
      <c r="D321" s="295"/>
      <c r="E321" s="296">
        <f t="shared" ca="1" si="69"/>
        <v>-9.0909090909090912E-2</v>
      </c>
      <c r="F321" s="296">
        <f t="shared" ca="1" si="59"/>
        <v>-9.0909090909090912E-2</v>
      </c>
      <c r="G321" s="303">
        <f t="shared" ca="1" si="63"/>
        <v>0</v>
      </c>
      <c r="H321" s="296">
        <f t="shared" ca="1" si="64"/>
        <v>24.270299999999999</v>
      </c>
      <c r="I321" s="297">
        <f t="shared" ca="1" si="60"/>
        <v>-24</v>
      </c>
    </row>
    <row r="322" spans="1:9">
      <c r="A322" s="295">
        <f t="shared" si="61"/>
        <v>305</v>
      </c>
      <c r="B322" s="300">
        <f t="shared" si="65"/>
        <v>9253</v>
      </c>
      <c r="C322" s="296">
        <f t="shared" ca="1" si="62"/>
        <v>24.270299999999999</v>
      </c>
      <c r="D322" s="295"/>
      <c r="E322" s="296">
        <f t="shared" ca="1" si="69"/>
        <v>-9.0909090909090912E-2</v>
      </c>
      <c r="F322" s="296">
        <f t="shared" ca="1" si="59"/>
        <v>-9.0909090909090912E-2</v>
      </c>
      <c r="G322" s="303">
        <f t="shared" ca="1" si="63"/>
        <v>0</v>
      </c>
      <c r="H322" s="296">
        <f t="shared" ca="1" si="64"/>
        <v>24.3612</v>
      </c>
      <c r="I322" s="297">
        <f t="shared" ca="1" si="60"/>
        <v>-24</v>
      </c>
    </row>
    <row r="323" spans="1:9">
      <c r="A323" s="295">
        <f t="shared" si="61"/>
        <v>306</v>
      </c>
      <c r="B323" s="300">
        <f t="shared" si="65"/>
        <v>9284</v>
      </c>
      <c r="C323" s="296">
        <f t="shared" ca="1" si="62"/>
        <v>24.3612</v>
      </c>
      <c r="D323" s="295"/>
      <c r="E323" s="296">
        <f t="shared" ca="1" si="69"/>
        <v>-9.0909090909090912E-2</v>
      </c>
      <c r="F323" s="296">
        <f t="shared" ca="1" si="59"/>
        <v>-9.0909090909090912E-2</v>
      </c>
      <c r="G323" s="303">
        <f t="shared" ca="1" si="63"/>
        <v>0</v>
      </c>
      <c r="H323" s="296">
        <f t="shared" ca="1" si="64"/>
        <v>24.452100000000002</v>
      </c>
      <c r="I323" s="297">
        <f t="shared" ca="1" si="60"/>
        <v>-24</v>
      </c>
    </row>
    <row r="324" spans="1:9">
      <c r="A324" s="295">
        <f t="shared" si="61"/>
        <v>307</v>
      </c>
      <c r="B324" s="300">
        <f t="shared" si="65"/>
        <v>9314</v>
      </c>
      <c r="C324" s="296">
        <f t="shared" ca="1" si="62"/>
        <v>24.452100000000002</v>
      </c>
      <c r="D324" s="295"/>
      <c r="E324" s="296">
        <f t="shared" ca="1" si="69"/>
        <v>-9.0909090909090912E-2</v>
      </c>
      <c r="F324" s="296">
        <f t="shared" ca="1" si="59"/>
        <v>-9.0909090909090912E-2</v>
      </c>
      <c r="G324" s="303">
        <f t="shared" ca="1" si="63"/>
        <v>0</v>
      </c>
      <c r="H324" s="296">
        <f t="shared" ca="1" si="64"/>
        <v>24.542999999999999</v>
      </c>
      <c r="I324" s="297">
        <f t="shared" ca="1" si="60"/>
        <v>-25</v>
      </c>
    </row>
    <row r="325" spans="1:9">
      <c r="A325" s="295">
        <f t="shared" si="61"/>
        <v>308</v>
      </c>
      <c r="B325" s="300">
        <f t="shared" si="65"/>
        <v>9345</v>
      </c>
      <c r="C325" s="296">
        <f t="shared" ca="1" si="62"/>
        <v>24.542999999999999</v>
      </c>
      <c r="D325" s="295"/>
      <c r="E325" s="296">
        <f t="shared" ca="1" si="69"/>
        <v>-9.0909090909090912E-2</v>
      </c>
      <c r="F325" s="296">
        <f t="shared" ca="1" si="59"/>
        <v>-9.0909090909090912E-2</v>
      </c>
      <c r="G325" s="303">
        <f t="shared" ca="1" si="63"/>
        <v>0</v>
      </c>
      <c r="H325" s="296">
        <f t="shared" ca="1" si="64"/>
        <v>24.633900000000001</v>
      </c>
      <c r="I325" s="297">
        <f t="shared" ca="1" si="60"/>
        <v>-25</v>
      </c>
    </row>
    <row r="326" spans="1:9">
      <c r="A326" s="295">
        <f t="shared" si="61"/>
        <v>309</v>
      </c>
      <c r="B326" s="300">
        <f t="shared" si="65"/>
        <v>9376</v>
      </c>
      <c r="C326" s="296">
        <f t="shared" ca="1" si="62"/>
        <v>24.633900000000001</v>
      </c>
      <c r="D326" s="295"/>
      <c r="E326" s="296">
        <f t="shared" ca="1" si="69"/>
        <v>-9.0909090909090912E-2</v>
      </c>
      <c r="F326" s="296">
        <f t="shared" ca="1" si="59"/>
        <v>-9.0909090909090912E-2</v>
      </c>
      <c r="G326" s="303">
        <f t="shared" ca="1" si="63"/>
        <v>0</v>
      </c>
      <c r="H326" s="296">
        <f t="shared" ca="1" si="64"/>
        <v>24.724799999999998</v>
      </c>
      <c r="I326" s="297">
        <f t="shared" ca="1" si="60"/>
        <v>-25</v>
      </c>
    </row>
    <row r="327" spans="1:9">
      <c r="A327" s="295">
        <f t="shared" si="61"/>
        <v>310</v>
      </c>
      <c r="B327" s="300">
        <f t="shared" si="65"/>
        <v>9406</v>
      </c>
      <c r="C327" s="296">
        <f t="shared" ca="1" si="62"/>
        <v>24.724799999999998</v>
      </c>
      <c r="D327" s="295"/>
      <c r="E327" s="296">
        <f t="shared" ca="1" si="69"/>
        <v>-9.0909090909090912E-2</v>
      </c>
      <c r="F327" s="296">
        <f t="shared" ca="1" si="59"/>
        <v>-9.0909090909090912E-2</v>
      </c>
      <c r="G327" s="303">
        <f t="shared" ca="1" si="63"/>
        <v>0</v>
      </c>
      <c r="H327" s="296">
        <f t="shared" ca="1" si="64"/>
        <v>24.8157</v>
      </c>
      <c r="I327" s="297">
        <f t="shared" ca="1" si="60"/>
        <v>-25</v>
      </c>
    </row>
    <row r="328" spans="1:9">
      <c r="A328" s="295">
        <f t="shared" si="61"/>
        <v>311</v>
      </c>
      <c r="B328" s="300">
        <f t="shared" si="65"/>
        <v>9437</v>
      </c>
      <c r="C328" s="296">
        <f t="shared" ca="1" si="62"/>
        <v>24.8157</v>
      </c>
      <c r="D328" s="295"/>
      <c r="E328" s="296">
        <f t="shared" ca="1" si="69"/>
        <v>-9.0909090909090912E-2</v>
      </c>
      <c r="F328" s="296">
        <f t="shared" ca="1" si="59"/>
        <v>-9.0909090909090912E-2</v>
      </c>
      <c r="G328" s="303">
        <f t="shared" ca="1" si="63"/>
        <v>0</v>
      </c>
      <c r="H328" s="296">
        <f t="shared" ca="1" si="64"/>
        <v>24.906600000000001</v>
      </c>
      <c r="I328" s="297">
        <f t="shared" ca="1" si="60"/>
        <v>-25</v>
      </c>
    </row>
    <row r="329" spans="1:9">
      <c r="A329" s="295">
        <f t="shared" si="61"/>
        <v>312</v>
      </c>
      <c r="B329" s="300">
        <f t="shared" si="65"/>
        <v>9467</v>
      </c>
      <c r="C329" s="296">
        <f t="shared" ca="1" si="62"/>
        <v>24.906600000000001</v>
      </c>
      <c r="D329" s="296">
        <f ca="1">IF(H329&lt;0,0,(K43-L43)/11)</f>
        <v>-9.0909090909090912E-2</v>
      </c>
      <c r="E329" s="296">
        <f t="shared" ca="1" si="69"/>
        <v>-9.0909090909090912E-2</v>
      </c>
      <c r="F329" s="296">
        <f t="shared" ca="1" si="59"/>
        <v>-9.0909090909090912E-2</v>
      </c>
      <c r="G329" s="303">
        <f t="shared" ca="1" si="63"/>
        <v>0</v>
      </c>
      <c r="H329" s="296">
        <f t="shared" ca="1" si="64"/>
        <v>24.997499999999999</v>
      </c>
      <c r="I329" s="297">
        <f t="shared" ca="1" si="60"/>
        <v>-25</v>
      </c>
    </row>
    <row r="330" spans="1:9">
      <c r="A330" s="295">
        <f t="shared" si="61"/>
        <v>313</v>
      </c>
      <c r="B330" s="300">
        <f t="shared" si="65"/>
        <v>9498</v>
      </c>
      <c r="C330" s="296">
        <f t="shared" ca="1" si="62"/>
        <v>24.997499999999999</v>
      </c>
      <c r="D330" s="296"/>
      <c r="E330" s="296">
        <f>IF($D$10=1,
 IF(OR(MONTH(B330)=MONTH(EDATE($D$7,0)),MONTH(B330)=MONTH(EDATE($D$7,1)),MONTH(B330)=MONTH(EDATE($D$7,2)),MONTH(B330)=MONTH(EDATE($D$7,3)), MONTH(B330)=MONTH(EDATE($D$7,4)),MONTH(B330)=MONTH(EDATE($D$7,5)),MONTH(B330)=MONTH(EDATE($D$7,6)),MONTH(B330)=MONTH(EDATE($D$7,7)),MONTH(B330)=MONTH(EDATE($D$7,8)),MONTH(B330)=MONTH(EDATE($D$7,9)),MONTH(B330)=MONTH(EDATE($D$7,10))),(MIN( $D$329,H329)),0),
IF($D$10=0,
 IF(OR(MONTH(B330)=MONTH(EDATE($D$7,1)),MONTH(B330)=MONTH(EDATE($D$7,2)),MONTH(B330)=MONTH(EDATE($D$7,3)),MONTH(B330)=MONTH(EDATE($D$7,4)), MONTH(B330)=MONTH(EDATE($D$7,5)),MONTH(B330)=MONTH(EDATE($D$7,6)),MONTH(B330)=MONTH(EDATE($D$7,7)),MONTH(B330)=MONTH(EDATE($D$7,8)),MONTH(B330)=MONTH(EDATE($D$7,9)),MONTH(B330)=MONTH(EDATE($D$7,10)),MONTH(B330)=MONTH(EDATE($D$7,11))),(MIN( $D$329,H329)),0)))</f>
        <v>0</v>
      </c>
      <c r="F330" s="296">
        <f t="shared" ca="1" si="59"/>
        <v>0</v>
      </c>
      <c r="G330" s="303">
        <f t="shared" ca="1" si="63"/>
        <v>0</v>
      </c>
      <c r="H330" s="296">
        <f t="shared" ca="1" si="64"/>
        <v>24.997499999999999</v>
      </c>
      <c r="I330" s="297">
        <f t="shared" ca="1" si="60"/>
        <v>-25</v>
      </c>
    </row>
    <row r="331" spans="1:9">
      <c r="A331" s="295">
        <f t="shared" si="61"/>
        <v>314</v>
      </c>
      <c r="B331" s="300">
        <f t="shared" si="65"/>
        <v>9529</v>
      </c>
      <c r="C331" s="296">
        <f t="shared" ca="1" si="62"/>
        <v>24.997499999999999</v>
      </c>
      <c r="D331" s="296"/>
      <c r="E331" s="296">
        <f t="shared" ref="E331:E341" ca="1" si="70">IF($D$10=1,
 IF(OR(MONTH(B331)=MONTH(EDATE($D$7,0)),MONTH(B331)=MONTH(EDATE($D$7,1)),MONTH(B331)=MONTH(EDATE($D$7,2)),MONTH(B331)=MONTH(EDATE($D$7,3)), MONTH(B331)=MONTH(EDATE($D$7,4)),MONTH(B331)=MONTH(EDATE($D$7,5)),MONTH(B331)=MONTH(EDATE($D$7,6)),MONTH(B331)=MONTH(EDATE($D$7,7)),MONTH(B331)=MONTH(EDATE($D$7,8)),MONTH(B331)=MONTH(EDATE($D$7,9)),MONTH(B331)=MONTH(EDATE($D$7,10))),(MIN( $D$329,H330)),0),
IF($D$10=0,
 IF(OR(MONTH(B331)=MONTH(EDATE($D$7,1)),MONTH(B331)=MONTH(EDATE($D$7,2)),MONTH(B331)=MONTH(EDATE($D$7,3)),MONTH(B331)=MONTH(EDATE($D$7,4)), MONTH(B331)=MONTH(EDATE($D$7,5)),MONTH(B331)=MONTH(EDATE($D$7,6)),MONTH(B331)=MONTH(EDATE($D$7,7)),MONTH(B331)=MONTH(EDATE($D$7,8)),MONTH(B331)=MONTH(EDATE($D$7,9)),MONTH(B331)=MONTH(EDATE($D$7,10)),MONTH(B331)=MONTH(EDATE($D$7,11))),(MIN( $D$329,H330)),0)))</f>
        <v>-9.0909090909090912E-2</v>
      </c>
      <c r="F331" s="296">
        <f t="shared" ca="1" si="59"/>
        <v>-9.0909090909090912E-2</v>
      </c>
      <c r="G331" s="303">
        <f t="shared" ca="1" si="63"/>
        <v>0</v>
      </c>
      <c r="H331" s="296">
        <f t="shared" ca="1" si="64"/>
        <v>25.0884</v>
      </c>
      <c r="I331" s="297">
        <f t="shared" ca="1" si="60"/>
        <v>-25</v>
      </c>
    </row>
    <row r="332" spans="1:9">
      <c r="A332" s="295">
        <f t="shared" si="61"/>
        <v>315</v>
      </c>
      <c r="B332" s="300">
        <f t="shared" si="65"/>
        <v>9557</v>
      </c>
      <c r="C332" s="296">
        <f t="shared" ca="1" si="62"/>
        <v>25.0884</v>
      </c>
      <c r="D332" s="295"/>
      <c r="E332" s="296">
        <f t="shared" ca="1" si="70"/>
        <v>-9.0909090909090912E-2</v>
      </c>
      <c r="F332" s="296">
        <f t="shared" ca="1" si="59"/>
        <v>-9.0909090909090912E-2</v>
      </c>
      <c r="G332" s="303">
        <f t="shared" ca="1" si="63"/>
        <v>0</v>
      </c>
      <c r="H332" s="296">
        <f t="shared" ca="1" si="64"/>
        <v>25.179300000000001</v>
      </c>
      <c r="I332" s="297">
        <f t="shared" ca="1" si="60"/>
        <v>-25</v>
      </c>
    </row>
    <row r="333" spans="1:9">
      <c r="A333" s="295">
        <f t="shared" si="61"/>
        <v>316</v>
      </c>
      <c r="B333" s="300">
        <f t="shared" si="65"/>
        <v>9588</v>
      </c>
      <c r="C333" s="296">
        <f t="shared" ca="1" si="62"/>
        <v>25.179300000000001</v>
      </c>
      <c r="D333" s="295"/>
      <c r="E333" s="296">
        <f t="shared" ca="1" si="70"/>
        <v>-9.0909090909090912E-2</v>
      </c>
      <c r="F333" s="296">
        <f t="shared" ca="1" si="59"/>
        <v>-9.0909090909090912E-2</v>
      </c>
      <c r="G333" s="303">
        <f t="shared" ca="1" si="63"/>
        <v>0</v>
      </c>
      <c r="H333" s="296">
        <f t="shared" ca="1" si="64"/>
        <v>25.270199999999999</v>
      </c>
      <c r="I333" s="297">
        <f t="shared" ca="1" si="60"/>
        <v>-25</v>
      </c>
    </row>
    <row r="334" spans="1:9">
      <c r="A334" s="295">
        <f t="shared" si="61"/>
        <v>317</v>
      </c>
      <c r="B334" s="300">
        <f t="shared" si="65"/>
        <v>9618</v>
      </c>
      <c r="C334" s="296">
        <f t="shared" ca="1" si="62"/>
        <v>25.270199999999999</v>
      </c>
      <c r="D334" s="295"/>
      <c r="E334" s="296">
        <f t="shared" ca="1" si="70"/>
        <v>-9.0909090909090912E-2</v>
      </c>
      <c r="F334" s="296">
        <f t="shared" ca="1" si="59"/>
        <v>-9.0909090909090912E-2</v>
      </c>
      <c r="G334" s="303">
        <f t="shared" ca="1" si="63"/>
        <v>0</v>
      </c>
      <c r="H334" s="296">
        <f t="shared" ca="1" si="64"/>
        <v>25.3611</v>
      </c>
      <c r="I334" s="297">
        <f t="shared" ca="1" si="60"/>
        <v>-25</v>
      </c>
    </row>
    <row r="335" spans="1:9">
      <c r="A335" s="295">
        <f t="shared" si="61"/>
        <v>318</v>
      </c>
      <c r="B335" s="300">
        <f t="shared" si="65"/>
        <v>9649</v>
      </c>
      <c r="C335" s="296">
        <f t="shared" ca="1" si="62"/>
        <v>25.3611</v>
      </c>
      <c r="D335" s="295"/>
      <c r="E335" s="296">
        <f t="shared" ca="1" si="70"/>
        <v>-9.0909090909090912E-2</v>
      </c>
      <c r="F335" s="296">
        <f t="shared" ca="1" si="59"/>
        <v>-9.0909090909090912E-2</v>
      </c>
      <c r="G335" s="303">
        <f t="shared" ca="1" si="63"/>
        <v>0</v>
      </c>
      <c r="H335" s="296">
        <f t="shared" ca="1" si="64"/>
        <v>25.452000000000002</v>
      </c>
      <c r="I335" s="297">
        <f t="shared" ca="1" si="60"/>
        <v>-25</v>
      </c>
    </row>
    <row r="336" spans="1:9">
      <c r="A336" s="295">
        <f t="shared" si="61"/>
        <v>319</v>
      </c>
      <c r="B336" s="300">
        <f t="shared" si="65"/>
        <v>9679</v>
      </c>
      <c r="C336" s="296">
        <f t="shared" ca="1" si="62"/>
        <v>25.452000000000002</v>
      </c>
      <c r="D336" s="295"/>
      <c r="E336" s="296">
        <f t="shared" ca="1" si="70"/>
        <v>-9.0909090909090912E-2</v>
      </c>
      <c r="F336" s="296">
        <f t="shared" ca="1" si="59"/>
        <v>-9.0909090909090912E-2</v>
      </c>
      <c r="G336" s="303">
        <f t="shared" ca="1" si="63"/>
        <v>0</v>
      </c>
      <c r="H336" s="296">
        <f t="shared" ca="1" si="64"/>
        <v>25.542899999999999</v>
      </c>
      <c r="I336" s="297">
        <f t="shared" ca="1" si="60"/>
        <v>-26</v>
      </c>
    </row>
    <row r="337" spans="1:9">
      <c r="A337" s="295">
        <f t="shared" si="61"/>
        <v>320</v>
      </c>
      <c r="B337" s="300">
        <f t="shared" si="65"/>
        <v>9710</v>
      </c>
      <c r="C337" s="296">
        <f t="shared" ca="1" si="62"/>
        <v>25.542899999999999</v>
      </c>
      <c r="D337" s="295"/>
      <c r="E337" s="296">
        <f t="shared" ca="1" si="70"/>
        <v>-9.0909090909090912E-2</v>
      </c>
      <c r="F337" s="296">
        <f t="shared" ca="1" si="59"/>
        <v>-9.0909090909090912E-2</v>
      </c>
      <c r="G337" s="303">
        <f t="shared" ca="1" si="63"/>
        <v>0</v>
      </c>
      <c r="H337" s="296">
        <f t="shared" ca="1" si="64"/>
        <v>25.633800000000001</v>
      </c>
      <c r="I337" s="297">
        <f t="shared" ca="1" si="60"/>
        <v>-26</v>
      </c>
    </row>
    <row r="338" spans="1:9">
      <c r="A338" s="295">
        <f t="shared" si="61"/>
        <v>321</v>
      </c>
      <c r="B338" s="300">
        <f t="shared" si="65"/>
        <v>9741</v>
      </c>
      <c r="C338" s="296">
        <f t="shared" ca="1" si="62"/>
        <v>25.633800000000001</v>
      </c>
      <c r="D338" s="295"/>
      <c r="E338" s="296">
        <f t="shared" ca="1" si="70"/>
        <v>-9.0909090909090912E-2</v>
      </c>
      <c r="F338" s="296">
        <f t="shared" ref="F338:F401" ca="1" si="71">IF(E338="","",E338-G338)</f>
        <v>-9.0909090909090912E-2</v>
      </c>
      <c r="G338" s="303">
        <f t="shared" ca="1" si="63"/>
        <v>0</v>
      </c>
      <c r="H338" s="296">
        <f t="shared" ca="1" si="64"/>
        <v>25.724699999999999</v>
      </c>
      <c r="I338" s="297">
        <f t="shared" ref="I338:I401" ca="1" si="72">ROUND((D338-H338),0)</f>
        <v>-26</v>
      </c>
    </row>
    <row r="339" spans="1:9">
      <c r="A339" s="295">
        <f t="shared" ref="A339:A402" si="73">IF(A338="","",IF(A338=$D$6,"",A338+1))</f>
        <v>322</v>
      </c>
      <c r="B339" s="300">
        <f t="shared" si="65"/>
        <v>9771</v>
      </c>
      <c r="C339" s="296">
        <f t="shared" ref="C339:C402" ca="1" si="74">IF(H338=0,0,H338)</f>
        <v>25.724699999999999</v>
      </c>
      <c r="D339" s="295"/>
      <c r="E339" s="296">
        <f t="shared" ca="1" si="70"/>
        <v>-9.0909090909090912E-2</v>
      </c>
      <c r="F339" s="296">
        <f t="shared" ca="1" si="71"/>
        <v>-9.0909090909090912E-2</v>
      </c>
      <c r="G339" s="303">
        <f t="shared" ref="G339:G402" ca="1" si="75">ROUND((C339-E339)*$D$5,3)</f>
        <v>0</v>
      </c>
      <c r="H339" s="296">
        <f t="shared" ref="H339:H402" ca="1" si="76">IF(E339="","",ROUND(H338-F339,4))</f>
        <v>25.8156</v>
      </c>
      <c r="I339" s="297">
        <f t="shared" ca="1" si="72"/>
        <v>-26</v>
      </c>
    </row>
    <row r="340" spans="1:9">
      <c r="A340" s="295">
        <f t="shared" si="73"/>
        <v>323</v>
      </c>
      <c r="B340" s="300">
        <f t="shared" ref="B340:B403" si="77">DATE(YEAR(B339),MONTH(B339)+1,1)</f>
        <v>9802</v>
      </c>
      <c r="C340" s="296">
        <f t="shared" ca="1" si="74"/>
        <v>25.8156</v>
      </c>
      <c r="D340" s="295"/>
      <c r="E340" s="296">
        <f t="shared" ca="1" si="70"/>
        <v>-9.0909090909090912E-2</v>
      </c>
      <c r="F340" s="296">
        <f t="shared" ca="1" si="71"/>
        <v>-9.0909090909090912E-2</v>
      </c>
      <c r="G340" s="303">
        <f t="shared" ca="1" si="75"/>
        <v>0</v>
      </c>
      <c r="H340" s="296">
        <f t="shared" ca="1" si="76"/>
        <v>25.906500000000001</v>
      </c>
      <c r="I340" s="297">
        <f t="shared" ca="1" si="72"/>
        <v>-26</v>
      </c>
    </row>
    <row r="341" spans="1:9">
      <c r="A341" s="295">
        <f t="shared" si="73"/>
        <v>324</v>
      </c>
      <c r="B341" s="300">
        <f t="shared" si="77"/>
        <v>9832</v>
      </c>
      <c r="C341" s="296">
        <f t="shared" ca="1" si="74"/>
        <v>25.906500000000001</v>
      </c>
      <c r="D341" s="296">
        <f ca="1">IF(H341&lt;0,0,(K44-L44)/11)</f>
        <v>-9.0909090909090912E-2</v>
      </c>
      <c r="E341" s="296">
        <f t="shared" ca="1" si="70"/>
        <v>-9.0909090909090912E-2</v>
      </c>
      <c r="F341" s="296">
        <f t="shared" ca="1" si="71"/>
        <v>-9.0909090909090912E-2</v>
      </c>
      <c r="G341" s="303">
        <f t="shared" ca="1" si="75"/>
        <v>0</v>
      </c>
      <c r="H341" s="296">
        <f t="shared" ca="1" si="76"/>
        <v>25.997399999999999</v>
      </c>
      <c r="I341" s="297">
        <f t="shared" ca="1" si="72"/>
        <v>-26</v>
      </c>
    </row>
    <row r="342" spans="1:9">
      <c r="A342" s="295">
        <f t="shared" si="73"/>
        <v>325</v>
      </c>
      <c r="B342" s="300">
        <f t="shared" si="77"/>
        <v>9863</v>
      </c>
      <c r="C342" s="296">
        <f t="shared" ca="1" si="74"/>
        <v>25.997399999999999</v>
      </c>
      <c r="D342" s="295"/>
      <c r="E342" s="296">
        <f>IF($D$10=1,
 IF(OR(MONTH(B342)=MONTH(EDATE($D$7,0)),MONTH(B342)=MONTH(EDATE($D$7,1)),MONTH(B342)=MONTH(EDATE($D$7,2)),MONTH(B342)=MONTH(EDATE($D$7,3)), MONTH(B342)=MONTH(EDATE($D$7,4)),MONTH(B342)=MONTH(EDATE($D$7,5)),MONTH(B342)=MONTH(EDATE($D$7,6)),MONTH(B342)=MONTH(EDATE($D$7,7)),MONTH(B342)=MONTH(EDATE($D$7,8)),MONTH(B342)=MONTH(EDATE($D$7,9)),MONTH(B342)=MONTH(EDATE($D$7,10))),(MIN( $D$341,H341)),0),
IF($D$10=0,
 IF(OR(MONTH(B342)=MONTH(EDATE($D$7,1)),MONTH(B342)=MONTH(EDATE($D$7,2)),MONTH(B342)=MONTH(EDATE($D$7,3)),MONTH(B342)=MONTH(EDATE($D$7,4)), MONTH(B342)=MONTH(EDATE($D$7,5)),MONTH(B342)=MONTH(EDATE($D$7,6)),MONTH(B342)=MONTH(EDATE($D$7,7)),MONTH(B342)=MONTH(EDATE($D$7,8)),MONTH(B342)=MONTH(EDATE($D$7,9)),MONTH(B342)=MONTH(EDATE($D$7,10)),MONTH(B342)=MONTH(EDATE($D$7,11))),(MIN( $D$341,H341)),0)))</f>
        <v>0</v>
      </c>
      <c r="F342" s="296">
        <f t="shared" ca="1" si="71"/>
        <v>0</v>
      </c>
      <c r="G342" s="303">
        <f t="shared" ca="1" si="75"/>
        <v>0</v>
      </c>
      <c r="H342" s="296">
        <f t="shared" ca="1" si="76"/>
        <v>25.997399999999999</v>
      </c>
      <c r="I342" s="297">
        <f t="shared" ca="1" si="72"/>
        <v>-26</v>
      </c>
    </row>
    <row r="343" spans="1:9">
      <c r="A343" s="295">
        <f t="shared" si="73"/>
        <v>326</v>
      </c>
      <c r="B343" s="300">
        <f t="shared" si="77"/>
        <v>9894</v>
      </c>
      <c r="C343" s="296">
        <f t="shared" ca="1" si="74"/>
        <v>25.997399999999999</v>
      </c>
      <c r="D343" s="295"/>
      <c r="E343" s="296">
        <f t="shared" ref="E343:E353" ca="1" si="78">IF($D$10=1,
 IF(OR(MONTH(B343)=MONTH(EDATE($D$7,0)),MONTH(B343)=MONTH(EDATE($D$7,1)),MONTH(B343)=MONTH(EDATE($D$7,2)),MONTH(B343)=MONTH(EDATE($D$7,3)), MONTH(B343)=MONTH(EDATE($D$7,4)),MONTH(B343)=MONTH(EDATE($D$7,5)),MONTH(B343)=MONTH(EDATE($D$7,6)),MONTH(B343)=MONTH(EDATE($D$7,7)),MONTH(B343)=MONTH(EDATE($D$7,8)),MONTH(B343)=MONTH(EDATE($D$7,9)),MONTH(B343)=MONTH(EDATE($D$7,10))),(MIN( $D$341,H342)),0),
IF($D$10=0,
 IF(OR(MONTH(B343)=MONTH(EDATE($D$7,1)),MONTH(B343)=MONTH(EDATE($D$7,2)),MONTH(B343)=MONTH(EDATE($D$7,3)),MONTH(B343)=MONTH(EDATE($D$7,4)), MONTH(B343)=MONTH(EDATE($D$7,5)),MONTH(B343)=MONTH(EDATE($D$7,6)),MONTH(B343)=MONTH(EDATE($D$7,7)),MONTH(B343)=MONTH(EDATE($D$7,8)),MONTH(B343)=MONTH(EDATE($D$7,9)),MONTH(B343)=MONTH(EDATE($D$7,10)),MONTH(B343)=MONTH(EDATE($D$7,11))),(MIN( $D$341,H342)),0)))</f>
        <v>-9.0909090909090912E-2</v>
      </c>
      <c r="F343" s="296">
        <f t="shared" ca="1" si="71"/>
        <v>-9.0909090909090912E-2</v>
      </c>
      <c r="G343" s="303">
        <f t="shared" ca="1" si="75"/>
        <v>0</v>
      </c>
      <c r="H343" s="296">
        <f t="shared" ca="1" si="76"/>
        <v>26.0883</v>
      </c>
      <c r="I343" s="297">
        <f t="shared" ca="1" si="72"/>
        <v>-26</v>
      </c>
    </row>
    <row r="344" spans="1:9">
      <c r="A344" s="295">
        <f t="shared" si="73"/>
        <v>327</v>
      </c>
      <c r="B344" s="300">
        <f t="shared" si="77"/>
        <v>9922</v>
      </c>
      <c r="C344" s="296">
        <f t="shared" ca="1" si="74"/>
        <v>26.0883</v>
      </c>
      <c r="D344" s="295"/>
      <c r="E344" s="296">
        <f t="shared" ca="1" si="78"/>
        <v>-9.0909090909090912E-2</v>
      </c>
      <c r="F344" s="296">
        <f t="shared" ca="1" si="71"/>
        <v>-9.0909090909090912E-2</v>
      </c>
      <c r="G344" s="303">
        <f t="shared" ca="1" si="75"/>
        <v>0</v>
      </c>
      <c r="H344" s="296">
        <f t="shared" ca="1" si="76"/>
        <v>26.179200000000002</v>
      </c>
      <c r="I344" s="297">
        <f t="shared" ca="1" si="72"/>
        <v>-26</v>
      </c>
    </row>
    <row r="345" spans="1:9">
      <c r="A345" s="295">
        <f t="shared" si="73"/>
        <v>328</v>
      </c>
      <c r="B345" s="300">
        <f t="shared" si="77"/>
        <v>9953</v>
      </c>
      <c r="C345" s="296">
        <f t="shared" ca="1" si="74"/>
        <v>26.179200000000002</v>
      </c>
      <c r="D345" s="295"/>
      <c r="E345" s="296">
        <f t="shared" ca="1" si="78"/>
        <v>-9.0909090909090912E-2</v>
      </c>
      <c r="F345" s="296">
        <f t="shared" ca="1" si="71"/>
        <v>-9.0909090909090912E-2</v>
      </c>
      <c r="G345" s="303">
        <f t="shared" ca="1" si="75"/>
        <v>0</v>
      </c>
      <c r="H345" s="296">
        <f t="shared" ca="1" si="76"/>
        <v>26.270099999999999</v>
      </c>
      <c r="I345" s="297">
        <f t="shared" ca="1" si="72"/>
        <v>-26</v>
      </c>
    </row>
    <row r="346" spans="1:9">
      <c r="A346" s="295">
        <f t="shared" si="73"/>
        <v>329</v>
      </c>
      <c r="B346" s="300">
        <f t="shared" si="77"/>
        <v>9983</v>
      </c>
      <c r="C346" s="296">
        <f t="shared" ca="1" si="74"/>
        <v>26.270099999999999</v>
      </c>
      <c r="D346" s="295"/>
      <c r="E346" s="296">
        <f t="shared" ca="1" si="78"/>
        <v>-9.0909090909090912E-2</v>
      </c>
      <c r="F346" s="296">
        <f t="shared" ca="1" si="71"/>
        <v>-9.0909090909090912E-2</v>
      </c>
      <c r="G346" s="303">
        <f t="shared" ca="1" si="75"/>
        <v>0</v>
      </c>
      <c r="H346" s="296">
        <f t="shared" ca="1" si="76"/>
        <v>26.361000000000001</v>
      </c>
      <c r="I346" s="297">
        <f t="shared" ca="1" si="72"/>
        <v>-26</v>
      </c>
    </row>
    <row r="347" spans="1:9">
      <c r="A347" s="295">
        <f t="shared" si="73"/>
        <v>330</v>
      </c>
      <c r="B347" s="300">
        <f t="shared" si="77"/>
        <v>10014</v>
      </c>
      <c r="C347" s="296">
        <f t="shared" ca="1" si="74"/>
        <v>26.361000000000001</v>
      </c>
      <c r="D347" s="295"/>
      <c r="E347" s="296">
        <f t="shared" ca="1" si="78"/>
        <v>-9.0909090909090912E-2</v>
      </c>
      <c r="F347" s="296">
        <f t="shared" ca="1" si="71"/>
        <v>-9.0909090909090912E-2</v>
      </c>
      <c r="G347" s="303">
        <f t="shared" ca="1" si="75"/>
        <v>0</v>
      </c>
      <c r="H347" s="296">
        <f t="shared" ca="1" si="76"/>
        <v>26.451899999999998</v>
      </c>
      <c r="I347" s="297">
        <f t="shared" ca="1" si="72"/>
        <v>-26</v>
      </c>
    </row>
    <row r="348" spans="1:9">
      <c r="A348" s="295">
        <f t="shared" si="73"/>
        <v>331</v>
      </c>
      <c r="B348" s="300">
        <f t="shared" si="77"/>
        <v>10044</v>
      </c>
      <c r="C348" s="296">
        <f t="shared" ca="1" si="74"/>
        <v>26.451899999999998</v>
      </c>
      <c r="D348" s="295"/>
      <c r="E348" s="296">
        <f t="shared" ca="1" si="78"/>
        <v>-9.0909090909090912E-2</v>
      </c>
      <c r="F348" s="296">
        <f t="shared" ca="1" si="71"/>
        <v>-9.0909090909090912E-2</v>
      </c>
      <c r="G348" s="303">
        <f t="shared" ca="1" si="75"/>
        <v>0</v>
      </c>
      <c r="H348" s="296">
        <f t="shared" ca="1" si="76"/>
        <v>26.5428</v>
      </c>
      <c r="I348" s="297">
        <f t="shared" ca="1" si="72"/>
        <v>-27</v>
      </c>
    </row>
    <row r="349" spans="1:9">
      <c r="A349" s="295">
        <f t="shared" si="73"/>
        <v>332</v>
      </c>
      <c r="B349" s="300">
        <f t="shared" si="77"/>
        <v>10075</v>
      </c>
      <c r="C349" s="296">
        <f t="shared" ca="1" si="74"/>
        <v>26.5428</v>
      </c>
      <c r="D349" s="295"/>
      <c r="E349" s="296">
        <f t="shared" ca="1" si="78"/>
        <v>-9.0909090909090912E-2</v>
      </c>
      <c r="F349" s="296">
        <f t="shared" ca="1" si="71"/>
        <v>-9.0909090909090912E-2</v>
      </c>
      <c r="G349" s="303">
        <f t="shared" ca="1" si="75"/>
        <v>0</v>
      </c>
      <c r="H349" s="296">
        <f t="shared" ca="1" si="76"/>
        <v>26.633700000000001</v>
      </c>
      <c r="I349" s="297">
        <f t="shared" ca="1" si="72"/>
        <v>-27</v>
      </c>
    </row>
    <row r="350" spans="1:9">
      <c r="A350" s="295">
        <f t="shared" si="73"/>
        <v>333</v>
      </c>
      <c r="B350" s="300">
        <f t="shared" si="77"/>
        <v>10106</v>
      </c>
      <c r="C350" s="296">
        <f t="shared" ca="1" si="74"/>
        <v>26.633700000000001</v>
      </c>
      <c r="D350" s="295"/>
      <c r="E350" s="296">
        <f t="shared" ca="1" si="78"/>
        <v>-9.0909090909090912E-2</v>
      </c>
      <c r="F350" s="296">
        <f t="shared" ca="1" si="71"/>
        <v>-9.0909090909090912E-2</v>
      </c>
      <c r="G350" s="303">
        <f t="shared" ca="1" si="75"/>
        <v>0</v>
      </c>
      <c r="H350" s="296">
        <f t="shared" ca="1" si="76"/>
        <v>26.724599999999999</v>
      </c>
      <c r="I350" s="297">
        <f t="shared" ca="1" si="72"/>
        <v>-27</v>
      </c>
    </row>
    <row r="351" spans="1:9">
      <c r="A351" s="295">
        <f t="shared" si="73"/>
        <v>334</v>
      </c>
      <c r="B351" s="300">
        <f t="shared" si="77"/>
        <v>10136</v>
      </c>
      <c r="C351" s="296">
        <f t="shared" ca="1" si="74"/>
        <v>26.724599999999999</v>
      </c>
      <c r="D351" s="295"/>
      <c r="E351" s="296">
        <f t="shared" ca="1" si="78"/>
        <v>-9.0909090909090912E-2</v>
      </c>
      <c r="F351" s="296">
        <f t="shared" ca="1" si="71"/>
        <v>-9.0909090909090912E-2</v>
      </c>
      <c r="G351" s="303">
        <f t="shared" ca="1" si="75"/>
        <v>0</v>
      </c>
      <c r="H351" s="296">
        <f t="shared" ca="1" si="76"/>
        <v>26.8155</v>
      </c>
      <c r="I351" s="297">
        <f t="shared" ca="1" si="72"/>
        <v>-27</v>
      </c>
    </row>
    <row r="352" spans="1:9">
      <c r="A352" s="295">
        <f t="shared" si="73"/>
        <v>335</v>
      </c>
      <c r="B352" s="300">
        <f t="shared" si="77"/>
        <v>10167</v>
      </c>
      <c r="C352" s="296">
        <f t="shared" ca="1" si="74"/>
        <v>26.8155</v>
      </c>
      <c r="D352" s="295"/>
      <c r="E352" s="296">
        <f t="shared" ca="1" si="78"/>
        <v>-9.0909090909090912E-2</v>
      </c>
      <c r="F352" s="296">
        <f t="shared" ca="1" si="71"/>
        <v>-9.0909090909090912E-2</v>
      </c>
      <c r="G352" s="303">
        <f t="shared" ca="1" si="75"/>
        <v>0</v>
      </c>
      <c r="H352" s="296">
        <f t="shared" ca="1" si="76"/>
        <v>26.906400000000001</v>
      </c>
      <c r="I352" s="297">
        <f t="shared" ca="1" si="72"/>
        <v>-27</v>
      </c>
    </row>
    <row r="353" spans="1:9">
      <c r="A353" s="295">
        <f t="shared" si="73"/>
        <v>336</v>
      </c>
      <c r="B353" s="300">
        <f t="shared" si="77"/>
        <v>10197</v>
      </c>
      <c r="C353" s="296">
        <f t="shared" ca="1" si="74"/>
        <v>26.906400000000001</v>
      </c>
      <c r="D353" s="296">
        <f ca="1">IF(H353&lt;0,0,(K45-L45)/11)</f>
        <v>-9.0909090909090912E-2</v>
      </c>
      <c r="E353" s="296">
        <f t="shared" ca="1" si="78"/>
        <v>-9.0909090909090912E-2</v>
      </c>
      <c r="F353" s="296">
        <f t="shared" ca="1" si="71"/>
        <v>-9.0909090909090912E-2</v>
      </c>
      <c r="G353" s="303">
        <f t="shared" ca="1" si="75"/>
        <v>0</v>
      </c>
      <c r="H353" s="296">
        <f t="shared" ca="1" si="76"/>
        <v>26.997299999999999</v>
      </c>
      <c r="I353" s="297">
        <f t="shared" ca="1" si="72"/>
        <v>-27</v>
      </c>
    </row>
    <row r="354" spans="1:9">
      <c r="A354" s="295">
        <f t="shared" si="73"/>
        <v>337</v>
      </c>
      <c r="B354" s="300">
        <f t="shared" si="77"/>
        <v>10228</v>
      </c>
      <c r="C354" s="296">
        <f t="shared" ca="1" si="74"/>
        <v>26.997299999999999</v>
      </c>
      <c r="D354" s="295"/>
      <c r="E354" s="296">
        <f>IF($D$10=1,
 IF(OR(MONTH(B354)=MONTH(EDATE($D$7,0)),MONTH(B354)=MONTH(EDATE($D$7,1)),MONTH(B354)=MONTH(EDATE($D$7,2)),MONTH(B354)=MONTH(EDATE($D$7,3)), MONTH(B354)=MONTH(EDATE($D$7,4)),MONTH(B354)=MONTH(EDATE($D$7,5)),MONTH(B354)=MONTH(EDATE($D$7,6)),MONTH(B354)=MONTH(EDATE($D$7,7)),MONTH(B354)=MONTH(EDATE($D$7,8)),MONTH(B354)=MONTH(EDATE($D$7,9)),MONTH(B354)=MONTH(EDATE($D$7,10))),(MIN( $D$353,H353)),0),
IF($D$10=0,
 IF(OR(MONTH(B354)=MONTH(EDATE($D$7,1)),MONTH(B354)=MONTH(EDATE($D$7,2)),MONTH(B354)=MONTH(EDATE($D$7,3)),MONTH(B354)=MONTH(EDATE($D$7,4)), MONTH(B354)=MONTH(EDATE($D$7,5)),MONTH(B354)=MONTH(EDATE($D$7,6)),MONTH(B354)=MONTH(EDATE($D$7,7)),MONTH(B354)=MONTH(EDATE($D$7,8)),MONTH(B354)=MONTH(EDATE($D$7,9)),MONTH(B354)=MONTH(EDATE($D$7,10)),MONTH(B354)=MONTH(EDATE($D$7,11))),(MIN( $D$353,H353)),0)))</f>
        <v>0</v>
      </c>
      <c r="F354" s="296">
        <f t="shared" ca="1" si="71"/>
        <v>0</v>
      </c>
      <c r="G354" s="303">
        <f t="shared" ca="1" si="75"/>
        <v>0</v>
      </c>
      <c r="H354" s="296">
        <f t="shared" ca="1" si="76"/>
        <v>26.997299999999999</v>
      </c>
      <c r="I354" s="297">
        <f t="shared" ca="1" si="72"/>
        <v>-27</v>
      </c>
    </row>
    <row r="355" spans="1:9">
      <c r="A355" s="295">
        <f t="shared" si="73"/>
        <v>338</v>
      </c>
      <c r="B355" s="300">
        <f t="shared" si="77"/>
        <v>10259</v>
      </c>
      <c r="C355" s="296">
        <f t="shared" ca="1" si="74"/>
        <v>26.997299999999999</v>
      </c>
      <c r="D355" s="295"/>
      <c r="E355" s="296">
        <f t="shared" ref="E355:E365" ca="1" si="79">IF($D$10=1,
 IF(OR(MONTH(B355)=MONTH(EDATE($D$7,0)),MONTH(B355)=MONTH(EDATE($D$7,1)),MONTH(B355)=MONTH(EDATE($D$7,2)),MONTH(B355)=MONTH(EDATE($D$7,3)), MONTH(B355)=MONTH(EDATE($D$7,4)),MONTH(B355)=MONTH(EDATE($D$7,5)),MONTH(B355)=MONTH(EDATE($D$7,6)),MONTH(B355)=MONTH(EDATE($D$7,7)),MONTH(B355)=MONTH(EDATE($D$7,8)),MONTH(B355)=MONTH(EDATE($D$7,9)),MONTH(B355)=MONTH(EDATE($D$7,10))),(MIN( $D$353,H354)),0),
IF($D$10=0,
 IF(OR(MONTH(B355)=MONTH(EDATE($D$7,1)),MONTH(B355)=MONTH(EDATE($D$7,2)),MONTH(B355)=MONTH(EDATE($D$7,3)),MONTH(B355)=MONTH(EDATE($D$7,4)), MONTH(B355)=MONTH(EDATE($D$7,5)),MONTH(B355)=MONTH(EDATE($D$7,6)),MONTH(B355)=MONTH(EDATE($D$7,7)),MONTH(B355)=MONTH(EDATE($D$7,8)),MONTH(B355)=MONTH(EDATE($D$7,9)),MONTH(B355)=MONTH(EDATE($D$7,10)),MONTH(B355)=MONTH(EDATE($D$7,11))),(MIN( $D$353,H354)),0)))</f>
        <v>-9.0909090909090912E-2</v>
      </c>
      <c r="F355" s="296">
        <f t="shared" ca="1" si="71"/>
        <v>-9.0909090909090912E-2</v>
      </c>
      <c r="G355" s="303">
        <f t="shared" ca="1" si="75"/>
        <v>0</v>
      </c>
      <c r="H355" s="296">
        <f t="shared" ca="1" si="76"/>
        <v>27.088200000000001</v>
      </c>
      <c r="I355" s="297">
        <f t="shared" ca="1" si="72"/>
        <v>-27</v>
      </c>
    </row>
    <row r="356" spans="1:9">
      <c r="A356" s="295">
        <f t="shared" si="73"/>
        <v>339</v>
      </c>
      <c r="B356" s="300">
        <f t="shared" si="77"/>
        <v>10288</v>
      </c>
      <c r="C356" s="296">
        <f t="shared" ca="1" si="74"/>
        <v>27.088200000000001</v>
      </c>
      <c r="D356" s="295"/>
      <c r="E356" s="296">
        <f t="shared" ca="1" si="79"/>
        <v>-9.0909090909090912E-2</v>
      </c>
      <c r="F356" s="296">
        <f t="shared" ca="1" si="71"/>
        <v>-9.0909090909090912E-2</v>
      </c>
      <c r="G356" s="303">
        <f t="shared" ca="1" si="75"/>
        <v>0</v>
      </c>
      <c r="H356" s="296">
        <f t="shared" ca="1" si="76"/>
        <v>27.179099999999998</v>
      </c>
      <c r="I356" s="297">
        <f t="shared" ca="1" si="72"/>
        <v>-27</v>
      </c>
    </row>
    <row r="357" spans="1:9">
      <c r="A357" s="295">
        <f t="shared" si="73"/>
        <v>340</v>
      </c>
      <c r="B357" s="300">
        <f t="shared" si="77"/>
        <v>10319</v>
      </c>
      <c r="C357" s="296">
        <f t="shared" ca="1" si="74"/>
        <v>27.179099999999998</v>
      </c>
      <c r="D357" s="295"/>
      <c r="E357" s="296">
        <f t="shared" ca="1" si="79"/>
        <v>-9.0909090909090912E-2</v>
      </c>
      <c r="F357" s="296">
        <f t="shared" ca="1" si="71"/>
        <v>-9.0909090909090912E-2</v>
      </c>
      <c r="G357" s="303">
        <f t="shared" ca="1" si="75"/>
        <v>0</v>
      </c>
      <c r="H357" s="296">
        <f t="shared" ca="1" si="76"/>
        <v>27.27</v>
      </c>
      <c r="I357" s="297">
        <f t="shared" ca="1" si="72"/>
        <v>-27</v>
      </c>
    </row>
    <row r="358" spans="1:9">
      <c r="A358" s="295">
        <f t="shared" si="73"/>
        <v>341</v>
      </c>
      <c r="B358" s="300">
        <f t="shared" si="77"/>
        <v>10349</v>
      </c>
      <c r="C358" s="296">
        <f t="shared" ca="1" si="74"/>
        <v>27.27</v>
      </c>
      <c r="D358" s="295"/>
      <c r="E358" s="296">
        <f t="shared" ca="1" si="79"/>
        <v>-9.0909090909090912E-2</v>
      </c>
      <c r="F358" s="296">
        <f t="shared" ca="1" si="71"/>
        <v>-9.0909090909090912E-2</v>
      </c>
      <c r="G358" s="303">
        <f t="shared" ca="1" si="75"/>
        <v>0</v>
      </c>
      <c r="H358" s="296">
        <f t="shared" ca="1" si="76"/>
        <v>27.360900000000001</v>
      </c>
      <c r="I358" s="297">
        <f t="shared" ca="1" si="72"/>
        <v>-27</v>
      </c>
    </row>
    <row r="359" spans="1:9">
      <c r="A359" s="295">
        <f t="shared" si="73"/>
        <v>342</v>
      </c>
      <c r="B359" s="300">
        <f t="shared" si="77"/>
        <v>10380</v>
      </c>
      <c r="C359" s="296">
        <f t="shared" ca="1" si="74"/>
        <v>27.360900000000001</v>
      </c>
      <c r="D359" s="295"/>
      <c r="E359" s="296">
        <f t="shared" ca="1" si="79"/>
        <v>-9.0909090909090912E-2</v>
      </c>
      <c r="F359" s="296">
        <f t="shared" ca="1" si="71"/>
        <v>-9.0909090909090912E-2</v>
      </c>
      <c r="G359" s="303">
        <f t="shared" ca="1" si="75"/>
        <v>0</v>
      </c>
      <c r="H359" s="296">
        <f t="shared" ca="1" si="76"/>
        <v>27.451799999999999</v>
      </c>
      <c r="I359" s="297">
        <f t="shared" ca="1" si="72"/>
        <v>-27</v>
      </c>
    </row>
    <row r="360" spans="1:9">
      <c r="A360" s="295">
        <f t="shared" si="73"/>
        <v>343</v>
      </c>
      <c r="B360" s="300">
        <f t="shared" si="77"/>
        <v>10410</v>
      </c>
      <c r="C360" s="296">
        <f t="shared" ca="1" si="74"/>
        <v>27.451799999999999</v>
      </c>
      <c r="D360" s="295"/>
      <c r="E360" s="296">
        <f t="shared" ca="1" si="79"/>
        <v>-9.0909090909090912E-2</v>
      </c>
      <c r="F360" s="296">
        <f t="shared" ca="1" si="71"/>
        <v>-9.0909090909090912E-2</v>
      </c>
      <c r="G360" s="303">
        <f t="shared" ca="1" si="75"/>
        <v>0</v>
      </c>
      <c r="H360" s="296">
        <f t="shared" ca="1" si="76"/>
        <v>27.5427</v>
      </c>
      <c r="I360" s="297">
        <f t="shared" ca="1" si="72"/>
        <v>-28</v>
      </c>
    </row>
    <row r="361" spans="1:9">
      <c r="A361" s="295">
        <f t="shared" si="73"/>
        <v>344</v>
      </c>
      <c r="B361" s="300">
        <f t="shared" si="77"/>
        <v>10441</v>
      </c>
      <c r="C361" s="296">
        <f t="shared" ca="1" si="74"/>
        <v>27.5427</v>
      </c>
      <c r="D361" s="295"/>
      <c r="E361" s="296">
        <f t="shared" ca="1" si="79"/>
        <v>-9.0909090909090912E-2</v>
      </c>
      <c r="F361" s="296">
        <f t="shared" ca="1" si="71"/>
        <v>-9.0909090909090912E-2</v>
      </c>
      <c r="G361" s="303">
        <f t="shared" ca="1" si="75"/>
        <v>0</v>
      </c>
      <c r="H361" s="296">
        <f t="shared" ca="1" si="76"/>
        <v>27.633600000000001</v>
      </c>
      <c r="I361" s="297">
        <f t="shared" ca="1" si="72"/>
        <v>-28</v>
      </c>
    </row>
    <row r="362" spans="1:9">
      <c r="A362" s="295">
        <f t="shared" si="73"/>
        <v>345</v>
      </c>
      <c r="B362" s="300">
        <f t="shared" si="77"/>
        <v>10472</v>
      </c>
      <c r="C362" s="296">
        <f t="shared" ca="1" si="74"/>
        <v>27.633600000000001</v>
      </c>
      <c r="D362" s="295"/>
      <c r="E362" s="296">
        <f t="shared" ca="1" si="79"/>
        <v>-9.0909090909090912E-2</v>
      </c>
      <c r="F362" s="296">
        <f t="shared" ca="1" si="71"/>
        <v>-9.0909090909090912E-2</v>
      </c>
      <c r="G362" s="303">
        <f t="shared" ca="1" si="75"/>
        <v>0</v>
      </c>
      <c r="H362" s="296">
        <f t="shared" ca="1" si="76"/>
        <v>27.724499999999999</v>
      </c>
      <c r="I362" s="297">
        <f t="shared" ca="1" si="72"/>
        <v>-28</v>
      </c>
    </row>
    <row r="363" spans="1:9">
      <c r="A363" s="295">
        <f t="shared" si="73"/>
        <v>346</v>
      </c>
      <c r="B363" s="300">
        <f t="shared" si="77"/>
        <v>10502</v>
      </c>
      <c r="C363" s="296">
        <f t="shared" ca="1" si="74"/>
        <v>27.724499999999999</v>
      </c>
      <c r="D363" s="295"/>
      <c r="E363" s="296">
        <f t="shared" ca="1" si="79"/>
        <v>-9.0909090909090912E-2</v>
      </c>
      <c r="F363" s="296">
        <f t="shared" ca="1" si="71"/>
        <v>-9.0909090909090912E-2</v>
      </c>
      <c r="G363" s="303">
        <f t="shared" ca="1" si="75"/>
        <v>0</v>
      </c>
      <c r="H363" s="296">
        <f t="shared" ca="1" si="76"/>
        <v>27.8154</v>
      </c>
      <c r="I363" s="297">
        <f t="shared" ca="1" si="72"/>
        <v>-28</v>
      </c>
    </row>
    <row r="364" spans="1:9">
      <c r="A364" s="295">
        <f t="shared" si="73"/>
        <v>347</v>
      </c>
      <c r="B364" s="300">
        <f t="shared" si="77"/>
        <v>10533</v>
      </c>
      <c r="C364" s="296">
        <f t="shared" ca="1" si="74"/>
        <v>27.8154</v>
      </c>
      <c r="D364" s="295"/>
      <c r="E364" s="296">
        <f t="shared" ca="1" si="79"/>
        <v>-9.0909090909090912E-2</v>
      </c>
      <c r="F364" s="296">
        <f t="shared" ca="1" si="71"/>
        <v>-9.0909090909090912E-2</v>
      </c>
      <c r="G364" s="303">
        <f t="shared" ca="1" si="75"/>
        <v>0</v>
      </c>
      <c r="H364" s="296">
        <f t="shared" ca="1" si="76"/>
        <v>27.906300000000002</v>
      </c>
      <c r="I364" s="297">
        <f t="shared" ca="1" si="72"/>
        <v>-28</v>
      </c>
    </row>
    <row r="365" spans="1:9">
      <c r="A365" s="295">
        <f t="shared" si="73"/>
        <v>348</v>
      </c>
      <c r="B365" s="300">
        <f t="shared" si="77"/>
        <v>10563</v>
      </c>
      <c r="C365" s="296">
        <f t="shared" ca="1" si="74"/>
        <v>27.906300000000002</v>
      </c>
      <c r="D365" s="296">
        <f ca="1">IF(H365&lt;0,0,(K46-L46)/11)</f>
        <v>-9.0909090909090912E-2</v>
      </c>
      <c r="E365" s="296">
        <f t="shared" ca="1" si="79"/>
        <v>-9.0909090909090912E-2</v>
      </c>
      <c r="F365" s="296">
        <f t="shared" ca="1" si="71"/>
        <v>-9.0909090909090912E-2</v>
      </c>
      <c r="G365" s="303">
        <f t="shared" ca="1" si="75"/>
        <v>0</v>
      </c>
      <c r="H365" s="296">
        <f t="shared" ca="1" si="76"/>
        <v>27.997199999999999</v>
      </c>
      <c r="I365" s="297">
        <f t="shared" ca="1" si="72"/>
        <v>-28</v>
      </c>
    </row>
    <row r="366" spans="1:9">
      <c r="A366" s="295">
        <f t="shared" si="73"/>
        <v>349</v>
      </c>
      <c r="B366" s="300">
        <f t="shared" si="77"/>
        <v>10594</v>
      </c>
      <c r="C366" s="296">
        <f t="shared" ca="1" si="74"/>
        <v>27.997199999999999</v>
      </c>
      <c r="D366" s="296"/>
      <c r="E366" s="296">
        <f>IF($D$10=1,
 IF(OR(MONTH(B366)=MONTH(EDATE($D$7,0)),MONTH(B366)=MONTH(EDATE($D$7,1)),MONTH(B366)=MONTH(EDATE($D$7,2)),MONTH(B366)=MONTH(EDATE($D$7,3)), MONTH(B366)=MONTH(EDATE($D$7,4)),MONTH(B366)=MONTH(EDATE($D$7,5)),MONTH(B366)=MONTH(EDATE($D$7,6)),MONTH(B366)=MONTH(EDATE($D$7,7)),MONTH(B366)=MONTH(EDATE($D$7,8)),MONTH(B366)=MONTH(EDATE($D$7,9)),MONTH(B366)=MONTH(EDATE($D$7,10))),(MIN( $D$365,H365)),0),
IF($D$10=0,
 IF(OR(MONTH(B366)=MONTH(EDATE($D$7,1)),MONTH(B366)=MONTH(EDATE($D$7,2)),MONTH(B366)=MONTH(EDATE($D$7,3)),MONTH(B366)=MONTH(EDATE($D$7,4)), MONTH(B366)=MONTH(EDATE($D$7,5)),MONTH(B366)=MONTH(EDATE($D$7,6)),MONTH(B366)=MONTH(EDATE($D$7,7)),MONTH(B366)=MONTH(EDATE($D$7,8)),MONTH(B366)=MONTH(EDATE($D$7,9)),MONTH(B366)=MONTH(EDATE($D$7,10)),MONTH(B366)=MONTH(EDATE($D$7,11))),(MIN( $D$365,H365)),0)))</f>
        <v>0</v>
      </c>
      <c r="F366" s="296">
        <f t="shared" ca="1" si="71"/>
        <v>0</v>
      </c>
      <c r="G366" s="303">
        <f t="shared" ca="1" si="75"/>
        <v>0</v>
      </c>
      <c r="H366" s="296">
        <f t="shared" ca="1" si="76"/>
        <v>27.997199999999999</v>
      </c>
      <c r="I366" s="297">
        <f t="shared" ca="1" si="72"/>
        <v>-28</v>
      </c>
    </row>
    <row r="367" spans="1:9">
      <c r="A367" s="295">
        <f t="shared" si="73"/>
        <v>350</v>
      </c>
      <c r="B367" s="300">
        <f t="shared" si="77"/>
        <v>10625</v>
      </c>
      <c r="C367" s="296">
        <f t="shared" ca="1" si="74"/>
        <v>27.997199999999999</v>
      </c>
      <c r="D367" s="295"/>
      <c r="E367" s="296">
        <f t="shared" ref="E367:E377" ca="1" si="80">IF($D$10=1,
 IF(OR(MONTH(B367)=MONTH(EDATE($D$7,0)),MONTH(B367)=MONTH(EDATE($D$7,1)),MONTH(B367)=MONTH(EDATE($D$7,2)),MONTH(B367)=MONTH(EDATE($D$7,3)), MONTH(B367)=MONTH(EDATE($D$7,4)),MONTH(B367)=MONTH(EDATE($D$7,5)),MONTH(B367)=MONTH(EDATE($D$7,6)),MONTH(B367)=MONTH(EDATE($D$7,7)),MONTH(B367)=MONTH(EDATE($D$7,8)),MONTH(B367)=MONTH(EDATE($D$7,9)),MONTH(B367)=MONTH(EDATE($D$7,10))),(MIN( $D$365,H366)),0),
IF($D$10=0,
 IF(OR(MONTH(B367)=MONTH(EDATE($D$7,1)),MONTH(B367)=MONTH(EDATE($D$7,2)),MONTH(B367)=MONTH(EDATE($D$7,3)),MONTH(B367)=MONTH(EDATE($D$7,4)), MONTH(B367)=MONTH(EDATE($D$7,5)),MONTH(B367)=MONTH(EDATE($D$7,6)),MONTH(B367)=MONTH(EDATE($D$7,7)),MONTH(B367)=MONTH(EDATE($D$7,8)),MONTH(B367)=MONTH(EDATE($D$7,9)),MONTH(B367)=MONTH(EDATE($D$7,10)),MONTH(B367)=MONTH(EDATE($D$7,11))),(MIN( $D$365,H366)),0)))</f>
        <v>-9.0909090909090912E-2</v>
      </c>
      <c r="F367" s="296">
        <f t="shared" ca="1" si="71"/>
        <v>-9.0909090909090912E-2</v>
      </c>
      <c r="G367" s="303">
        <f t="shared" ca="1" si="75"/>
        <v>0</v>
      </c>
      <c r="H367" s="296">
        <f t="shared" ca="1" si="76"/>
        <v>28.088100000000001</v>
      </c>
      <c r="I367" s="297">
        <f t="shared" ca="1" si="72"/>
        <v>-28</v>
      </c>
    </row>
    <row r="368" spans="1:9">
      <c r="A368" s="295">
        <f t="shared" si="73"/>
        <v>351</v>
      </c>
      <c r="B368" s="300">
        <f t="shared" si="77"/>
        <v>10653</v>
      </c>
      <c r="C368" s="296">
        <f t="shared" ca="1" si="74"/>
        <v>28.088100000000001</v>
      </c>
      <c r="D368" s="295"/>
      <c r="E368" s="296">
        <f t="shared" ca="1" si="80"/>
        <v>-9.0909090909090912E-2</v>
      </c>
      <c r="F368" s="296">
        <f t="shared" ca="1" si="71"/>
        <v>-9.0909090909090912E-2</v>
      </c>
      <c r="G368" s="303">
        <f t="shared" ca="1" si="75"/>
        <v>0</v>
      </c>
      <c r="H368" s="296">
        <f t="shared" ca="1" si="76"/>
        <v>28.178999999999998</v>
      </c>
      <c r="I368" s="297">
        <f t="shared" ca="1" si="72"/>
        <v>-28</v>
      </c>
    </row>
    <row r="369" spans="1:9">
      <c r="A369" s="295">
        <f t="shared" si="73"/>
        <v>352</v>
      </c>
      <c r="B369" s="300">
        <f t="shared" si="77"/>
        <v>10684</v>
      </c>
      <c r="C369" s="296">
        <f t="shared" ca="1" si="74"/>
        <v>28.178999999999998</v>
      </c>
      <c r="D369" s="295"/>
      <c r="E369" s="296">
        <f t="shared" ca="1" si="80"/>
        <v>-9.0909090909090912E-2</v>
      </c>
      <c r="F369" s="296">
        <f t="shared" ca="1" si="71"/>
        <v>-9.0909090909090912E-2</v>
      </c>
      <c r="G369" s="303">
        <f t="shared" ca="1" si="75"/>
        <v>0</v>
      </c>
      <c r="H369" s="296">
        <f t="shared" ca="1" si="76"/>
        <v>28.2699</v>
      </c>
      <c r="I369" s="297">
        <f t="shared" ca="1" si="72"/>
        <v>-28</v>
      </c>
    </row>
    <row r="370" spans="1:9">
      <c r="A370" s="295">
        <f t="shared" si="73"/>
        <v>353</v>
      </c>
      <c r="B370" s="300">
        <f t="shared" si="77"/>
        <v>10714</v>
      </c>
      <c r="C370" s="296">
        <f t="shared" ca="1" si="74"/>
        <v>28.2699</v>
      </c>
      <c r="D370" s="295"/>
      <c r="E370" s="296">
        <f t="shared" ca="1" si="80"/>
        <v>-9.0909090909090912E-2</v>
      </c>
      <c r="F370" s="296">
        <f t="shared" ca="1" si="71"/>
        <v>-9.0909090909090912E-2</v>
      </c>
      <c r="G370" s="303">
        <f t="shared" ca="1" si="75"/>
        <v>0</v>
      </c>
      <c r="H370" s="296">
        <f t="shared" ca="1" si="76"/>
        <v>28.360800000000001</v>
      </c>
      <c r="I370" s="297">
        <f t="shared" ca="1" si="72"/>
        <v>-28</v>
      </c>
    </row>
    <row r="371" spans="1:9">
      <c r="A371" s="295">
        <f t="shared" si="73"/>
        <v>354</v>
      </c>
      <c r="B371" s="300">
        <f t="shared" si="77"/>
        <v>10745</v>
      </c>
      <c r="C371" s="296">
        <f t="shared" ca="1" si="74"/>
        <v>28.360800000000001</v>
      </c>
      <c r="D371" s="295"/>
      <c r="E371" s="296">
        <f t="shared" ca="1" si="80"/>
        <v>-9.0909090909090912E-2</v>
      </c>
      <c r="F371" s="296">
        <f t="shared" ca="1" si="71"/>
        <v>-9.0909090909090912E-2</v>
      </c>
      <c r="G371" s="303">
        <f t="shared" ca="1" si="75"/>
        <v>0</v>
      </c>
      <c r="H371" s="296">
        <f t="shared" ca="1" si="76"/>
        <v>28.451699999999999</v>
      </c>
      <c r="I371" s="297">
        <f t="shared" ca="1" si="72"/>
        <v>-28</v>
      </c>
    </row>
    <row r="372" spans="1:9">
      <c r="A372" s="295">
        <f t="shared" si="73"/>
        <v>355</v>
      </c>
      <c r="B372" s="300">
        <f t="shared" si="77"/>
        <v>10775</v>
      </c>
      <c r="C372" s="296">
        <f t="shared" ca="1" si="74"/>
        <v>28.451699999999999</v>
      </c>
      <c r="D372" s="295"/>
      <c r="E372" s="296">
        <f t="shared" ca="1" si="80"/>
        <v>-9.0909090909090912E-2</v>
      </c>
      <c r="F372" s="296">
        <f t="shared" ca="1" si="71"/>
        <v>-9.0909090909090912E-2</v>
      </c>
      <c r="G372" s="303">
        <f t="shared" ca="1" si="75"/>
        <v>0</v>
      </c>
      <c r="H372" s="296">
        <f t="shared" ca="1" si="76"/>
        <v>28.5426</v>
      </c>
      <c r="I372" s="297">
        <f t="shared" ca="1" si="72"/>
        <v>-29</v>
      </c>
    </row>
    <row r="373" spans="1:9">
      <c r="A373" s="295">
        <f t="shared" si="73"/>
        <v>356</v>
      </c>
      <c r="B373" s="300">
        <f t="shared" si="77"/>
        <v>10806</v>
      </c>
      <c r="C373" s="296">
        <f t="shared" ca="1" si="74"/>
        <v>28.5426</v>
      </c>
      <c r="D373" s="295"/>
      <c r="E373" s="296">
        <f t="shared" ca="1" si="80"/>
        <v>-9.0909090909090912E-2</v>
      </c>
      <c r="F373" s="296">
        <f t="shared" ca="1" si="71"/>
        <v>-9.0909090909090912E-2</v>
      </c>
      <c r="G373" s="303">
        <f t="shared" ca="1" si="75"/>
        <v>0</v>
      </c>
      <c r="H373" s="296">
        <f t="shared" ca="1" si="76"/>
        <v>28.633500000000002</v>
      </c>
      <c r="I373" s="297">
        <f t="shared" ca="1" si="72"/>
        <v>-29</v>
      </c>
    </row>
    <row r="374" spans="1:9">
      <c r="A374" s="295">
        <f t="shared" si="73"/>
        <v>357</v>
      </c>
      <c r="B374" s="300">
        <f t="shared" si="77"/>
        <v>10837</v>
      </c>
      <c r="C374" s="296">
        <f t="shared" ca="1" si="74"/>
        <v>28.633500000000002</v>
      </c>
      <c r="D374" s="295"/>
      <c r="E374" s="296">
        <f t="shared" ca="1" si="80"/>
        <v>-9.0909090909090912E-2</v>
      </c>
      <c r="F374" s="296">
        <f t="shared" ca="1" si="71"/>
        <v>-9.0909090909090912E-2</v>
      </c>
      <c r="G374" s="303">
        <f t="shared" ca="1" si="75"/>
        <v>0</v>
      </c>
      <c r="H374" s="296">
        <f t="shared" ca="1" si="76"/>
        <v>28.724399999999999</v>
      </c>
      <c r="I374" s="297">
        <f t="shared" ca="1" si="72"/>
        <v>-29</v>
      </c>
    </row>
    <row r="375" spans="1:9">
      <c r="A375" s="295">
        <f t="shared" si="73"/>
        <v>358</v>
      </c>
      <c r="B375" s="300">
        <f t="shared" si="77"/>
        <v>10867</v>
      </c>
      <c r="C375" s="296">
        <f t="shared" ca="1" si="74"/>
        <v>28.724399999999999</v>
      </c>
      <c r="D375" s="295"/>
      <c r="E375" s="296">
        <f t="shared" ca="1" si="80"/>
        <v>-9.0909090909090912E-2</v>
      </c>
      <c r="F375" s="296">
        <f t="shared" ca="1" si="71"/>
        <v>-9.0909090909090912E-2</v>
      </c>
      <c r="G375" s="303">
        <f t="shared" ca="1" si="75"/>
        <v>0</v>
      </c>
      <c r="H375" s="296">
        <f t="shared" ca="1" si="76"/>
        <v>28.815300000000001</v>
      </c>
      <c r="I375" s="297">
        <f t="shared" ca="1" si="72"/>
        <v>-29</v>
      </c>
    </row>
    <row r="376" spans="1:9">
      <c r="A376" s="295">
        <f t="shared" si="73"/>
        <v>359</v>
      </c>
      <c r="B376" s="300">
        <f t="shared" si="77"/>
        <v>10898</v>
      </c>
      <c r="C376" s="296">
        <f t="shared" ca="1" si="74"/>
        <v>28.815300000000001</v>
      </c>
      <c r="D376" s="295"/>
      <c r="E376" s="296">
        <f t="shared" ca="1" si="80"/>
        <v>-9.0909090909090912E-2</v>
      </c>
      <c r="F376" s="296">
        <f t="shared" ca="1" si="71"/>
        <v>-9.0909090909090912E-2</v>
      </c>
      <c r="G376" s="303">
        <f t="shared" ca="1" si="75"/>
        <v>0</v>
      </c>
      <c r="H376" s="296">
        <f t="shared" ca="1" si="76"/>
        <v>28.906199999999998</v>
      </c>
      <c r="I376" s="297">
        <f t="shared" ca="1" si="72"/>
        <v>-29</v>
      </c>
    </row>
    <row r="377" spans="1:9">
      <c r="A377" s="295">
        <f t="shared" si="73"/>
        <v>360</v>
      </c>
      <c r="B377" s="300">
        <f t="shared" si="77"/>
        <v>10928</v>
      </c>
      <c r="C377" s="296">
        <f t="shared" ca="1" si="74"/>
        <v>28.906199999999998</v>
      </c>
      <c r="D377" s="296">
        <f ca="1">IF(H377&lt;0,0,(K47-L47)/11)</f>
        <v>-9.0909090909090912E-2</v>
      </c>
      <c r="E377" s="296">
        <f t="shared" ca="1" si="80"/>
        <v>-9.0909090909090912E-2</v>
      </c>
      <c r="F377" s="296">
        <f t="shared" ca="1" si="71"/>
        <v>-9.0909090909090912E-2</v>
      </c>
      <c r="G377" s="303">
        <f t="shared" ca="1" si="75"/>
        <v>0</v>
      </c>
      <c r="H377" s="296">
        <f t="shared" ca="1" si="76"/>
        <v>28.9971</v>
      </c>
      <c r="I377" s="297">
        <f t="shared" ca="1" si="72"/>
        <v>-29</v>
      </c>
    </row>
    <row r="378" spans="1:9">
      <c r="A378" s="295">
        <f t="shared" si="73"/>
        <v>361</v>
      </c>
      <c r="B378" s="300">
        <f t="shared" si="77"/>
        <v>10959</v>
      </c>
      <c r="C378" s="296">
        <f t="shared" ca="1" si="74"/>
        <v>28.9971</v>
      </c>
      <c r="D378" s="295"/>
      <c r="E378" s="296">
        <f>IF($D$10=1,
 IF(OR(MONTH(B378)=MONTH(EDATE($D$7,0)),MONTH(B378)=MONTH(EDATE($D$7,1)),MONTH(B378)=MONTH(EDATE($D$7,2)),MONTH(B378)=MONTH(EDATE($D$7,3)), MONTH(B378)=MONTH(EDATE($D$7,4)),MONTH(B378)=MONTH(EDATE($D$7,5)),MONTH(B378)=MONTH(EDATE($D$7,6)),MONTH(B378)=MONTH(EDATE($D$7,7)),MONTH(B378)=MONTH(EDATE($D$7,8)),MONTH(B378)=MONTH(EDATE($D$7,9)),MONTH(B378)=MONTH(EDATE($D$7,10))),(MIN( $D$377,H377)),0),
IF($D$10=0,
 IF(OR(MONTH(B378)=MONTH(EDATE($D$7,1)),MONTH(B378)=MONTH(EDATE($D$7,2)),MONTH(B378)=MONTH(EDATE($D$7,3)),MONTH(B378)=MONTH(EDATE($D$7,4)), MONTH(B378)=MONTH(EDATE($D$7,5)),MONTH(B378)=MONTH(EDATE($D$7,6)),MONTH(B378)=MONTH(EDATE($D$7,7)),MONTH(B378)=MONTH(EDATE($D$7,8)),MONTH(B378)=MONTH(EDATE($D$7,9)),MONTH(B378)=MONTH(EDATE($D$7,10)),MONTH(B378)=MONTH(EDATE($D$7,11))),(MIN( $D$377,H377)),0)))</f>
        <v>0</v>
      </c>
      <c r="F378" s="296">
        <f t="shared" ca="1" si="71"/>
        <v>0</v>
      </c>
      <c r="G378" s="303">
        <f t="shared" ca="1" si="75"/>
        <v>0</v>
      </c>
      <c r="H378" s="296">
        <f t="shared" ca="1" si="76"/>
        <v>28.9971</v>
      </c>
      <c r="I378" s="297">
        <f t="shared" ca="1" si="72"/>
        <v>-29</v>
      </c>
    </row>
    <row r="379" spans="1:9">
      <c r="A379" s="295">
        <f t="shared" si="73"/>
        <v>362</v>
      </c>
      <c r="B379" s="300">
        <f t="shared" si="77"/>
        <v>10990</v>
      </c>
      <c r="C379" s="296">
        <f t="shared" ca="1" si="74"/>
        <v>28.9971</v>
      </c>
      <c r="D379" s="295"/>
      <c r="E379" s="296">
        <f t="shared" ref="E379:E389" ca="1" si="81">IF($D$10=1,
 IF(OR(MONTH(B379)=MONTH(EDATE($D$7,0)),MONTH(B379)=MONTH(EDATE($D$7,1)),MONTH(B379)=MONTH(EDATE($D$7,2)),MONTH(B379)=MONTH(EDATE($D$7,3)), MONTH(B379)=MONTH(EDATE($D$7,4)),MONTH(B379)=MONTH(EDATE($D$7,5)),MONTH(B379)=MONTH(EDATE($D$7,6)),MONTH(B379)=MONTH(EDATE($D$7,7)),MONTH(B379)=MONTH(EDATE($D$7,8)),MONTH(B379)=MONTH(EDATE($D$7,9)),MONTH(B379)=MONTH(EDATE($D$7,10))),(MIN( $D$377,H378)),0),
IF($D$10=0,
 IF(OR(MONTH(B379)=MONTH(EDATE($D$7,1)),MONTH(B379)=MONTH(EDATE($D$7,2)),MONTH(B379)=MONTH(EDATE($D$7,3)),MONTH(B379)=MONTH(EDATE($D$7,4)), MONTH(B379)=MONTH(EDATE($D$7,5)),MONTH(B379)=MONTH(EDATE($D$7,6)),MONTH(B379)=MONTH(EDATE($D$7,7)),MONTH(B379)=MONTH(EDATE($D$7,8)),MONTH(B379)=MONTH(EDATE($D$7,9)),MONTH(B379)=MONTH(EDATE($D$7,10)),MONTH(B379)=MONTH(EDATE($D$7,11))),(MIN( $D$377,H378)),0)))</f>
        <v>-9.0909090909090912E-2</v>
      </c>
      <c r="F379" s="296">
        <f t="shared" ca="1" si="71"/>
        <v>-9.0909090909090912E-2</v>
      </c>
      <c r="G379" s="303">
        <f t="shared" ca="1" si="75"/>
        <v>0</v>
      </c>
      <c r="H379" s="296">
        <f t="shared" ca="1" si="76"/>
        <v>29.088000000000001</v>
      </c>
      <c r="I379" s="297">
        <f t="shared" ca="1" si="72"/>
        <v>-29</v>
      </c>
    </row>
    <row r="380" spans="1:9">
      <c r="A380" s="295">
        <f t="shared" si="73"/>
        <v>363</v>
      </c>
      <c r="B380" s="300">
        <f t="shared" si="77"/>
        <v>11018</v>
      </c>
      <c r="C380" s="296">
        <f t="shared" ca="1" si="74"/>
        <v>29.088000000000001</v>
      </c>
      <c r="D380" s="295"/>
      <c r="E380" s="296">
        <f t="shared" ca="1" si="81"/>
        <v>-9.0909090909090912E-2</v>
      </c>
      <c r="F380" s="296">
        <f t="shared" ca="1" si="71"/>
        <v>-9.0909090909090912E-2</v>
      </c>
      <c r="G380" s="303">
        <f t="shared" ca="1" si="75"/>
        <v>0</v>
      </c>
      <c r="H380" s="296">
        <f t="shared" ca="1" si="76"/>
        <v>29.178899999999999</v>
      </c>
      <c r="I380" s="297">
        <f t="shared" ca="1" si="72"/>
        <v>-29</v>
      </c>
    </row>
    <row r="381" spans="1:9">
      <c r="A381" s="295">
        <f t="shared" si="73"/>
        <v>364</v>
      </c>
      <c r="B381" s="300">
        <f t="shared" si="77"/>
        <v>11049</v>
      </c>
      <c r="C381" s="296">
        <f t="shared" ca="1" si="74"/>
        <v>29.178899999999999</v>
      </c>
      <c r="D381" s="295"/>
      <c r="E381" s="296">
        <f t="shared" ca="1" si="81"/>
        <v>-9.0909090909090912E-2</v>
      </c>
      <c r="F381" s="296">
        <f t="shared" ca="1" si="71"/>
        <v>-9.0909090909090912E-2</v>
      </c>
      <c r="G381" s="303">
        <f t="shared" ca="1" si="75"/>
        <v>0</v>
      </c>
      <c r="H381" s="296">
        <f t="shared" ca="1" si="76"/>
        <v>29.2698</v>
      </c>
      <c r="I381" s="297">
        <f t="shared" ca="1" si="72"/>
        <v>-29</v>
      </c>
    </row>
    <row r="382" spans="1:9">
      <c r="A382" s="295">
        <f t="shared" si="73"/>
        <v>365</v>
      </c>
      <c r="B382" s="300">
        <f t="shared" si="77"/>
        <v>11079</v>
      </c>
      <c r="C382" s="296">
        <f t="shared" ca="1" si="74"/>
        <v>29.2698</v>
      </c>
      <c r="D382" s="295"/>
      <c r="E382" s="296">
        <f t="shared" ca="1" si="81"/>
        <v>-9.0909090909090912E-2</v>
      </c>
      <c r="F382" s="296">
        <f t="shared" ca="1" si="71"/>
        <v>-9.0909090909090912E-2</v>
      </c>
      <c r="G382" s="303">
        <f t="shared" ca="1" si="75"/>
        <v>0</v>
      </c>
      <c r="H382" s="296">
        <f t="shared" ca="1" si="76"/>
        <v>29.360700000000001</v>
      </c>
      <c r="I382" s="297">
        <f t="shared" ca="1" si="72"/>
        <v>-29</v>
      </c>
    </row>
    <row r="383" spans="1:9">
      <c r="A383" s="295">
        <f t="shared" si="73"/>
        <v>366</v>
      </c>
      <c r="B383" s="300">
        <f t="shared" si="77"/>
        <v>11110</v>
      </c>
      <c r="C383" s="296">
        <f t="shared" ca="1" si="74"/>
        <v>29.360700000000001</v>
      </c>
      <c r="D383" s="295"/>
      <c r="E383" s="296">
        <f t="shared" ca="1" si="81"/>
        <v>-9.0909090909090912E-2</v>
      </c>
      <c r="F383" s="296">
        <f t="shared" ca="1" si="71"/>
        <v>-9.0909090909090912E-2</v>
      </c>
      <c r="G383" s="303">
        <f t="shared" ca="1" si="75"/>
        <v>0</v>
      </c>
      <c r="H383" s="296">
        <f t="shared" ca="1" si="76"/>
        <v>29.451599999999999</v>
      </c>
      <c r="I383" s="297">
        <f t="shared" ca="1" si="72"/>
        <v>-29</v>
      </c>
    </row>
    <row r="384" spans="1:9">
      <c r="A384" s="295">
        <f t="shared" si="73"/>
        <v>367</v>
      </c>
      <c r="B384" s="300">
        <f t="shared" si="77"/>
        <v>11140</v>
      </c>
      <c r="C384" s="296">
        <f t="shared" ca="1" si="74"/>
        <v>29.451599999999999</v>
      </c>
      <c r="D384" s="295"/>
      <c r="E384" s="296">
        <f t="shared" ca="1" si="81"/>
        <v>-9.0909090909090912E-2</v>
      </c>
      <c r="F384" s="296">
        <f t="shared" ca="1" si="71"/>
        <v>-9.0909090909090912E-2</v>
      </c>
      <c r="G384" s="303">
        <f t="shared" ca="1" si="75"/>
        <v>0</v>
      </c>
      <c r="H384" s="296">
        <f t="shared" ca="1" si="76"/>
        <v>29.5425</v>
      </c>
      <c r="I384" s="297">
        <f t="shared" ca="1" si="72"/>
        <v>-30</v>
      </c>
    </row>
    <row r="385" spans="1:9">
      <c r="A385" s="295">
        <f t="shared" si="73"/>
        <v>368</v>
      </c>
      <c r="B385" s="300">
        <f t="shared" si="77"/>
        <v>11171</v>
      </c>
      <c r="C385" s="296">
        <f t="shared" ca="1" si="74"/>
        <v>29.5425</v>
      </c>
      <c r="D385" s="295"/>
      <c r="E385" s="296">
        <f t="shared" ca="1" si="81"/>
        <v>-9.0909090909090912E-2</v>
      </c>
      <c r="F385" s="296">
        <f t="shared" ca="1" si="71"/>
        <v>-9.0909090909090912E-2</v>
      </c>
      <c r="G385" s="303">
        <f t="shared" ca="1" si="75"/>
        <v>0</v>
      </c>
      <c r="H385" s="296">
        <f t="shared" ca="1" si="76"/>
        <v>29.633400000000002</v>
      </c>
      <c r="I385" s="297">
        <f t="shared" ca="1" si="72"/>
        <v>-30</v>
      </c>
    </row>
    <row r="386" spans="1:9">
      <c r="A386" s="295">
        <f t="shared" si="73"/>
        <v>369</v>
      </c>
      <c r="B386" s="300">
        <f t="shared" si="77"/>
        <v>11202</v>
      </c>
      <c r="C386" s="296">
        <f t="shared" ca="1" si="74"/>
        <v>29.633400000000002</v>
      </c>
      <c r="D386" s="295"/>
      <c r="E386" s="296">
        <f t="shared" ca="1" si="81"/>
        <v>-9.0909090909090912E-2</v>
      </c>
      <c r="F386" s="296">
        <f t="shared" ca="1" si="71"/>
        <v>-9.0909090909090912E-2</v>
      </c>
      <c r="G386" s="303">
        <f t="shared" ca="1" si="75"/>
        <v>0</v>
      </c>
      <c r="H386" s="296">
        <f t="shared" ca="1" si="76"/>
        <v>29.724299999999999</v>
      </c>
      <c r="I386" s="297">
        <f t="shared" ca="1" si="72"/>
        <v>-30</v>
      </c>
    </row>
    <row r="387" spans="1:9">
      <c r="A387" s="295">
        <f t="shared" si="73"/>
        <v>370</v>
      </c>
      <c r="B387" s="300">
        <f t="shared" si="77"/>
        <v>11232</v>
      </c>
      <c r="C387" s="296">
        <f t="shared" ca="1" si="74"/>
        <v>29.724299999999999</v>
      </c>
      <c r="D387" s="295"/>
      <c r="E387" s="296">
        <f t="shared" ca="1" si="81"/>
        <v>-9.0909090909090912E-2</v>
      </c>
      <c r="F387" s="296">
        <f t="shared" ca="1" si="71"/>
        <v>-9.0909090909090912E-2</v>
      </c>
      <c r="G387" s="303">
        <f t="shared" ca="1" si="75"/>
        <v>0</v>
      </c>
      <c r="H387" s="296">
        <f t="shared" ca="1" si="76"/>
        <v>29.815200000000001</v>
      </c>
      <c r="I387" s="297">
        <f t="shared" ca="1" si="72"/>
        <v>-30</v>
      </c>
    </row>
    <row r="388" spans="1:9">
      <c r="A388" s="295">
        <f t="shared" si="73"/>
        <v>371</v>
      </c>
      <c r="B388" s="300">
        <f t="shared" si="77"/>
        <v>11263</v>
      </c>
      <c r="C388" s="296">
        <f t="shared" ca="1" si="74"/>
        <v>29.815200000000001</v>
      </c>
      <c r="D388" s="295"/>
      <c r="E388" s="296">
        <f t="shared" ca="1" si="81"/>
        <v>-9.0909090909090912E-2</v>
      </c>
      <c r="F388" s="296">
        <f t="shared" ca="1" si="71"/>
        <v>-9.0909090909090912E-2</v>
      </c>
      <c r="G388" s="303">
        <f t="shared" ca="1" si="75"/>
        <v>0</v>
      </c>
      <c r="H388" s="296">
        <f t="shared" ca="1" si="76"/>
        <v>29.906099999999999</v>
      </c>
      <c r="I388" s="297">
        <f t="shared" ca="1" si="72"/>
        <v>-30</v>
      </c>
    </row>
    <row r="389" spans="1:9">
      <c r="A389" s="295">
        <f t="shared" si="73"/>
        <v>372</v>
      </c>
      <c r="B389" s="300">
        <f t="shared" si="77"/>
        <v>11293</v>
      </c>
      <c r="C389" s="296">
        <f t="shared" ca="1" si="74"/>
        <v>29.906099999999999</v>
      </c>
      <c r="D389" s="296">
        <f ca="1">IF(H389&lt;0,0,(K48-L48)/11)</f>
        <v>-9.0909090909090912E-2</v>
      </c>
      <c r="E389" s="296">
        <f t="shared" ca="1" si="81"/>
        <v>-9.0909090909090912E-2</v>
      </c>
      <c r="F389" s="296">
        <f t="shared" ca="1" si="71"/>
        <v>-9.0909090909090912E-2</v>
      </c>
      <c r="G389" s="303">
        <f t="shared" ca="1" si="75"/>
        <v>0</v>
      </c>
      <c r="H389" s="296">
        <f t="shared" ca="1" si="76"/>
        <v>29.997</v>
      </c>
      <c r="I389" s="297">
        <f t="shared" ca="1" si="72"/>
        <v>-30</v>
      </c>
    </row>
    <row r="390" spans="1:9">
      <c r="A390" s="295">
        <f t="shared" si="73"/>
        <v>373</v>
      </c>
      <c r="B390" s="300">
        <f t="shared" si="77"/>
        <v>11324</v>
      </c>
      <c r="C390" s="296">
        <f t="shared" ca="1" si="74"/>
        <v>29.997</v>
      </c>
      <c r="D390" s="295"/>
      <c r="E390" s="296">
        <f>IF($D$10=1,
 IF(OR(MONTH(B390)=MONTH(EDATE($D$7,0)),MONTH(B390)=MONTH(EDATE($D$7,1)),MONTH(B390)=MONTH(EDATE($D$7,2)),MONTH(B390)=MONTH(EDATE($D$7,3)), MONTH(B390)=MONTH(EDATE($D$7,4)),MONTH(B390)=MONTH(EDATE($D$7,5)),MONTH(B390)=MONTH(EDATE($D$7,6)),MONTH(B390)=MONTH(EDATE($D$7,7)),MONTH(B390)=MONTH(EDATE($D$7,8)),MONTH(B390)=MONTH(EDATE($D$7,9)),MONTH(B390)=MONTH(EDATE($D$7,10))),(MIN( $D$389,H389)),0),
IF($D$10=0,
 IF(OR(MONTH(B390)=MONTH(EDATE($D$7,1)),MONTH(B390)=MONTH(EDATE($D$7,2)),MONTH(B390)=MONTH(EDATE($D$7,3)),MONTH(B390)=MONTH(EDATE($D$7,4)), MONTH(B390)=MONTH(EDATE($D$7,5)),MONTH(B390)=MONTH(EDATE($D$7,6)),MONTH(B390)=MONTH(EDATE($D$7,7)),MONTH(B390)=MONTH(EDATE($D$7,8)),MONTH(B390)=MONTH(EDATE($D$7,9)),MONTH(B390)=MONTH(EDATE($D$7,10)),MONTH(B390)=MONTH(EDATE($D$7,11))),(MIN( $D$389,H389)),0)))</f>
        <v>0</v>
      </c>
      <c r="F390" s="296">
        <f t="shared" ca="1" si="71"/>
        <v>0</v>
      </c>
      <c r="G390" s="303">
        <f t="shared" ca="1" si="75"/>
        <v>0</v>
      </c>
      <c r="H390" s="296">
        <f t="shared" ca="1" si="76"/>
        <v>29.997</v>
      </c>
      <c r="I390" s="297">
        <f t="shared" ca="1" si="72"/>
        <v>-30</v>
      </c>
    </row>
    <row r="391" spans="1:9">
      <c r="A391" s="295">
        <f t="shared" si="73"/>
        <v>374</v>
      </c>
      <c r="B391" s="300">
        <f t="shared" si="77"/>
        <v>11355</v>
      </c>
      <c r="C391" s="296">
        <f t="shared" ca="1" si="74"/>
        <v>29.997</v>
      </c>
      <c r="D391" s="295"/>
      <c r="E391" s="296">
        <f t="shared" ref="E391:E401" ca="1" si="82">IF($D$10=1,
 IF(OR(MONTH(B391)=MONTH(EDATE($D$7,0)),MONTH(B391)=MONTH(EDATE($D$7,1)),MONTH(B391)=MONTH(EDATE($D$7,2)),MONTH(B391)=MONTH(EDATE($D$7,3)), MONTH(B391)=MONTH(EDATE($D$7,4)),MONTH(B391)=MONTH(EDATE($D$7,5)),MONTH(B391)=MONTH(EDATE($D$7,6)),MONTH(B391)=MONTH(EDATE($D$7,7)),MONTH(B391)=MONTH(EDATE($D$7,8)),MONTH(B391)=MONTH(EDATE($D$7,9)),MONTH(B391)=MONTH(EDATE($D$7,10))),(MIN( $D$389,H390)),0),
IF($D$10=0,
 IF(OR(MONTH(B391)=MONTH(EDATE($D$7,1)),MONTH(B391)=MONTH(EDATE($D$7,2)),MONTH(B391)=MONTH(EDATE($D$7,3)),MONTH(B391)=MONTH(EDATE($D$7,4)), MONTH(B391)=MONTH(EDATE($D$7,5)),MONTH(B391)=MONTH(EDATE($D$7,6)),MONTH(B391)=MONTH(EDATE($D$7,7)),MONTH(B391)=MONTH(EDATE($D$7,8)),MONTH(B391)=MONTH(EDATE($D$7,9)),MONTH(B391)=MONTH(EDATE($D$7,10)),MONTH(B391)=MONTH(EDATE($D$7,11))),(MIN( $D$389,H390)),0)))</f>
        <v>-9.0909090909090912E-2</v>
      </c>
      <c r="F391" s="296">
        <f t="shared" ca="1" si="71"/>
        <v>-9.0909090909090912E-2</v>
      </c>
      <c r="G391" s="303">
        <f t="shared" ca="1" si="75"/>
        <v>0</v>
      </c>
      <c r="H391" s="296">
        <f t="shared" ca="1" si="76"/>
        <v>30.087900000000001</v>
      </c>
      <c r="I391" s="297">
        <f t="shared" ca="1" si="72"/>
        <v>-30</v>
      </c>
    </row>
    <row r="392" spans="1:9">
      <c r="A392" s="295">
        <f t="shared" si="73"/>
        <v>375</v>
      </c>
      <c r="B392" s="300">
        <f t="shared" si="77"/>
        <v>11383</v>
      </c>
      <c r="C392" s="296">
        <f t="shared" ca="1" si="74"/>
        <v>30.087900000000001</v>
      </c>
      <c r="D392" s="295"/>
      <c r="E392" s="296">
        <f t="shared" ca="1" si="82"/>
        <v>-9.0909090909090912E-2</v>
      </c>
      <c r="F392" s="296">
        <f t="shared" ca="1" si="71"/>
        <v>-9.0909090909090912E-2</v>
      </c>
      <c r="G392" s="303">
        <f t="shared" ca="1" si="75"/>
        <v>0</v>
      </c>
      <c r="H392" s="296">
        <f t="shared" ca="1" si="76"/>
        <v>30.178799999999999</v>
      </c>
      <c r="I392" s="297">
        <f t="shared" ca="1" si="72"/>
        <v>-30</v>
      </c>
    </row>
    <row r="393" spans="1:9">
      <c r="A393" s="295">
        <f t="shared" si="73"/>
        <v>376</v>
      </c>
      <c r="B393" s="300">
        <f t="shared" si="77"/>
        <v>11414</v>
      </c>
      <c r="C393" s="296">
        <f t="shared" ca="1" si="74"/>
        <v>30.178799999999999</v>
      </c>
      <c r="D393" s="295"/>
      <c r="E393" s="296">
        <f t="shared" ca="1" si="82"/>
        <v>-9.0909090909090912E-2</v>
      </c>
      <c r="F393" s="296">
        <f t="shared" ca="1" si="71"/>
        <v>-9.0909090909090912E-2</v>
      </c>
      <c r="G393" s="303">
        <f t="shared" ca="1" si="75"/>
        <v>0</v>
      </c>
      <c r="H393" s="296">
        <f t="shared" ca="1" si="76"/>
        <v>30.2697</v>
      </c>
      <c r="I393" s="297">
        <f t="shared" ca="1" si="72"/>
        <v>-30</v>
      </c>
    </row>
    <row r="394" spans="1:9">
      <c r="A394" s="295">
        <f t="shared" si="73"/>
        <v>377</v>
      </c>
      <c r="B394" s="300">
        <f t="shared" si="77"/>
        <v>11444</v>
      </c>
      <c r="C394" s="296">
        <f t="shared" ca="1" si="74"/>
        <v>30.2697</v>
      </c>
      <c r="D394" s="295"/>
      <c r="E394" s="296">
        <f t="shared" ca="1" si="82"/>
        <v>-9.0909090909090912E-2</v>
      </c>
      <c r="F394" s="296">
        <f t="shared" ca="1" si="71"/>
        <v>-9.0909090909090912E-2</v>
      </c>
      <c r="G394" s="303">
        <f t="shared" ca="1" si="75"/>
        <v>0</v>
      </c>
      <c r="H394" s="296">
        <f t="shared" ca="1" si="76"/>
        <v>30.360600000000002</v>
      </c>
      <c r="I394" s="297">
        <f t="shared" ca="1" si="72"/>
        <v>-30</v>
      </c>
    </row>
    <row r="395" spans="1:9">
      <c r="A395" s="295">
        <f t="shared" si="73"/>
        <v>378</v>
      </c>
      <c r="B395" s="300">
        <f t="shared" si="77"/>
        <v>11475</v>
      </c>
      <c r="C395" s="296">
        <f t="shared" ca="1" si="74"/>
        <v>30.360600000000002</v>
      </c>
      <c r="D395" s="295"/>
      <c r="E395" s="296">
        <f t="shared" ca="1" si="82"/>
        <v>-9.0909090909090912E-2</v>
      </c>
      <c r="F395" s="296">
        <f t="shared" ca="1" si="71"/>
        <v>-9.0909090909090912E-2</v>
      </c>
      <c r="G395" s="303">
        <f t="shared" ca="1" si="75"/>
        <v>0</v>
      </c>
      <c r="H395" s="296">
        <f t="shared" ca="1" si="76"/>
        <v>30.451499999999999</v>
      </c>
      <c r="I395" s="297">
        <f t="shared" ca="1" si="72"/>
        <v>-30</v>
      </c>
    </row>
    <row r="396" spans="1:9">
      <c r="A396" s="295">
        <f t="shared" si="73"/>
        <v>379</v>
      </c>
      <c r="B396" s="300">
        <f t="shared" si="77"/>
        <v>11505</v>
      </c>
      <c r="C396" s="296">
        <f t="shared" ca="1" si="74"/>
        <v>30.451499999999999</v>
      </c>
      <c r="D396" s="295"/>
      <c r="E396" s="296">
        <f t="shared" ca="1" si="82"/>
        <v>-9.0909090909090912E-2</v>
      </c>
      <c r="F396" s="296">
        <f t="shared" ca="1" si="71"/>
        <v>-9.0909090909090912E-2</v>
      </c>
      <c r="G396" s="303">
        <f t="shared" ca="1" si="75"/>
        <v>0</v>
      </c>
      <c r="H396" s="296">
        <f t="shared" ca="1" si="76"/>
        <v>30.542400000000001</v>
      </c>
      <c r="I396" s="297">
        <f t="shared" ca="1" si="72"/>
        <v>-31</v>
      </c>
    </row>
    <row r="397" spans="1:9">
      <c r="A397" s="295">
        <f t="shared" si="73"/>
        <v>380</v>
      </c>
      <c r="B397" s="300">
        <f t="shared" si="77"/>
        <v>11536</v>
      </c>
      <c r="C397" s="296">
        <f t="shared" ca="1" si="74"/>
        <v>30.542400000000001</v>
      </c>
      <c r="D397" s="295"/>
      <c r="E397" s="296">
        <f t="shared" ca="1" si="82"/>
        <v>-9.0909090909090912E-2</v>
      </c>
      <c r="F397" s="296">
        <f t="shared" ca="1" si="71"/>
        <v>-9.0909090909090912E-2</v>
      </c>
      <c r="G397" s="303">
        <f t="shared" ca="1" si="75"/>
        <v>0</v>
      </c>
      <c r="H397" s="296">
        <f t="shared" ca="1" si="76"/>
        <v>30.633299999999998</v>
      </c>
      <c r="I397" s="297">
        <f t="shared" ca="1" si="72"/>
        <v>-31</v>
      </c>
    </row>
    <row r="398" spans="1:9">
      <c r="A398" s="295">
        <f t="shared" si="73"/>
        <v>381</v>
      </c>
      <c r="B398" s="300">
        <f t="shared" si="77"/>
        <v>11567</v>
      </c>
      <c r="C398" s="296">
        <f t="shared" ca="1" si="74"/>
        <v>30.633299999999998</v>
      </c>
      <c r="D398" s="295"/>
      <c r="E398" s="296">
        <f t="shared" ca="1" si="82"/>
        <v>-9.0909090909090912E-2</v>
      </c>
      <c r="F398" s="296">
        <f t="shared" ca="1" si="71"/>
        <v>-9.0909090909090912E-2</v>
      </c>
      <c r="G398" s="303">
        <f t="shared" ca="1" si="75"/>
        <v>0</v>
      </c>
      <c r="H398" s="296">
        <f t="shared" ca="1" si="76"/>
        <v>30.7242</v>
      </c>
      <c r="I398" s="297">
        <f t="shared" ca="1" si="72"/>
        <v>-31</v>
      </c>
    </row>
    <row r="399" spans="1:9">
      <c r="A399" s="295">
        <f t="shared" si="73"/>
        <v>382</v>
      </c>
      <c r="B399" s="300">
        <f t="shared" si="77"/>
        <v>11597</v>
      </c>
      <c r="C399" s="296">
        <f t="shared" ca="1" si="74"/>
        <v>30.7242</v>
      </c>
      <c r="D399" s="295"/>
      <c r="E399" s="296">
        <f t="shared" ca="1" si="82"/>
        <v>-9.0909090909090912E-2</v>
      </c>
      <c r="F399" s="296">
        <f t="shared" ca="1" si="71"/>
        <v>-9.0909090909090912E-2</v>
      </c>
      <c r="G399" s="303">
        <f t="shared" ca="1" si="75"/>
        <v>0</v>
      </c>
      <c r="H399" s="296">
        <f t="shared" ca="1" si="76"/>
        <v>30.815100000000001</v>
      </c>
      <c r="I399" s="297">
        <f t="shared" ca="1" si="72"/>
        <v>-31</v>
      </c>
    </row>
    <row r="400" spans="1:9">
      <c r="A400" s="295">
        <f t="shared" si="73"/>
        <v>383</v>
      </c>
      <c r="B400" s="300">
        <f t="shared" si="77"/>
        <v>11628</v>
      </c>
      <c r="C400" s="296">
        <f t="shared" ca="1" si="74"/>
        <v>30.815100000000001</v>
      </c>
      <c r="D400" s="295"/>
      <c r="E400" s="296">
        <f t="shared" ca="1" si="82"/>
        <v>-9.0909090909090912E-2</v>
      </c>
      <c r="F400" s="296">
        <f t="shared" ca="1" si="71"/>
        <v>-9.0909090909090912E-2</v>
      </c>
      <c r="G400" s="303">
        <f t="shared" ca="1" si="75"/>
        <v>0</v>
      </c>
      <c r="H400" s="296">
        <f t="shared" ca="1" si="76"/>
        <v>30.905999999999999</v>
      </c>
      <c r="I400" s="297">
        <f t="shared" ca="1" si="72"/>
        <v>-31</v>
      </c>
    </row>
    <row r="401" spans="1:9">
      <c r="A401" s="295">
        <f t="shared" si="73"/>
        <v>384</v>
      </c>
      <c r="B401" s="300">
        <f t="shared" si="77"/>
        <v>11658</v>
      </c>
      <c r="C401" s="296">
        <f t="shared" ca="1" si="74"/>
        <v>30.905999999999999</v>
      </c>
      <c r="D401" s="296">
        <f ca="1">IF(H401&lt;0,0,(K49-L49)/11)</f>
        <v>-9.0909090909090912E-2</v>
      </c>
      <c r="E401" s="296">
        <f t="shared" ca="1" si="82"/>
        <v>-9.0909090909090912E-2</v>
      </c>
      <c r="F401" s="296">
        <f t="shared" ca="1" si="71"/>
        <v>-9.0909090909090912E-2</v>
      </c>
      <c r="G401" s="303">
        <f t="shared" ca="1" si="75"/>
        <v>0</v>
      </c>
      <c r="H401" s="296">
        <f t="shared" ca="1" si="76"/>
        <v>30.9969</v>
      </c>
      <c r="I401" s="297">
        <f t="shared" ca="1" si="72"/>
        <v>-31</v>
      </c>
    </row>
    <row r="402" spans="1:9">
      <c r="A402" s="295">
        <f t="shared" si="73"/>
        <v>385</v>
      </c>
      <c r="B402" s="300">
        <f t="shared" si="77"/>
        <v>11689</v>
      </c>
      <c r="C402" s="296">
        <f t="shared" ca="1" si="74"/>
        <v>30.9969</v>
      </c>
      <c r="D402" s="295"/>
      <c r="E402" s="296">
        <f>IF($D$10=1,
 IF(OR(MONTH(B402)=MONTH(EDATE($D$7,0)),MONTH(B402)=MONTH(EDATE($D$7,1)),MONTH(B402)=MONTH(EDATE($D$7,2)),MONTH(B402)=MONTH(EDATE($D$7,3)), MONTH(B402)=MONTH(EDATE($D$7,4)),MONTH(B402)=MONTH(EDATE($D$7,5)),MONTH(B402)=MONTH(EDATE($D$7,6)),MONTH(B402)=MONTH(EDATE($D$7,7)),MONTH(B402)=MONTH(EDATE($D$7,8)),MONTH(B402)=MONTH(EDATE($D$7,9)),MONTH(B402)=MONTH(EDATE($D$7,10))),(MIN( $D$401,H401)),0),
IF($D$10=0,
 IF(OR(MONTH(B402)=MONTH(EDATE($D$7,1)),MONTH(B402)=MONTH(EDATE($D$7,2)),MONTH(B402)=MONTH(EDATE($D$7,3)),MONTH(B402)=MONTH(EDATE($D$7,4)), MONTH(B402)=MONTH(EDATE($D$7,5)),MONTH(B402)=MONTH(EDATE($D$7,6)),MONTH(B402)=MONTH(EDATE($D$7,7)),MONTH(B402)=MONTH(EDATE($D$7,8)),MONTH(B402)=MONTH(EDATE($D$7,9)),MONTH(B402)=MONTH(EDATE($D$7,10)),MONTH(B402)=MONTH(EDATE($D$7,11))),(MIN( $D$401,H401)),0)))</f>
        <v>0</v>
      </c>
      <c r="F402" s="296">
        <f t="shared" ref="F402:F465" ca="1" si="83">IF(E402="","",E402-G402)</f>
        <v>0</v>
      </c>
      <c r="G402" s="303">
        <f t="shared" ca="1" si="75"/>
        <v>0</v>
      </c>
      <c r="H402" s="296">
        <f t="shared" ca="1" si="76"/>
        <v>30.9969</v>
      </c>
      <c r="I402" s="297">
        <f t="shared" ref="I402:I465" ca="1" si="84">ROUND((D402-H402),0)</f>
        <v>-31</v>
      </c>
    </row>
    <row r="403" spans="1:9">
      <c r="A403" s="295">
        <f t="shared" ref="A403:A466" si="85">IF(A402="","",IF(A402=$D$6,"",A402+1))</f>
        <v>386</v>
      </c>
      <c r="B403" s="300">
        <f t="shared" si="77"/>
        <v>11720</v>
      </c>
      <c r="C403" s="296">
        <f t="shared" ref="C403:C466" ca="1" si="86">IF(H402=0,0,H402)</f>
        <v>30.9969</v>
      </c>
      <c r="D403" s="295"/>
      <c r="E403" s="296">
        <f t="shared" ref="E403:E413" ca="1" si="87">IF($D$10=1,
 IF(OR(MONTH(B403)=MONTH(EDATE($D$7,0)),MONTH(B403)=MONTH(EDATE($D$7,1)),MONTH(B403)=MONTH(EDATE($D$7,2)),MONTH(B403)=MONTH(EDATE($D$7,3)), MONTH(B403)=MONTH(EDATE($D$7,4)),MONTH(B403)=MONTH(EDATE($D$7,5)),MONTH(B403)=MONTH(EDATE($D$7,6)),MONTH(B403)=MONTH(EDATE($D$7,7)),MONTH(B403)=MONTH(EDATE($D$7,8)),MONTH(B403)=MONTH(EDATE($D$7,9)),MONTH(B403)=MONTH(EDATE($D$7,10))),(MIN( $D$401,H402)),0),
IF($D$10=0,
 IF(OR(MONTH(B403)=MONTH(EDATE($D$7,1)),MONTH(B403)=MONTH(EDATE($D$7,2)),MONTH(B403)=MONTH(EDATE($D$7,3)),MONTH(B403)=MONTH(EDATE($D$7,4)), MONTH(B403)=MONTH(EDATE($D$7,5)),MONTH(B403)=MONTH(EDATE($D$7,6)),MONTH(B403)=MONTH(EDATE($D$7,7)),MONTH(B403)=MONTH(EDATE($D$7,8)),MONTH(B403)=MONTH(EDATE($D$7,9)),MONTH(B403)=MONTH(EDATE($D$7,10)),MONTH(B403)=MONTH(EDATE($D$7,11))),(MIN( $D$401,H402)),0)))</f>
        <v>-9.0909090909090912E-2</v>
      </c>
      <c r="F403" s="296">
        <f t="shared" ca="1" si="83"/>
        <v>-9.0909090909090912E-2</v>
      </c>
      <c r="G403" s="303">
        <f t="shared" ref="G403:G466" ca="1" si="88">ROUND((C403-E403)*$D$5,3)</f>
        <v>0</v>
      </c>
      <c r="H403" s="296">
        <f t="shared" ref="H403:H466" ca="1" si="89">IF(E403="","",ROUND(H402-F403,4))</f>
        <v>31.087800000000001</v>
      </c>
      <c r="I403" s="297">
        <f t="shared" ca="1" si="84"/>
        <v>-31</v>
      </c>
    </row>
    <row r="404" spans="1:9">
      <c r="A404" s="295">
        <f t="shared" si="85"/>
        <v>387</v>
      </c>
      <c r="B404" s="300">
        <f t="shared" ref="B404:B467" si="90">DATE(YEAR(B403),MONTH(B403)+1,1)</f>
        <v>11749</v>
      </c>
      <c r="C404" s="296">
        <f t="shared" ca="1" si="86"/>
        <v>31.087800000000001</v>
      </c>
      <c r="D404" s="295"/>
      <c r="E404" s="296">
        <f t="shared" ca="1" si="87"/>
        <v>-9.0909090909090912E-2</v>
      </c>
      <c r="F404" s="296">
        <f t="shared" ca="1" si="83"/>
        <v>-9.0909090909090912E-2</v>
      </c>
      <c r="G404" s="303">
        <f t="shared" ca="1" si="88"/>
        <v>0</v>
      </c>
      <c r="H404" s="296">
        <f t="shared" ca="1" si="89"/>
        <v>31.178699999999999</v>
      </c>
      <c r="I404" s="297">
        <f t="shared" ca="1" si="84"/>
        <v>-31</v>
      </c>
    </row>
    <row r="405" spans="1:9">
      <c r="A405" s="295">
        <f t="shared" si="85"/>
        <v>388</v>
      </c>
      <c r="B405" s="300">
        <f t="shared" si="90"/>
        <v>11780</v>
      </c>
      <c r="C405" s="296">
        <f t="shared" ca="1" si="86"/>
        <v>31.178699999999999</v>
      </c>
      <c r="D405" s="295"/>
      <c r="E405" s="296">
        <f t="shared" ca="1" si="87"/>
        <v>-9.0909090909090912E-2</v>
      </c>
      <c r="F405" s="296">
        <f t="shared" ca="1" si="83"/>
        <v>-9.0909090909090912E-2</v>
      </c>
      <c r="G405" s="303">
        <f t="shared" ca="1" si="88"/>
        <v>0</v>
      </c>
      <c r="H405" s="296">
        <f t="shared" ca="1" si="89"/>
        <v>31.269600000000001</v>
      </c>
      <c r="I405" s="297">
        <f t="shared" ca="1" si="84"/>
        <v>-31</v>
      </c>
    </row>
    <row r="406" spans="1:9">
      <c r="A406" s="295">
        <f t="shared" si="85"/>
        <v>389</v>
      </c>
      <c r="B406" s="300">
        <f t="shared" si="90"/>
        <v>11810</v>
      </c>
      <c r="C406" s="296">
        <f t="shared" ca="1" si="86"/>
        <v>31.269600000000001</v>
      </c>
      <c r="D406" s="295"/>
      <c r="E406" s="296">
        <f t="shared" ca="1" si="87"/>
        <v>-9.0909090909090912E-2</v>
      </c>
      <c r="F406" s="296">
        <f t="shared" ca="1" si="83"/>
        <v>-9.0909090909090912E-2</v>
      </c>
      <c r="G406" s="303">
        <f t="shared" ca="1" si="88"/>
        <v>0</v>
      </c>
      <c r="H406" s="296">
        <f t="shared" ca="1" si="89"/>
        <v>31.360499999999998</v>
      </c>
      <c r="I406" s="297">
        <f t="shared" ca="1" si="84"/>
        <v>-31</v>
      </c>
    </row>
    <row r="407" spans="1:9">
      <c r="A407" s="295">
        <f t="shared" si="85"/>
        <v>390</v>
      </c>
      <c r="B407" s="300">
        <f t="shared" si="90"/>
        <v>11841</v>
      </c>
      <c r="C407" s="296">
        <f t="shared" ca="1" si="86"/>
        <v>31.360499999999998</v>
      </c>
      <c r="D407" s="295"/>
      <c r="E407" s="296">
        <f t="shared" ca="1" si="87"/>
        <v>-9.0909090909090912E-2</v>
      </c>
      <c r="F407" s="296">
        <f t="shared" ca="1" si="83"/>
        <v>-9.0909090909090912E-2</v>
      </c>
      <c r="G407" s="303">
        <f t="shared" ca="1" si="88"/>
        <v>0</v>
      </c>
      <c r="H407" s="296">
        <f t="shared" ca="1" si="89"/>
        <v>31.4514</v>
      </c>
      <c r="I407" s="297">
        <f t="shared" ca="1" si="84"/>
        <v>-31</v>
      </c>
    </row>
    <row r="408" spans="1:9">
      <c r="A408" s="295">
        <f t="shared" si="85"/>
        <v>391</v>
      </c>
      <c r="B408" s="300">
        <f t="shared" si="90"/>
        <v>11871</v>
      </c>
      <c r="C408" s="296">
        <f t="shared" ca="1" si="86"/>
        <v>31.4514</v>
      </c>
      <c r="D408" s="295"/>
      <c r="E408" s="296">
        <f t="shared" ca="1" si="87"/>
        <v>-9.0909090909090912E-2</v>
      </c>
      <c r="F408" s="296">
        <f t="shared" ca="1" si="83"/>
        <v>-9.0909090909090912E-2</v>
      </c>
      <c r="G408" s="303">
        <f t="shared" ca="1" si="88"/>
        <v>0</v>
      </c>
      <c r="H408" s="296">
        <f t="shared" ca="1" si="89"/>
        <v>31.542300000000001</v>
      </c>
      <c r="I408" s="297">
        <f t="shared" ca="1" si="84"/>
        <v>-32</v>
      </c>
    </row>
    <row r="409" spans="1:9">
      <c r="A409" s="295">
        <f t="shared" si="85"/>
        <v>392</v>
      </c>
      <c r="B409" s="300">
        <f t="shared" si="90"/>
        <v>11902</v>
      </c>
      <c r="C409" s="296">
        <f t="shared" ca="1" si="86"/>
        <v>31.542300000000001</v>
      </c>
      <c r="D409" s="295"/>
      <c r="E409" s="296">
        <f t="shared" ca="1" si="87"/>
        <v>-9.0909090909090912E-2</v>
      </c>
      <c r="F409" s="296">
        <f t="shared" ca="1" si="83"/>
        <v>-9.0909090909090912E-2</v>
      </c>
      <c r="G409" s="303">
        <f t="shared" ca="1" si="88"/>
        <v>0</v>
      </c>
      <c r="H409" s="296">
        <f t="shared" ca="1" si="89"/>
        <v>31.633199999999999</v>
      </c>
      <c r="I409" s="297">
        <f t="shared" ca="1" si="84"/>
        <v>-32</v>
      </c>
    </row>
    <row r="410" spans="1:9">
      <c r="A410" s="295">
        <f t="shared" si="85"/>
        <v>393</v>
      </c>
      <c r="B410" s="300">
        <f t="shared" si="90"/>
        <v>11933</v>
      </c>
      <c r="C410" s="296">
        <f t="shared" ca="1" si="86"/>
        <v>31.633199999999999</v>
      </c>
      <c r="D410" s="295"/>
      <c r="E410" s="296">
        <f t="shared" ca="1" si="87"/>
        <v>-9.0909090909090912E-2</v>
      </c>
      <c r="F410" s="296">
        <f t="shared" ca="1" si="83"/>
        <v>-9.0909090909090912E-2</v>
      </c>
      <c r="G410" s="303">
        <f t="shared" ca="1" si="88"/>
        <v>0</v>
      </c>
      <c r="H410" s="296">
        <f t="shared" ca="1" si="89"/>
        <v>31.7241</v>
      </c>
      <c r="I410" s="297">
        <f t="shared" ca="1" si="84"/>
        <v>-32</v>
      </c>
    </row>
    <row r="411" spans="1:9">
      <c r="A411" s="295">
        <f t="shared" si="85"/>
        <v>394</v>
      </c>
      <c r="B411" s="300">
        <f t="shared" si="90"/>
        <v>11963</v>
      </c>
      <c r="C411" s="296">
        <f t="shared" ca="1" si="86"/>
        <v>31.7241</v>
      </c>
      <c r="D411" s="295"/>
      <c r="E411" s="296">
        <f t="shared" ca="1" si="87"/>
        <v>-9.0909090909090912E-2</v>
      </c>
      <c r="F411" s="296">
        <f t="shared" ca="1" si="83"/>
        <v>-9.0909090909090912E-2</v>
      </c>
      <c r="G411" s="303">
        <f t="shared" ca="1" si="88"/>
        <v>0</v>
      </c>
      <c r="H411" s="296">
        <f t="shared" ca="1" si="89"/>
        <v>31.815000000000001</v>
      </c>
      <c r="I411" s="297">
        <f t="shared" ca="1" si="84"/>
        <v>-32</v>
      </c>
    </row>
    <row r="412" spans="1:9">
      <c r="A412" s="295">
        <f t="shared" si="85"/>
        <v>395</v>
      </c>
      <c r="B412" s="300">
        <f t="shared" si="90"/>
        <v>11994</v>
      </c>
      <c r="C412" s="296">
        <f t="shared" ca="1" si="86"/>
        <v>31.815000000000001</v>
      </c>
      <c r="D412" s="295"/>
      <c r="E412" s="296">
        <f t="shared" ca="1" si="87"/>
        <v>-9.0909090909090912E-2</v>
      </c>
      <c r="F412" s="296">
        <f t="shared" ca="1" si="83"/>
        <v>-9.0909090909090912E-2</v>
      </c>
      <c r="G412" s="303">
        <f t="shared" ca="1" si="88"/>
        <v>0</v>
      </c>
      <c r="H412" s="296">
        <f t="shared" ca="1" si="89"/>
        <v>31.905899999999999</v>
      </c>
      <c r="I412" s="297">
        <f t="shared" ca="1" si="84"/>
        <v>-32</v>
      </c>
    </row>
    <row r="413" spans="1:9">
      <c r="A413" s="295">
        <f t="shared" si="85"/>
        <v>396</v>
      </c>
      <c r="B413" s="300">
        <f t="shared" si="90"/>
        <v>12024</v>
      </c>
      <c r="C413" s="296">
        <f t="shared" ca="1" si="86"/>
        <v>31.905899999999999</v>
      </c>
      <c r="D413" s="296">
        <f ca="1">IF(H413&lt;0,0,(K50-L50)/11)</f>
        <v>-9.0909090909090912E-2</v>
      </c>
      <c r="E413" s="296">
        <f t="shared" ca="1" si="87"/>
        <v>-9.0909090909090912E-2</v>
      </c>
      <c r="F413" s="296">
        <f t="shared" ca="1" si="83"/>
        <v>-9.0909090909090912E-2</v>
      </c>
      <c r="G413" s="303">
        <f t="shared" ca="1" si="88"/>
        <v>0</v>
      </c>
      <c r="H413" s="296">
        <f t="shared" ca="1" si="89"/>
        <v>31.9968</v>
      </c>
      <c r="I413" s="297">
        <f t="shared" ca="1" si="84"/>
        <v>-32</v>
      </c>
    </row>
    <row r="414" spans="1:9">
      <c r="A414" s="295">
        <f t="shared" si="85"/>
        <v>397</v>
      </c>
      <c r="B414" s="300">
        <f t="shared" si="90"/>
        <v>12055</v>
      </c>
      <c r="C414" s="296">
        <f t="shared" ca="1" si="86"/>
        <v>31.9968</v>
      </c>
      <c r="D414" s="295"/>
      <c r="E414" s="296">
        <f>IF($D$10=1,
 IF(OR(MONTH(B414)=MONTH(EDATE($D$7,0)),MONTH(B414)=MONTH(EDATE($D$7,1)),MONTH(B414)=MONTH(EDATE($D$7,2)),MONTH(B414)=MONTH(EDATE($D$7,3)), MONTH(B414)=MONTH(EDATE($D$7,4)),MONTH(B414)=MONTH(EDATE($D$7,5)),MONTH(B414)=MONTH(EDATE($D$7,6)),MONTH(B414)=MONTH(EDATE($D$7,7)),MONTH(B414)=MONTH(EDATE($D$7,8)),MONTH(B414)=MONTH(EDATE($D$7,9)),MONTH(B414)=MONTH(EDATE($D$7,10))),(MIN( $D$413,H413)),0),
IF($D$10=0,
 IF(OR(MONTH(B414)=MONTH(EDATE($D$7,1)),MONTH(B414)=MONTH(EDATE($D$7,2)),MONTH(B414)=MONTH(EDATE($D$7,3)),MONTH(B414)=MONTH(EDATE($D$7,4)), MONTH(B414)=MONTH(EDATE($D$7,5)),MONTH(B414)=MONTH(EDATE($D$7,6)),MONTH(B414)=MONTH(EDATE($D$7,7)),MONTH(B414)=MONTH(EDATE($D$7,8)),MONTH(B414)=MONTH(EDATE($D$7,9)),MONTH(B414)=MONTH(EDATE($D$7,10)),MONTH(B414)=MONTH(EDATE($D$7,11))),(MIN( $D$413,H413)),0)))</f>
        <v>0</v>
      </c>
      <c r="F414" s="296">
        <f t="shared" ca="1" si="83"/>
        <v>0</v>
      </c>
      <c r="G414" s="303">
        <f t="shared" ca="1" si="88"/>
        <v>0</v>
      </c>
      <c r="H414" s="296">
        <f t="shared" ca="1" si="89"/>
        <v>31.9968</v>
      </c>
      <c r="I414" s="297">
        <f t="shared" ca="1" si="84"/>
        <v>-32</v>
      </c>
    </row>
    <row r="415" spans="1:9">
      <c r="A415" s="295">
        <f t="shared" si="85"/>
        <v>398</v>
      </c>
      <c r="B415" s="300">
        <f t="shared" si="90"/>
        <v>12086</v>
      </c>
      <c r="C415" s="296">
        <f t="shared" ca="1" si="86"/>
        <v>31.9968</v>
      </c>
      <c r="D415" s="295"/>
      <c r="E415" s="296">
        <f t="shared" ref="E415:E425" ca="1" si="91">IF($D$10=1,
 IF(OR(MONTH(B415)=MONTH(EDATE($D$7,0)),MONTH(B415)=MONTH(EDATE($D$7,1)),MONTH(B415)=MONTH(EDATE($D$7,2)),MONTH(B415)=MONTH(EDATE($D$7,3)), MONTH(B415)=MONTH(EDATE($D$7,4)),MONTH(B415)=MONTH(EDATE($D$7,5)),MONTH(B415)=MONTH(EDATE($D$7,6)),MONTH(B415)=MONTH(EDATE($D$7,7)),MONTH(B415)=MONTH(EDATE($D$7,8)),MONTH(B415)=MONTH(EDATE($D$7,9)),MONTH(B415)=MONTH(EDATE($D$7,10))),(MIN( $D$413,H414)),0),
IF($D$10=0,
 IF(OR(MONTH(B415)=MONTH(EDATE($D$7,1)),MONTH(B415)=MONTH(EDATE($D$7,2)),MONTH(B415)=MONTH(EDATE($D$7,3)),MONTH(B415)=MONTH(EDATE($D$7,4)), MONTH(B415)=MONTH(EDATE($D$7,5)),MONTH(B415)=MONTH(EDATE($D$7,6)),MONTH(B415)=MONTH(EDATE($D$7,7)),MONTH(B415)=MONTH(EDATE($D$7,8)),MONTH(B415)=MONTH(EDATE($D$7,9)),MONTH(B415)=MONTH(EDATE($D$7,10)),MONTH(B415)=MONTH(EDATE($D$7,11))),(MIN( $D$413,H414)),0)))</f>
        <v>-9.0909090909090912E-2</v>
      </c>
      <c r="F415" s="296">
        <f t="shared" ca="1" si="83"/>
        <v>-9.0909090909090912E-2</v>
      </c>
      <c r="G415" s="303">
        <f t="shared" ca="1" si="88"/>
        <v>0</v>
      </c>
      <c r="H415" s="296">
        <f t="shared" ca="1" si="89"/>
        <v>32.087699999999998</v>
      </c>
      <c r="I415" s="297">
        <f t="shared" ca="1" si="84"/>
        <v>-32</v>
      </c>
    </row>
    <row r="416" spans="1:9">
      <c r="A416" s="295">
        <f t="shared" si="85"/>
        <v>399</v>
      </c>
      <c r="B416" s="300">
        <f t="shared" si="90"/>
        <v>12114</v>
      </c>
      <c r="C416" s="296">
        <f t="shared" ca="1" si="86"/>
        <v>32.087699999999998</v>
      </c>
      <c r="D416" s="295"/>
      <c r="E416" s="296">
        <f t="shared" ca="1" si="91"/>
        <v>-9.0909090909090912E-2</v>
      </c>
      <c r="F416" s="296">
        <f t="shared" ca="1" si="83"/>
        <v>-9.0909090909090912E-2</v>
      </c>
      <c r="G416" s="303">
        <f t="shared" ca="1" si="88"/>
        <v>0</v>
      </c>
      <c r="H416" s="296">
        <f t="shared" ca="1" si="89"/>
        <v>32.178600000000003</v>
      </c>
      <c r="I416" s="297">
        <f t="shared" ca="1" si="84"/>
        <v>-32</v>
      </c>
    </row>
    <row r="417" spans="1:9">
      <c r="A417" s="295">
        <f t="shared" si="85"/>
        <v>400</v>
      </c>
      <c r="B417" s="300">
        <f t="shared" si="90"/>
        <v>12145</v>
      </c>
      <c r="C417" s="296">
        <f t="shared" ca="1" si="86"/>
        <v>32.178600000000003</v>
      </c>
      <c r="D417" s="295"/>
      <c r="E417" s="296">
        <f t="shared" ca="1" si="91"/>
        <v>-9.0909090909090912E-2</v>
      </c>
      <c r="F417" s="296">
        <f t="shared" ca="1" si="83"/>
        <v>-9.0909090909090912E-2</v>
      </c>
      <c r="G417" s="303">
        <f t="shared" ca="1" si="88"/>
        <v>0</v>
      </c>
      <c r="H417" s="296">
        <f t="shared" ca="1" si="89"/>
        <v>32.269500000000001</v>
      </c>
      <c r="I417" s="297">
        <f t="shared" ca="1" si="84"/>
        <v>-32</v>
      </c>
    </row>
    <row r="418" spans="1:9">
      <c r="A418" s="295">
        <f t="shared" si="85"/>
        <v>401</v>
      </c>
      <c r="B418" s="300">
        <f t="shared" si="90"/>
        <v>12175</v>
      </c>
      <c r="C418" s="296">
        <f t="shared" ca="1" si="86"/>
        <v>32.269500000000001</v>
      </c>
      <c r="D418" s="295"/>
      <c r="E418" s="296">
        <f t="shared" ca="1" si="91"/>
        <v>-9.0909090909090912E-2</v>
      </c>
      <c r="F418" s="296">
        <f t="shared" ca="1" si="83"/>
        <v>-9.0909090909090912E-2</v>
      </c>
      <c r="G418" s="303">
        <f t="shared" ca="1" si="88"/>
        <v>0</v>
      </c>
      <c r="H418" s="296">
        <f t="shared" ca="1" si="89"/>
        <v>32.360399999999998</v>
      </c>
      <c r="I418" s="297">
        <f t="shared" ca="1" si="84"/>
        <v>-32</v>
      </c>
    </row>
    <row r="419" spans="1:9">
      <c r="A419" s="295">
        <f t="shared" si="85"/>
        <v>402</v>
      </c>
      <c r="B419" s="300">
        <f t="shared" si="90"/>
        <v>12206</v>
      </c>
      <c r="C419" s="296">
        <f t="shared" ca="1" si="86"/>
        <v>32.360399999999998</v>
      </c>
      <c r="D419" s="295"/>
      <c r="E419" s="296">
        <f t="shared" ca="1" si="91"/>
        <v>-9.0909090909090912E-2</v>
      </c>
      <c r="F419" s="296">
        <f t="shared" ca="1" si="83"/>
        <v>-9.0909090909090912E-2</v>
      </c>
      <c r="G419" s="303">
        <f t="shared" ca="1" si="88"/>
        <v>0</v>
      </c>
      <c r="H419" s="296">
        <f t="shared" ca="1" si="89"/>
        <v>32.451300000000003</v>
      </c>
      <c r="I419" s="297">
        <f t="shared" ca="1" si="84"/>
        <v>-32</v>
      </c>
    </row>
    <row r="420" spans="1:9">
      <c r="A420" s="295">
        <f t="shared" si="85"/>
        <v>403</v>
      </c>
      <c r="B420" s="300">
        <f t="shared" si="90"/>
        <v>12236</v>
      </c>
      <c r="C420" s="296">
        <f t="shared" ca="1" si="86"/>
        <v>32.451300000000003</v>
      </c>
      <c r="D420" s="295"/>
      <c r="E420" s="296">
        <f t="shared" ca="1" si="91"/>
        <v>-9.0909090909090912E-2</v>
      </c>
      <c r="F420" s="296">
        <f t="shared" ca="1" si="83"/>
        <v>-9.0909090909090912E-2</v>
      </c>
      <c r="G420" s="303">
        <f t="shared" ca="1" si="88"/>
        <v>0</v>
      </c>
      <c r="H420" s="296">
        <f t="shared" ca="1" si="89"/>
        <v>32.542200000000001</v>
      </c>
      <c r="I420" s="297">
        <f t="shared" ca="1" si="84"/>
        <v>-33</v>
      </c>
    </row>
    <row r="421" spans="1:9">
      <c r="A421" s="295">
        <f t="shared" si="85"/>
        <v>404</v>
      </c>
      <c r="B421" s="300">
        <f t="shared" si="90"/>
        <v>12267</v>
      </c>
      <c r="C421" s="296">
        <f t="shared" ca="1" si="86"/>
        <v>32.542200000000001</v>
      </c>
      <c r="D421" s="295"/>
      <c r="E421" s="296">
        <f t="shared" ca="1" si="91"/>
        <v>-9.0909090909090912E-2</v>
      </c>
      <c r="F421" s="296">
        <f t="shared" ca="1" si="83"/>
        <v>-9.0909090909090912E-2</v>
      </c>
      <c r="G421" s="303">
        <f t="shared" ca="1" si="88"/>
        <v>0</v>
      </c>
      <c r="H421" s="296">
        <f t="shared" ca="1" si="89"/>
        <v>32.633099999999999</v>
      </c>
      <c r="I421" s="297">
        <f t="shared" ca="1" si="84"/>
        <v>-33</v>
      </c>
    </row>
    <row r="422" spans="1:9">
      <c r="A422" s="295">
        <f t="shared" si="85"/>
        <v>405</v>
      </c>
      <c r="B422" s="300">
        <f t="shared" si="90"/>
        <v>12298</v>
      </c>
      <c r="C422" s="296">
        <f t="shared" ca="1" si="86"/>
        <v>32.633099999999999</v>
      </c>
      <c r="D422" s="295"/>
      <c r="E422" s="296">
        <f t="shared" ca="1" si="91"/>
        <v>-9.0909090909090912E-2</v>
      </c>
      <c r="F422" s="296">
        <f t="shared" ca="1" si="83"/>
        <v>-9.0909090909090912E-2</v>
      </c>
      <c r="G422" s="303">
        <f t="shared" ca="1" si="88"/>
        <v>0</v>
      </c>
      <c r="H422" s="296">
        <f t="shared" ca="1" si="89"/>
        <v>32.723999999999997</v>
      </c>
      <c r="I422" s="297">
        <f t="shared" ca="1" si="84"/>
        <v>-33</v>
      </c>
    </row>
    <row r="423" spans="1:9">
      <c r="A423" s="295">
        <f t="shared" si="85"/>
        <v>406</v>
      </c>
      <c r="B423" s="300">
        <f t="shared" si="90"/>
        <v>12328</v>
      </c>
      <c r="C423" s="296">
        <f t="shared" ca="1" si="86"/>
        <v>32.723999999999997</v>
      </c>
      <c r="D423" s="295"/>
      <c r="E423" s="296">
        <f t="shared" ca="1" si="91"/>
        <v>-9.0909090909090912E-2</v>
      </c>
      <c r="F423" s="296">
        <f t="shared" ca="1" si="83"/>
        <v>-9.0909090909090912E-2</v>
      </c>
      <c r="G423" s="303">
        <f t="shared" ca="1" si="88"/>
        <v>0</v>
      </c>
      <c r="H423" s="296">
        <f t="shared" ca="1" si="89"/>
        <v>32.814900000000002</v>
      </c>
      <c r="I423" s="297">
        <f t="shared" ca="1" si="84"/>
        <v>-33</v>
      </c>
    </row>
    <row r="424" spans="1:9">
      <c r="A424" s="295">
        <f t="shared" si="85"/>
        <v>407</v>
      </c>
      <c r="B424" s="300">
        <f t="shared" si="90"/>
        <v>12359</v>
      </c>
      <c r="C424" s="296">
        <f t="shared" ca="1" si="86"/>
        <v>32.814900000000002</v>
      </c>
      <c r="D424" s="295"/>
      <c r="E424" s="296">
        <f t="shared" ca="1" si="91"/>
        <v>-9.0909090909090912E-2</v>
      </c>
      <c r="F424" s="296">
        <f t="shared" ca="1" si="83"/>
        <v>-9.0909090909090912E-2</v>
      </c>
      <c r="G424" s="303">
        <f t="shared" ca="1" si="88"/>
        <v>0</v>
      </c>
      <c r="H424" s="296">
        <f t="shared" ca="1" si="89"/>
        <v>32.905799999999999</v>
      </c>
      <c r="I424" s="297">
        <f t="shared" ca="1" si="84"/>
        <v>-33</v>
      </c>
    </row>
    <row r="425" spans="1:9">
      <c r="A425" s="295">
        <f t="shared" si="85"/>
        <v>408</v>
      </c>
      <c r="B425" s="300">
        <f t="shared" si="90"/>
        <v>12389</v>
      </c>
      <c r="C425" s="296">
        <f t="shared" ca="1" si="86"/>
        <v>32.905799999999999</v>
      </c>
      <c r="D425" s="296">
        <f ca="1">IF(H425&lt;0,0,(K51-L51)/11)</f>
        <v>-9.0909090909090912E-2</v>
      </c>
      <c r="E425" s="296">
        <f t="shared" ca="1" si="91"/>
        <v>-9.0909090909090912E-2</v>
      </c>
      <c r="F425" s="296">
        <f t="shared" ca="1" si="83"/>
        <v>-9.0909090909090912E-2</v>
      </c>
      <c r="G425" s="303">
        <f t="shared" ca="1" si="88"/>
        <v>0</v>
      </c>
      <c r="H425" s="296">
        <f t="shared" ca="1" si="89"/>
        <v>32.996699999999997</v>
      </c>
      <c r="I425" s="297">
        <f t="shared" ca="1" si="84"/>
        <v>-33</v>
      </c>
    </row>
    <row r="426" spans="1:9">
      <c r="A426" s="295">
        <f t="shared" si="85"/>
        <v>409</v>
      </c>
      <c r="B426" s="300">
        <f t="shared" si="90"/>
        <v>12420</v>
      </c>
      <c r="C426" s="296">
        <f t="shared" ca="1" si="86"/>
        <v>32.996699999999997</v>
      </c>
      <c r="D426" s="295"/>
      <c r="E426" s="296">
        <f>IF($D$10=1,
 IF(OR(MONTH(B426)=MONTH(EDATE($D$7,0)),MONTH(B426)=MONTH(EDATE($D$7,1)),MONTH(B426)=MONTH(EDATE($D$7,2)),MONTH(B426)=MONTH(EDATE($D$7,3)), MONTH(B426)=MONTH(EDATE($D$7,4)),MONTH(B426)=MONTH(EDATE($D$7,5)),MONTH(B426)=MONTH(EDATE($D$7,6)),MONTH(B426)=MONTH(EDATE($D$7,7)),MONTH(B426)=MONTH(EDATE($D$7,8)),MONTH(B426)=MONTH(EDATE($D$7,9)),MONTH(B426)=MONTH(EDATE($D$7,10))),(MIN( $D$425,H425)),0),
IF($D$10=0,
 IF(OR(MONTH(B426)=MONTH(EDATE($D$7,1)),MONTH(B426)=MONTH(EDATE($D$7,2)),MONTH(B426)=MONTH(EDATE($D$7,3)),MONTH(B426)=MONTH(EDATE($D$7,4)), MONTH(B426)=MONTH(EDATE($D$7,5)),MONTH(B426)=MONTH(EDATE($D$7,6)),MONTH(B426)=MONTH(EDATE($D$7,7)),MONTH(B426)=MONTH(EDATE($D$7,8)),MONTH(B426)=MONTH(EDATE($D$7,9)),MONTH(B426)=MONTH(EDATE($D$7,10)),MONTH(B426)=MONTH(EDATE($D$7,11))),(MIN( $D$425,H425)),0)))</f>
        <v>0</v>
      </c>
      <c r="F426" s="296">
        <f t="shared" ca="1" si="83"/>
        <v>0</v>
      </c>
      <c r="G426" s="303">
        <f t="shared" ca="1" si="88"/>
        <v>0</v>
      </c>
      <c r="H426" s="296">
        <f t="shared" ca="1" si="89"/>
        <v>32.996699999999997</v>
      </c>
      <c r="I426" s="297">
        <f t="shared" ca="1" si="84"/>
        <v>-33</v>
      </c>
    </row>
    <row r="427" spans="1:9">
      <c r="A427" s="295">
        <f t="shared" si="85"/>
        <v>410</v>
      </c>
      <c r="B427" s="300">
        <f t="shared" si="90"/>
        <v>12451</v>
      </c>
      <c r="C427" s="296">
        <f t="shared" ca="1" si="86"/>
        <v>32.996699999999997</v>
      </c>
      <c r="D427" s="295"/>
      <c r="E427" s="296">
        <f t="shared" ref="E427:E437" ca="1" si="92">IF($D$10=1,
 IF(OR(MONTH(B427)=MONTH(EDATE($D$7,0)),MONTH(B427)=MONTH(EDATE($D$7,1)),MONTH(B427)=MONTH(EDATE($D$7,2)),MONTH(B427)=MONTH(EDATE($D$7,3)), MONTH(B427)=MONTH(EDATE($D$7,4)),MONTH(B427)=MONTH(EDATE($D$7,5)),MONTH(B427)=MONTH(EDATE($D$7,6)),MONTH(B427)=MONTH(EDATE($D$7,7)),MONTH(B427)=MONTH(EDATE($D$7,8)),MONTH(B427)=MONTH(EDATE($D$7,9)),MONTH(B427)=MONTH(EDATE($D$7,10))),(MIN( $D$425,H426)),0),
IF($D$10=0,
 IF(OR(MONTH(B427)=MONTH(EDATE($D$7,1)),MONTH(B427)=MONTH(EDATE($D$7,2)),MONTH(B427)=MONTH(EDATE($D$7,3)),MONTH(B427)=MONTH(EDATE($D$7,4)), MONTH(B427)=MONTH(EDATE($D$7,5)),MONTH(B427)=MONTH(EDATE($D$7,6)),MONTH(B427)=MONTH(EDATE($D$7,7)),MONTH(B427)=MONTH(EDATE($D$7,8)),MONTH(B427)=MONTH(EDATE($D$7,9)),MONTH(B427)=MONTH(EDATE($D$7,10)),MONTH(B427)=MONTH(EDATE($D$7,11))),(MIN( $D$425,H426)),0)))</f>
        <v>-9.0909090909090912E-2</v>
      </c>
      <c r="F427" s="296">
        <f t="shared" ca="1" si="83"/>
        <v>-9.0909090909090912E-2</v>
      </c>
      <c r="G427" s="303">
        <f t="shared" ca="1" si="88"/>
        <v>0</v>
      </c>
      <c r="H427" s="296">
        <f t="shared" ca="1" si="89"/>
        <v>33.087600000000002</v>
      </c>
      <c r="I427" s="297">
        <f t="shared" ca="1" si="84"/>
        <v>-33</v>
      </c>
    </row>
    <row r="428" spans="1:9">
      <c r="A428" s="295">
        <f t="shared" si="85"/>
        <v>411</v>
      </c>
      <c r="B428" s="300">
        <f t="shared" si="90"/>
        <v>12479</v>
      </c>
      <c r="C428" s="296">
        <f t="shared" ca="1" si="86"/>
        <v>33.087600000000002</v>
      </c>
      <c r="D428" s="295"/>
      <c r="E428" s="296">
        <f t="shared" ca="1" si="92"/>
        <v>-9.0909090909090912E-2</v>
      </c>
      <c r="F428" s="296">
        <f t="shared" ca="1" si="83"/>
        <v>-9.0909090909090912E-2</v>
      </c>
      <c r="G428" s="303">
        <f t="shared" ca="1" si="88"/>
        <v>0</v>
      </c>
      <c r="H428" s="296">
        <f t="shared" ca="1" si="89"/>
        <v>33.1785</v>
      </c>
      <c r="I428" s="297">
        <f t="shared" ca="1" si="84"/>
        <v>-33</v>
      </c>
    </row>
    <row r="429" spans="1:9">
      <c r="A429" s="295">
        <f t="shared" si="85"/>
        <v>412</v>
      </c>
      <c r="B429" s="300">
        <f t="shared" si="90"/>
        <v>12510</v>
      </c>
      <c r="C429" s="296">
        <f t="shared" ca="1" si="86"/>
        <v>33.1785</v>
      </c>
      <c r="D429" s="295"/>
      <c r="E429" s="296">
        <f t="shared" ca="1" si="92"/>
        <v>-9.0909090909090912E-2</v>
      </c>
      <c r="F429" s="296">
        <f t="shared" ca="1" si="83"/>
        <v>-9.0909090909090912E-2</v>
      </c>
      <c r="G429" s="303">
        <f t="shared" ca="1" si="88"/>
        <v>0</v>
      </c>
      <c r="H429" s="296">
        <f t="shared" ca="1" si="89"/>
        <v>33.269399999999997</v>
      </c>
      <c r="I429" s="297">
        <f t="shared" ca="1" si="84"/>
        <v>-33</v>
      </c>
    </row>
    <row r="430" spans="1:9">
      <c r="A430" s="295">
        <f t="shared" si="85"/>
        <v>413</v>
      </c>
      <c r="B430" s="300">
        <f t="shared" si="90"/>
        <v>12540</v>
      </c>
      <c r="C430" s="296">
        <f t="shared" ca="1" si="86"/>
        <v>33.269399999999997</v>
      </c>
      <c r="D430" s="295"/>
      <c r="E430" s="296">
        <f t="shared" ca="1" si="92"/>
        <v>-9.0909090909090912E-2</v>
      </c>
      <c r="F430" s="296">
        <f t="shared" ca="1" si="83"/>
        <v>-9.0909090909090912E-2</v>
      </c>
      <c r="G430" s="303">
        <f t="shared" ca="1" si="88"/>
        <v>0</v>
      </c>
      <c r="H430" s="296">
        <f t="shared" ca="1" si="89"/>
        <v>33.360300000000002</v>
      </c>
      <c r="I430" s="297">
        <f t="shared" ca="1" si="84"/>
        <v>-33</v>
      </c>
    </row>
    <row r="431" spans="1:9">
      <c r="A431" s="295">
        <f t="shared" si="85"/>
        <v>414</v>
      </c>
      <c r="B431" s="300">
        <f t="shared" si="90"/>
        <v>12571</v>
      </c>
      <c r="C431" s="296">
        <f t="shared" ca="1" si="86"/>
        <v>33.360300000000002</v>
      </c>
      <c r="D431" s="295"/>
      <c r="E431" s="296">
        <f t="shared" ca="1" si="92"/>
        <v>-9.0909090909090912E-2</v>
      </c>
      <c r="F431" s="296">
        <f t="shared" ca="1" si="83"/>
        <v>-9.0909090909090912E-2</v>
      </c>
      <c r="G431" s="303">
        <f t="shared" ca="1" si="88"/>
        <v>0</v>
      </c>
      <c r="H431" s="296">
        <f t="shared" ca="1" si="89"/>
        <v>33.4512</v>
      </c>
      <c r="I431" s="297">
        <f t="shared" ca="1" si="84"/>
        <v>-33</v>
      </c>
    </row>
    <row r="432" spans="1:9">
      <c r="A432" s="295">
        <f t="shared" si="85"/>
        <v>415</v>
      </c>
      <c r="B432" s="300">
        <f t="shared" si="90"/>
        <v>12601</v>
      </c>
      <c r="C432" s="296">
        <f t="shared" ca="1" si="86"/>
        <v>33.4512</v>
      </c>
      <c r="D432" s="295"/>
      <c r="E432" s="296">
        <f t="shared" ca="1" si="92"/>
        <v>-9.0909090909090912E-2</v>
      </c>
      <c r="F432" s="296">
        <f t="shared" ca="1" si="83"/>
        <v>-9.0909090909090912E-2</v>
      </c>
      <c r="G432" s="303">
        <f t="shared" ca="1" si="88"/>
        <v>0</v>
      </c>
      <c r="H432" s="296">
        <f t="shared" ca="1" si="89"/>
        <v>33.542099999999998</v>
      </c>
      <c r="I432" s="297">
        <f t="shared" ca="1" si="84"/>
        <v>-34</v>
      </c>
    </row>
    <row r="433" spans="1:9">
      <c r="A433" s="295">
        <f t="shared" si="85"/>
        <v>416</v>
      </c>
      <c r="B433" s="300">
        <f t="shared" si="90"/>
        <v>12632</v>
      </c>
      <c r="C433" s="296">
        <f t="shared" ca="1" si="86"/>
        <v>33.542099999999998</v>
      </c>
      <c r="D433" s="295"/>
      <c r="E433" s="296">
        <f t="shared" ca="1" si="92"/>
        <v>-9.0909090909090912E-2</v>
      </c>
      <c r="F433" s="296">
        <f t="shared" ca="1" si="83"/>
        <v>-9.0909090909090912E-2</v>
      </c>
      <c r="G433" s="303">
        <f t="shared" ca="1" si="88"/>
        <v>0</v>
      </c>
      <c r="H433" s="296">
        <f t="shared" ca="1" si="89"/>
        <v>33.633000000000003</v>
      </c>
      <c r="I433" s="297">
        <f t="shared" ca="1" si="84"/>
        <v>-34</v>
      </c>
    </row>
    <row r="434" spans="1:9">
      <c r="A434" s="295">
        <f t="shared" si="85"/>
        <v>417</v>
      </c>
      <c r="B434" s="300">
        <f t="shared" si="90"/>
        <v>12663</v>
      </c>
      <c r="C434" s="296">
        <f t="shared" ca="1" si="86"/>
        <v>33.633000000000003</v>
      </c>
      <c r="D434" s="295"/>
      <c r="E434" s="296">
        <f t="shared" ca="1" si="92"/>
        <v>-9.0909090909090912E-2</v>
      </c>
      <c r="F434" s="296">
        <f t="shared" ca="1" si="83"/>
        <v>-9.0909090909090912E-2</v>
      </c>
      <c r="G434" s="303">
        <f t="shared" ca="1" si="88"/>
        <v>0</v>
      </c>
      <c r="H434" s="296">
        <f t="shared" ca="1" si="89"/>
        <v>33.7239</v>
      </c>
      <c r="I434" s="297">
        <f t="shared" ca="1" si="84"/>
        <v>-34</v>
      </c>
    </row>
    <row r="435" spans="1:9">
      <c r="A435" s="295">
        <f t="shared" si="85"/>
        <v>418</v>
      </c>
      <c r="B435" s="300">
        <f t="shared" si="90"/>
        <v>12693</v>
      </c>
      <c r="C435" s="296">
        <f t="shared" ca="1" si="86"/>
        <v>33.7239</v>
      </c>
      <c r="D435" s="295"/>
      <c r="E435" s="296">
        <f t="shared" ca="1" si="92"/>
        <v>-9.0909090909090912E-2</v>
      </c>
      <c r="F435" s="296">
        <f t="shared" ca="1" si="83"/>
        <v>-9.0909090909090912E-2</v>
      </c>
      <c r="G435" s="303">
        <f t="shared" ca="1" si="88"/>
        <v>0</v>
      </c>
      <c r="H435" s="296">
        <f t="shared" ca="1" si="89"/>
        <v>33.814799999999998</v>
      </c>
      <c r="I435" s="297">
        <f t="shared" ca="1" si="84"/>
        <v>-34</v>
      </c>
    </row>
    <row r="436" spans="1:9">
      <c r="A436" s="295">
        <f t="shared" si="85"/>
        <v>419</v>
      </c>
      <c r="B436" s="300">
        <f t="shared" si="90"/>
        <v>12724</v>
      </c>
      <c r="C436" s="296">
        <f t="shared" ca="1" si="86"/>
        <v>33.814799999999998</v>
      </c>
      <c r="D436" s="295"/>
      <c r="E436" s="296">
        <f t="shared" ca="1" si="92"/>
        <v>-9.0909090909090912E-2</v>
      </c>
      <c r="F436" s="296">
        <f t="shared" ca="1" si="83"/>
        <v>-9.0909090909090912E-2</v>
      </c>
      <c r="G436" s="303">
        <f t="shared" ca="1" si="88"/>
        <v>0</v>
      </c>
      <c r="H436" s="296">
        <f t="shared" ca="1" si="89"/>
        <v>33.905700000000003</v>
      </c>
      <c r="I436" s="297">
        <f t="shared" ca="1" si="84"/>
        <v>-34</v>
      </c>
    </row>
    <row r="437" spans="1:9">
      <c r="A437" s="295">
        <f t="shared" si="85"/>
        <v>420</v>
      </c>
      <c r="B437" s="300">
        <f t="shared" si="90"/>
        <v>12754</v>
      </c>
      <c r="C437" s="296">
        <f t="shared" ca="1" si="86"/>
        <v>33.905700000000003</v>
      </c>
      <c r="D437" s="296">
        <f ca="1">IF(H437&lt;0,0,(K52-L52)/11)</f>
        <v>-9.0909090909090912E-2</v>
      </c>
      <c r="E437" s="296">
        <f t="shared" ca="1" si="92"/>
        <v>-9.0909090909090912E-2</v>
      </c>
      <c r="F437" s="296">
        <f t="shared" ca="1" si="83"/>
        <v>-9.0909090909090912E-2</v>
      </c>
      <c r="G437" s="303">
        <f t="shared" ca="1" si="88"/>
        <v>0</v>
      </c>
      <c r="H437" s="296">
        <f t="shared" ca="1" si="89"/>
        <v>33.996600000000001</v>
      </c>
      <c r="I437" s="297">
        <f t="shared" ca="1" si="84"/>
        <v>-34</v>
      </c>
    </row>
    <row r="438" spans="1:9">
      <c r="A438" s="295">
        <f t="shared" si="85"/>
        <v>421</v>
      </c>
      <c r="B438" s="300">
        <f t="shared" si="90"/>
        <v>12785</v>
      </c>
      <c r="C438" s="296">
        <f t="shared" ca="1" si="86"/>
        <v>33.996600000000001</v>
      </c>
      <c r="D438" s="295"/>
      <c r="E438" s="296">
        <f>IF($D$10=1,
 IF(OR(MONTH(B438)=MONTH(EDATE($D$7,0)),MONTH(B438)=MONTH(EDATE($D$7,1)),MONTH(B438)=MONTH(EDATE($D$7,2)),MONTH(B438)=MONTH(EDATE($D$7,3)), MONTH(B438)=MONTH(EDATE($D$7,4)),MONTH(B438)=MONTH(EDATE($D$7,5)),MONTH(B438)=MONTH(EDATE($D$7,6)),MONTH(B438)=MONTH(EDATE($D$7,7)),MONTH(B438)=MONTH(EDATE($D$7,8)),MONTH(B438)=MONTH(EDATE($D$7,9)),MONTH(B438)=MONTH(EDATE($D$7,10))),(MIN( $D$437,H437)),0),
IF($D$10=0,
 IF(OR(MONTH(B438)=MONTH(EDATE($D$7,1)),MONTH(B438)=MONTH(EDATE($D$7,2)),MONTH(B438)=MONTH(EDATE($D$7,3)),MONTH(B438)=MONTH(EDATE($D$7,4)), MONTH(B438)=MONTH(EDATE($D$7,5)),MONTH(B438)=MONTH(EDATE($D$7,6)),MONTH(B438)=MONTH(EDATE($D$7,7)),MONTH(B438)=MONTH(EDATE($D$7,8)),MONTH(B438)=MONTH(EDATE($D$7,9)),MONTH(B438)=MONTH(EDATE($D$7,10)),MONTH(B438)=MONTH(EDATE($D$7,11))),(MIN( $D$437,H437)),0)))</f>
        <v>0</v>
      </c>
      <c r="F438" s="296">
        <f t="shared" ca="1" si="83"/>
        <v>0</v>
      </c>
      <c r="G438" s="303">
        <f t="shared" ca="1" si="88"/>
        <v>0</v>
      </c>
      <c r="H438" s="296">
        <f t="shared" ca="1" si="89"/>
        <v>33.996600000000001</v>
      </c>
      <c r="I438" s="297">
        <f t="shared" ca="1" si="84"/>
        <v>-34</v>
      </c>
    </row>
    <row r="439" spans="1:9">
      <c r="A439" s="295">
        <f t="shared" si="85"/>
        <v>422</v>
      </c>
      <c r="B439" s="300">
        <f t="shared" si="90"/>
        <v>12816</v>
      </c>
      <c r="C439" s="296">
        <f t="shared" ca="1" si="86"/>
        <v>33.996600000000001</v>
      </c>
      <c r="D439" s="295"/>
      <c r="E439" s="296">
        <f t="shared" ref="E439:E449" ca="1" si="93">IF($D$10=1,
 IF(OR(MONTH(B439)=MONTH(EDATE($D$7,0)),MONTH(B439)=MONTH(EDATE($D$7,1)),MONTH(B439)=MONTH(EDATE($D$7,2)),MONTH(B439)=MONTH(EDATE($D$7,3)), MONTH(B439)=MONTH(EDATE($D$7,4)),MONTH(B439)=MONTH(EDATE($D$7,5)),MONTH(B439)=MONTH(EDATE($D$7,6)),MONTH(B439)=MONTH(EDATE($D$7,7)),MONTH(B439)=MONTH(EDATE($D$7,8)),MONTH(B439)=MONTH(EDATE($D$7,9)),MONTH(B439)=MONTH(EDATE($D$7,10))),(MIN( $D$437,H438)),0),
IF($D$10=0,
 IF(OR(MONTH(B439)=MONTH(EDATE($D$7,1)),MONTH(B439)=MONTH(EDATE($D$7,2)),MONTH(B439)=MONTH(EDATE($D$7,3)),MONTH(B439)=MONTH(EDATE($D$7,4)), MONTH(B439)=MONTH(EDATE($D$7,5)),MONTH(B439)=MONTH(EDATE($D$7,6)),MONTH(B439)=MONTH(EDATE($D$7,7)),MONTH(B439)=MONTH(EDATE($D$7,8)),MONTH(B439)=MONTH(EDATE($D$7,9)),MONTH(B439)=MONTH(EDATE($D$7,10)),MONTH(B439)=MONTH(EDATE($D$7,11))),(MIN( $D$437,H438)),0)))</f>
        <v>-9.0909090909090912E-2</v>
      </c>
      <c r="F439" s="296">
        <f t="shared" ca="1" si="83"/>
        <v>-9.0909090909090912E-2</v>
      </c>
      <c r="G439" s="303">
        <f t="shared" ca="1" si="88"/>
        <v>0</v>
      </c>
      <c r="H439" s="296">
        <f t="shared" ca="1" si="89"/>
        <v>34.087499999999999</v>
      </c>
      <c r="I439" s="297">
        <f t="shared" ca="1" si="84"/>
        <v>-34</v>
      </c>
    </row>
    <row r="440" spans="1:9">
      <c r="A440" s="295">
        <f t="shared" si="85"/>
        <v>423</v>
      </c>
      <c r="B440" s="300">
        <f t="shared" si="90"/>
        <v>12844</v>
      </c>
      <c r="C440" s="296">
        <f t="shared" ca="1" si="86"/>
        <v>34.087499999999999</v>
      </c>
      <c r="D440" s="295"/>
      <c r="E440" s="296">
        <f t="shared" ca="1" si="93"/>
        <v>-9.0909090909090912E-2</v>
      </c>
      <c r="F440" s="296">
        <f t="shared" ca="1" si="83"/>
        <v>-9.0909090909090912E-2</v>
      </c>
      <c r="G440" s="303">
        <f t="shared" ca="1" si="88"/>
        <v>0</v>
      </c>
      <c r="H440" s="296">
        <f t="shared" ca="1" si="89"/>
        <v>34.178400000000003</v>
      </c>
      <c r="I440" s="297">
        <f t="shared" ca="1" si="84"/>
        <v>-34</v>
      </c>
    </row>
    <row r="441" spans="1:9">
      <c r="A441" s="295">
        <f t="shared" si="85"/>
        <v>424</v>
      </c>
      <c r="B441" s="300">
        <f t="shared" si="90"/>
        <v>12875</v>
      </c>
      <c r="C441" s="296">
        <f t="shared" ca="1" si="86"/>
        <v>34.178400000000003</v>
      </c>
      <c r="D441" s="295"/>
      <c r="E441" s="296">
        <f t="shared" ca="1" si="93"/>
        <v>-9.0909090909090912E-2</v>
      </c>
      <c r="F441" s="296">
        <f t="shared" ca="1" si="83"/>
        <v>-9.0909090909090912E-2</v>
      </c>
      <c r="G441" s="303">
        <f t="shared" ca="1" si="88"/>
        <v>0</v>
      </c>
      <c r="H441" s="296">
        <f t="shared" ca="1" si="89"/>
        <v>34.269300000000001</v>
      </c>
      <c r="I441" s="297">
        <f t="shared" ca="1" si="84"/>
        <v>-34</v>
      </c>
    </row>
    <row r="442" spans="1:9">
      <c r="A442" s="295">
        <f t="shared" si="85"/>
        <v>425</v>
      </c>
      <c r="B442" s="300">
        <f t="shared" si="90"/>
        <v>12905</v>
      </c>
      <c r="C442" s="296">
        <f t="shared" ca="1" si="86"/>
        <v>34.269300000000001</v>
      </c>
      <c r="D442" s="295"/>
      <c r="E442" s="296">
        <f t="shared" ca="1" si="93"/>
        <v>-9.0909090909090912E-2</v>
      </c>
      <c r="F442" s="296">
        <f t="shared" ca="1" si="83"/>
        <v>-9.0909090909090912E-2</v>
      </c>
      <c r="G442" s="303">
        <f t="shared" ca="1" si="88"/>
        <v>0</v>
      </c>
      <c r="H442" s="296">
        <f t="shared" ca="1" si="89"/>
        <v>34.360199999999999</v>
      </c>
      <c r="I442" s="297">
        <f t="shared" ca="1" si="84"/>
        <v>-34</v>
      </c>
    </row>
    <row r="443" spans="1:9">
      <c r="A443" s="295">
        <f t="shared" si="85"/>
        <v>426</v>
      </c>
      <c r="B443" s="300">
        <f t="shared" si="90"/>
        <v>12936</v>
      </c>
      <c r="C443" s="296">
        <f t="shared" ca="1" si="86"/>
        <v>34.360199999999999</v>
      </c>
      <c r="D443" s="295"/>
      <c r="E443" s="296">
        <f t="shared" ca="1" si="93"/>
        <v>-9.0909090909090912E-2</v>
      </c>
      <c r="F443" s="296">
        <f t="shared" ca="1" si="83"/>
        <v>-9.0909090909090912E-2</v>
      </c>
      <c r="G443" s="303">
        <f t="shared" ca="1" si="88"/>
        <v>0</v>
      </c>
      <c r="H443" s="296">
        <f t="shared" ca="1" si="89"/>
        <v>34.451099999999997</v>
      </c>
      <c r="I443" s="297">
        <f t="shared" ca="1" si="84"/>
        <v>-34</v>
      </c>
    </row>
    <row r="444" spans="1:9">
      <c r="A444" s="295">
        <f t="shared" si="85"/>
        <v>427</v>
      </c>
      <c r="B444" s="300">
        <f t="shared" si="90"/>
        <v>12966</v>
      </c>
      <c r="C444" s="296">
        <f t="shared" ca="1" si="86"/>
        <v>34.451099999999997</v>
      </c>
      <c r="D444" s="295"/>
      <c r="E444" s="296">
        <f t="shared" ca="1" si="93"/>
        <v>-9.0909090909090912E-2</v>
      </c>
      <c r="F444" s="296">
        <f t="shared" ca="1" si="83"/>
        <v>-9.0909090909090912E-2</v>
      </c>
      <c r="G444" s="303">
        <f t="shared" ca="1" si="88"/>
        <v>0</v>
      </c>
      <c r="H444" s="296">
        <f t="shared" ca="1" si="89"/>
        <v>34.542000000000002</v>
      </c>
      <c r="I444" s="297">
        <f t="shared" ca="1" si="84"/>
        <v>-35</v>
      </c>
    </row>
    <row r="445" spans="1:9">
      <c r="A445" s="295">
        <f t="shared" si="85"/>
        <v>428</v>
      </c>
      <c r="B445" s="300">
        <f t="shared" si="90"/>
        <v>12997</v>
      </c>
      <c r="C445" s="296">
        <f t="shared" ca="1" si="86"/>
        <v>34.542000000000002</v>
      </c>
      <c r="D445" s="295"/>
      <c r="E445" s="296">
        <f t="shared" ca="1" si="93"/>
        <v>-9.0909090909090912E-2</v>
      </c>
      <c r="F445" s="296">
        <f t="shared" ca="1" si="83"/>
        <v>-9.0909090909090912E-2</v>
      </c>
      <c r="G445" s="303">
        <f t="shared" ca="1" si="88"/>
        <v>0</v>
      </c>
      <c r="H445" s="296">
        <f t="shared" ca="1" si="89"/>
        <v>34.632899999999999</v>
      </c>
      <c r="I445" s="297">
        <f t="shared" ca="1" si="84"/>
        <v>-35</v>
      </c>
    </row>
    <row r="446" spans="1:9">
      <c r="A446" s="295">
        <f t="shared" si="85"/>
        <v>429</v>
      </c>
      <c r="B446" s="300">
        <f t="shared" si="90"/>
        <v>13028</v>
      </c>
      <c r="C446" s="296">
        <f t="shared" ca="1" si="86"/>
        <v>34.632899999999999</v>
      </c>
      <c r="D446" s="295"/>
      <c r="E446" s="296">
        <f t="shared" ca="1" si="93"/>
        <v>-9.0909090909090912E-2</v>
      </c>
      <c r="F446" s="296">
        <f t="shared" ca="1" si="83"/>
        <v>-9.0909090909090912E-2</v>
      </c>
      <c r="G446" s="303">
        <f t="shared" ca="1" si="88"/>
        <v>0</v>
      </c>
      <c r="H446" s="296">
        <f t="shared" ca="1" si="89"/>
        <v>34.723799999999997</v>
      </c>
      <c r="I446" s="297">
        <f t="shared" ca="1" si="84"/>
        <v>-35</v>
      </c>
    </row>
    <row r="447" spans="1:9">
      <c r="A447" s="295">
        <f t="shared" si="85"/>
        <v>430</v>
      </c>
      <c r="B447" s="300">
        <f t="shared" si="90"/>
        <v>13058</v>
      </c>
      <c r="C447" s="296">
        <f t="shared" ca="1" si="86"/>
        <v>34.723799999999997</v>
      </c>
      <c r="D447" s="295"/>
      <c r="E447" s="296">
        <f t="shared" ca="1" si="93"/>
        <v>-9.0909090909090912E-2</v>
      </c>
      <c r="F447" s="296">
        <f t="shared" ca="1" si="83"/>
        <v>-9.0909090909090912E-2</v>
      </c>
      <c r="G447" s="303">
        <f t="shared" ca="1" si="88"/>
        <v>0</v>
      </c>
      <c r="H447" s="296">
        <f t="shared" ca="1" si="89"/>
        <v>34.814700000000002</v>
      </c>
      <c r="I447" s="297">
        <f t="shared" ca="1" si="84"/>
        <v>-35</v>
      </c>
    </row>
    <row r="448" spans="1:9">
      <c r="A448" s="295">
        <f t="shared" si="85"/>
        <v>431</v>
      </c>
      <c r="B448" s="300">
        <f t="shared" si="90"/>
        <v>13089</v>
      </c>
      <c r="C448" s="296">
        <f t="shared" ca="1" si="86"/>
        <v>34.814700000000002</v>
      </c>
      <c r="D448" s="296"/>
      <c r="E448" s="296">
        <f t="shared" ca="1" si="93"/>
        <v>-9.0909090909090912E-2</v>
      </c>
      <c r="F448" s="296">
        <f t="shared" ca="1" si="83"/>
        <v>-9.0909090909090912E-2</v>
      </c>
      <c r="G448" s="303">
        <f t="shared" ca="1" si="88"/>
        <v>0</v>
      </c>
      <c r="H448" s="296">
        <f t="shared" ca="1" si="89"/>
        <v>34.9056</v>
      </c>
      <c r="I448" s="297">
        <f t="shared" ca="1" si="84"/>
        <v>-35</v>
      </c>
    </row>
    <row r="449" spans="1:9">
      <c r="A449" s="295">
        <f t="shared" si="85"/>
        <v>432</v>
      </c>
      <c r="B449" s="300">
        <f t="shared" si="90"/>
        <v>13119</v>
      </c>
      <c r="C449" s="296">
        <f t="shared" ca="1" si="86"/>
        <v>34.9056</v>
      </c>
      <c r="D449" s="296">
        <f ca="1">IF(H449&lt;0,0,(K53-L53)/11)</f>
        <v>-9.0909090909090912E-2</v>
      </c>
      <c r="E449" s="296">
        <f t="shared" ca="1" si="93"/>
        <v>-9.0909090909090912E-2</v>
      </c>
      <c r="F449" s="296">
        <f t="shared" ca="1" si="83"/>
        <v>-9.0909090909090912E-2</v>
      </c>
      <c r="G449" s="303">
        <f t="shared" ca="1" si="88"/>
        <v>0</v>
      </c>
      <c r="H449" s="296">
        <f t="shared" ca="1" si="89"/>
        <v>34.996499999999997</v>
      </c>
      <c r="I449" s="297">
        <f t="shared" ca="1" si="84"/>
        <v>-35</v>
      </c>
    </row>
    <row r="450" spans="1:9">
      <c r="A450" s="295">
        <f t="shared" si="85"/>
        <v>433</v>
      </c>
      <c r="B450" s="300">
        <f t="shared" si="90"/>
        <v>13150</v>
      </c>
      <c r="C450" s="296">
        <f t="shared" ca="1" si="86"/>
        <v>34.996499999999997</v>
      </c>
      <c r="D450" s="295"/>
      <c r="E450" s="296">
        <f>IF($D$10=1,
 IF(OR(MONTH(B450)=MONTH(EDATE($D$7,0)),MONTH(B450)=MONTH(EDATE($D$7,1)),MONTH(B450)=MONTH(EDATE($D$7,2)),MONTH(B450)=MONTH(EDATE($D$7,3)), MONTH(B450)=MONTH(EDATE($D$7,4)),MONTH(B450)=MONTH(EDATE($D$7,5)),MONTH(B450)=MONTH(EDATE($D$7,6)),MONTH(B450)=MONTH(EDATE($D$7,7)),MONTH(B450)=MONTH(EDATE($D$7,8)),MONTH(B450)=MONTH(EDATE($D$7,9)),MONTH(B450)=MONTH(EDATE($D$7,10))),(MIN( $D$449,H449)),0),
IF($D$10=0,
 IF(OR(MONTH(B450)=MONTH(EDATE($D$7,1)),MONTH(B450)=MONTH(EDATE($D$7,2)),MONTH(B450)=MONTH(EDATE($D$7,3)),MONTH(B450)=MONTH(EDATE($D$7,4)), MONTH(B450)=MONTH(EDATE($D$7,5)),MONTH(B450)=MONTH(EDATE($D$7,6)),MONTH(B450)=MONTH(EDATE($D$7,7)),MONTH(B450)=MONTH(EDATE($D$7,8)),MONTH(B450)=MONTH(EDATE($D$7,9)),MONTH(B450)=MONTH(EDATE($D$7,10)),MONTH(B450)=MONTH(EDATE($D$7,11))),(MIN( $D$449,H449)),0)))</f>
        <v>0</v>
      </c>
      <c r="F450" s="296">
        <f t="shared" ca="1" si="83"/>
        <v>0</v>
      </c>
      <c r="G450" s="303">
        <f t="shared" ca="1" si="88"/>
        <v>0</v>
      </c>
      <c r="H450" s="296">
        <f t="shared" ca="1" si="89"/>
        <v>34.996499999999997</v>
      </c>
      <c r="I450" s="297">
        <f t="shared" ca="1" si="84"/>
        <v>-35</v>
      </c>
    </row>
    <row r="451" spans="1:9">
      <c r="A451" s="295">
        <f t="shared" si="85"/>
        <v>434</v>
      </c>
      <c r="B451" s="300">
        <f t="shared" si="90"/>
        <v>13181</v>
      </c>
      <c r="C451" s="296">
        <f t="shared" ca="1" si="86"/>
        <v>34.996499999999997</v>
      </c>
      <c r="D451" s="295"/>
      <c r="E451" s="296">
        <f t="shared" ref="E451:E461" ca="1" si="94">IF($D$10=1,
 IF(OR(MONTH(B451)=MONTH(EDATE($D$7,0)),MONTH(B451)=MONTH(EDATE($D$7,1)),MONTH(B451)=MONTH(EDATE($D$7,2)),MONTH(B451)=MONTH(EDATE($D$7,3)), MONTH(B451)=MONTH(EDATE($D$7,4)),MONTH(B451)=MONTH(EDATE($D$7,5)),MONTH(B451)=MONTH(EDATE($D$7,6)),MONTH(B451)=MONTH(EDATE($D$7,7)),MONTH(B451)=MONTH(EDATE($D$7,8)),MONTH(B451)=MONTH(EDATE($D$7,9)),MONTH(B451)=MONTH(EDATE($D$7,10))),(MIN( $D$449,H450)),0),
IF($D$10=0,
 IF(OR(MONTH(B451)=MONTH(EDATE($D$7,1)),MONTH(B451)=MONTH(EDATE($D$7,2)),MONTH(B451)=MONTH(EDATE($D$7,3)),MONTH(B451)=MONTH(EDATE($D$7,4)), MONTH(B451)=MONTH(EDATE($D$7,5)),MONTH(B451)=MONTH(EDATE($D$7,6)),MONTH(B451)=MONTH(EDATE($D$7,7)),MONTH(B451)=MONTH(EDATE($D$7,8)),MONTH(B451)=MONTH(EDATE($D$7,9)),MONTH(B451)=MONTH(EDATE($D$7,10)),MONTH(B451)=MONTH(EDATE($D$7,11))),(MIN( $D$449,H450)),0)))</f>
        <v>-9.0909090909090912E-2</v>
      </c>
      <c r="F451" s="296">
        <f t="shared" ca="1" si="83"/>
        <v>-9.0909090909090912E-2</v>
      </c>
      <c r="G451" s="303">
        <f t="shared" ca="1" si="88"/>
        <v>0</v>
      </c>
      <c r="H451" s="296">
        <f t="shared" ca="1" si="89"/>
        <v>35.087400000000002</v>
      </c>
      <c r="I451" s="297">
        <f t="shared" ca="1" si="84"/>
        <v>-35</v>
      </c>
    </row>
    <row r="452" spans="1:9">
      <c r="A452" s="295">
        <f t="shared" si="85"/>
        <v>435</v>
      </c>
      <c r="B452" s="300">
        <f t="shared" si="90"/>
        <v>13210</v>
      </c>
      <c r="C452" s="296">
        <f t="shared" ca="1" si="86"/>
        <v>35.087400000000002</v>
      </c>
      <c r="D452" s="295"/>
      <c r="E452" s="296">
        <f t="shared" ca="1" si="94"/>
        <v>-9.0909090909090912E-2</v>
      </c>
      <c r="F452" s="296">
        <f t="shared" ca="1" si="83"/>
        <v>-9.0909090909090912E-2</v>
      </c>
      <c r="G452" s="303">
        <f t="shared" ca="1" si="88"/>
        <v>0</v>
      </c>
      <c r="H452" s="296">
        <f t="shared" ca="1" si="89"/>
        <v>35.1783</v>
      </c>
      <c r="I452" s="297">
        <f t="shared" ca="1" si="84"/>
        <v>-35</v>
      </c>
    </row>
    <row r="453" spans="1:9">
      <c r="A453" s="295">
        <f t="shared" si="85"/>
        <v>436</v>
      </c>
      <c r="B453" s="300">
        <f t="shared" si="90"/>
        <v>13241</v>
      </c>
      <c r="C453" s="296">
        <f t="shared" ca="1" si="86"/>
        <v>35.1783</v>
      </c>
      <c r="D453" s="295"/>
      <c r="E453" s="296">
        <f t="shared" ca="1" si="94"/>
        <v>-9.0909090909090912E-2</v>
      </c>
      <c r="F453" s="296">
        <f t="shared" ca="1" si="83"/>
        <v>-9.0909090909090912E-2</v>
      </c>
      <c r="G453" s="303">
        <f t="shared" ca="1" si="88"/>
        <v>0</v>
      </c>
      <c r="H453" s="296">
        <f t="shared" ca="1" si="89"/>
        <v>35.269199999999998</v>
      </c>
      <c r="I453" s="297">
        <f t="shared" ca="1" si="84"/>
        <v>-35</v>
      </c>
    </row>
    <row r="454" spans="1:9">
      <c r="A454" s="295">
        <f t="shared" si="85"/>
        <v>437</v>
      </c>
      <c r="B454" s="300">
        <f t="shared" si="90"/>
        <v>13271</v>
      </c>
      <c r="C454" s="296">
        <f t="shared" ca="1" si="86"/>
        <v>35.269199999999998</v>
      </c>
      <c r="D454" s="295"/>
      <c r="E454" s="296">
        <f t="shared" ca="1" si="94"/>
        <v>-9.0909090909090912E-2</v>
      </c>
      <c r="F454" s="296">
        <f t="shared" ca="1" si="83"/>
        <v>-9.0909090909090912E-2</v>
      </c>
      <c r="G454" s="303">
        <f t="shared" ca="1" si="88"/>
        <v>0</v>
      </c>
      <c r="H454" s="296">
        <f t="shared" ca="1" si="89"/>
        <v>35.360100000000003</v>
      </c>
      <c r="I454" s="297">
        <f t="shared" ca="1" si="84"/>
        <v>-35</v>
      </c>
    </row>
    <row r="455" spans="1:9">
      <c r="A455" s="295">
        <f t="shared" si="85"/>
        <v>438</v>
      </c>
      <c r="B455" s="300">
        <f t="shared" si="90"/>
        <v>13302</v>
      </c>
      <c r="C455" s="296">
        <f t="shared" ca="1" si="86"/>
        <v>35.360100000000003</v>
      </c>
      <c r="D455" s="295"/>
      <c r="E455" s="296">
        <f t="shared" ca="1" si="94"/>
        <v>-9.0909090909090912E-2</v>
      </c>
      <c r="F455" s="296">
        <f t="shared" ca="1" si="83"/>
        <v>-9.0909090909090912E-2</v>
      </c>
      <c r="G455" s="303">
        <f t="shared" ca="1" si="88"/>
        <v>0</v>
      </c>
      <c r="H455" s="296">
        <f t="shared" ca="1" si="89"/>
        <v>35.451000000000001</v>
      </c>
      <c r="I455" s="297">
        <f t="shared" ca="1" si="84"/>
        <v>-35</v>
      </c>
    </row>
    <row r="456" spans="1:9">
      <c r="A456" s="295">
        <f t="shared" si="85"/>
        <v>439</v>
      </c>
      <c r="B456" s="300">
        <f t="shared" si="90"/>
        <v>13332</v>
      </c>
      <c r="C456" s="296">
        <f t="shared" ca="1" si="86"/>
        <v>35.451000000000001</v>
      </c>
      <c r="D456" s="295"/>
      <c r="E456" s="296">
        <f t="shared" ca="1" si="94"/>
        <v>-9.0909090909090912E-2</v>
      </c>
      <c r="F456" s="296">
        <f t="shared" ca="1" si="83"/>
        <v>-9.0909090909090912E-2</v>
      </c>
      <c r="G456" s="303">
        <f t="shared" ca="1" si="88"/>
        <v>0</v>
      </c>
      <c r="H456" s="296">
        <f t="shared" ca="1" si="89"/>
        <v>35.541899999999998</v>
      </c>
      <c r="I456" s="297">
        <f t="shared" ca="1" si="84"/>
        <v>-36</v>
      </c>
    </row>
    <row r="457" spans="1:9">
      <c r="A457" s="295">
        <f t="shared" si="85"/>
        <v>440</v>
      </c>
      <c r="B457" s="300">
        <f t="shared" si="90"/>
        <v>13363</v>
      </c>
      <c r="C457" s="296">
        <f t="shared" ca="1" si="86"/>
        <v>35.541899999999998</v>
      </c>
      <c r="D457" s="295"/>
      <c r="E457" s="296">
        <f t="shared" ca="1" si="94"/>
        <v>-9.0909090909090912E-2</v>
      </c>
      <c r="F457" s="296">
        <f t="shared" ca="1" si="83"/>
        <v>-9.0909090909090912E-2</v>
      </c>
      <c r="G457" s="303">
        <f t="shared" ca="1" si="88"/>
        <v>0</v>
      </c>
      <c r="H457" s="296">
        <f t="shared" ca="1" si="89"/>
        <v>35.632800000000003</v>
      </c>
      <c r="I457" s="297">
        <f t="shared" ca="1" si="84"/>
        <v>-36</v>
      </c>
    </row>
    <row r="458" spans="1:9">
      <c r="A458" s="295">
        <f t="shared" si="85"/>
        <v>441</v>
      </c>
      <c r="B458" s="300">
        <f t="shared" si="90"/>
        <v>13394</v>
      </c>
      <c r="C458" s="296">
        <f t="shared" ca="1" si="86"/>
        <v>35.632800000000003</v>
      </c>
      <c r="D458" s="295"/>
      <c r="E458" s="296">
        <f t="shared" ca="1" si="94"/>
        <v>-9.0909090909090912E-2</v>
      </c>
      <c r="F458" s="296">
        <f t="shared" ca="1" si="83"/>
        <v>-9.0909090909090912E-2</v>
      </c>
      <c r="G458" s="303">
        <f t="shared" ca="1" si="88"/>
        <v>0</v>
      </c>
      <c r="H458" s="296">
        <f t="shared" ca="1" si="89"/>
        <v>35.723700000000001</v>
      </c>
      <c r="I458" s="297">
        <f t="shared" ca="1" si="84"/>
        <v>-36</v>
      </c>
    </row>
    <row r="459" spans="1:9">
      <c r="A459" s="295">
        <f t="shared" si="85"/>
        <v>442</v>
      </c>
      <c r="B459" s="300">
        <f t="shared" si="90"/>
        <v>13424</v>
      </c>
      <c r="C459" s="296">
        <f t="shared" ca="1" si="86"/>
        <v>35.723700000000001</v>
      </c>
      <c r="D459" s="295"/>
      <c r="E459" s="296">
        <f t="shared" ca="1" si="94"/>
        <v>-9.0909090909090912E-2</v>
      </c>
      <c r="F459" s="296">
        <f t="shared" ca="1" si="83"/>
        <v>-9.0909090909090912E-2</v>
      </c>
      <c r="G459" s="303">
        <f t="shared" ca="1" si="88"/>
        <v>0</v>
      </c>
      <c r="H459" s="296">
        <f t="shared" ca="1" si="89"/>
        <v>35.814599999999999</v>
      </c>
      <c r="I459" s="297">
        <f t="shared" ca="1" si="84"/>
        <v>-36</v>
      </c>
    </row>
    <row r="460" spans="1:9">
      <c r="A460" s="295">
        <f t="shared" si="85"/>
        <v>443</v>
      </c>
      <c r="B460" s="300">
        <f t="shared" si="90"/>
        <v>13455</v>
      </c>
      <c r="C460" s="296">
        <f t="shared" ca="1" si="86"/>
        <v>35.814599999999999</v>
      </c>
      <c r="D460" s="295"/>
      <c r="E460" s="296">
        <f t="shared" ca="1" si="94"/>
        <v>-9.0909090909090912E-2</v>
      </c>
      <c r="F460" s="296">
        <f t="shared" ca="1" si="83"/>
        <v>-9.0909090909090912E-2</v>
      </c>
      <c r="G460" s="303">
        <f t="shared" ca="1" si="88"/>
        <v>0</v>
      </c>
      <c r="H460" s="296">
        <f t="shared" ca="1" si="89"/>
        <v>35.905500000000004</v>
      </c>
      <c r="I460" s="297">
        <f t="shared" ca="1" si="84"/>
        <v>-36</v>
      </c>
    </row>
    <row r="461" spans="1:9">
      <c r="A461" s="295">
        <f t="shared" si="85"/>
        <v>444</v>
      </c>
      <c r="B461" s="300">
        <f t="shared" si="90"/>
        <v>13485</v>
      </c>
      <c r="C461" s="296">
        <f t="shared" ca="1" si="86"/>
        <v>35.905500000000004</v>
      </c>
      <c r="D461" s="296">
        <f ca="1">IF(H461&lt;0,0,(K54-L54)/11)</f>
        <v>-9.0909090909090912E-2</v>
      </c>
      <c r="E461" s="296">
        <f t="shared" ca="1" si="94"/>
        <v>-9.0909090909090912E-2</v>
      </c>
      <c r="F461" s="296">
        <f t="shared" ca="1" si="83"/>
        <v>-9.0909090909090912E-2</v>
      </c>
      <c r="G461" s="303">
        <f t="shared" ca="1" si="88"/>
        <v>0</v>
      </c>
      <c r="H461" s="296">
        <f t="shared" ca="1" si="89"/>
        <v>35.996400000000001</v>
      </c>
      <c r="I461" s="297">
        <f t="shared" ca="1" si="84"/>
        <v>-36</v>
      </c>
    </row>
    <row r="462" spans="1:9">
      <c r="A462" s="295">
        <f t="shared" si="85"/>
        <v>445</v>
      </c>
      <c r="B462" s="300">
        <f t="shared" si="90"/>
        <v>13516</v>
      </c>
      <c r="C462" s="296">
        <f t="shared" ca="1" si="86"/>
        <v>35.996400000000001</v>
      </c>
      <c r="D462" s="295"/>
      <c r="E462" s="296">
        <f>IF($D$10=1,
 IF(OR(MONTH(B462)=MONTH(EDATE($D$7,0)),MONTH(B462)=MONTH(EDATE($D$7,1)),MONTH(B462)=MONTH(EDATE($D$7,2)),MONTH(B462)=MONTH(EDATE($D$7,3)), MONTH(B462)=MONTH(EDATE($D$7,4)),MONTH(B462)=MONTH(EDATE($D$7,5)),MONTH(B462)=MONTH(EDATE($D$7,6)),MONTH(B462)=MONTH(EDATE($D$7,7)),MONTH(B462)=MONTH(EDATE($D$7,8)),MONTH(B462)=MONTH(EDATE($D$7,9)),MONTH(B462)=MONTH(EDATE($D$7,10))),(MIN( $D$461,H461)),0),
IF($D$10=0,
 IF(OR(MONTH(B462)=MONTH(EDATE($D$7,1)),MONTH(B462)=MONTH(EDATE($D$7,2)),MONTH(B462)=MONTH(EDATE($D$7,3)),MONTH(B462)=MONTH(EDATE($D$7,4)), MONTH(B462)=MONTH(EDATE($D$7,5)),MONTH(B462)=MONTH(EDATE($D$7,6)),MONTH(B462)=MONTH(EDATE($D$7,7)),MONTH(B462)=MONTH(EDATE($D$7,8)),MONTH(B462)=MONTH(EDATE($D$7,9)),MONTH(B462)=MONTH(EDATE($D$7,10)),MONTH(B462)=MONTH(EDATE($D$7,11))),(MIN( $D$461,H461)),0)))</f>
        <v>0</v>
      </c>
      <c r="F462" s="296">
        <f t="shared" ca="1" si="83"/>
        <v>0</v>
      </c>
      <c r="G462" s="303">
        <f t="shared" ca="1" si="88"/>
        <v>0</v>
      </c>
      <c r="H462" s="296">
        <f t="shared" ca="1" si="89"/>
        <v>35.996400000000001</v>
      </c>
      <c r="I462" s="297">
        <f t="shared" ca="1" si="84"/>
        <v>-36</v>
      </c>
    </row>
    <row r="463" spans="1:9">
      <c r="A463" s="295">
        <f t="shared" si="85"/>
        <v>446</v>
      </c>
      <c r="B463" s="300">
        <f t="shared" si="90"/>
        <v>13547</v>
      </c>
      <c r="C463" s="296">
        <f t="shared" ca="1" si="86"/>
        <v>35.996400000000001</v>
      </c>
      <c r="D463" s="295"/>
      <c r="E463" s="296">
        <f t="shared" ref="E463:E473" ca="1" si="95">IF($D$10=1,
 IF(OR(MONTH(B463)=MONTH(EDATE($D$7,0)),MONTH(B463)=MONTH(EDATE($D$7,1)),MONTH(B463)=MONTH(EDATE($D$7,2)),MONTH(B463)=MONTH(EDATE($D$7,3)), MONTH(B463)=MONTH(EDATE($D$7,4)),MONTH(B463)=MONTH(EDATE($D$7,5)),MONTH(B463)=MONTH(EDATE($D$7,6)),MONTH(B463)=MONTH(EDATE($D$7,7)),MONTH(B463)=MONTH(EDATE($D$7,8)),MONTH(B463)=MONTH(EDATE($D$7,9)),MONTH(B463)=MONTH(EDATE($D$7,10))),(MIN( $D$461,H462)),0),
IF($D$10=0,
 IF(OR(MONTH(B463)=MONTH(EDATE($D$7,1)),MONTH(B463)=MONTH(EDATE($D$7,2)),MONTH(B463)=MONTH(EDATE($D$7,3)),MONTH(B463)=MONTH(EDATE($D$7,4)), MONTH(B463)=MONTH(EDATE($D$7,5)),MONTH(B463)=MONTH(EDATE($D$7,6)),MONTH(B463)=MONTH(EDATE($D$7,7)),MONTH(B463)=MONTH(EDATE($D$7,8)),MONTH(B463)=MONTH(EDATE($D$7,9)),MONTH(B463)=MONTH(EDATE($D$7,10)),MONTH(B463)=MONTH(EDATE($D$7,11))),(MIN( $D$461,H462)),0)))</f>
        <v>-9.0909090909090912E-2</v>
      </c>
      <c r="F463" s="296">
        <f t="shared" ca="1" si="83"/>
        <v>-9.0909090909090912E-2</v>
      </c>
      <c r="G463" s="303">
        <f t="shared" ca="1" si="88"/>
        <v>0</v>
      </c>
      <c r="H463" s="296">
        <f t="shared" ca="1" si="89"/>
        <v>36.087299999999999</v>
      </c>
      <c r="I463" s="297">
        <f t="shared" ca="1" si="84"/>
        <v>-36</v>
      </c>
    </row>
    <row r="464" spans="1:9">
      <c r="A464" s="295">
        <f t="shared" si="85"/>
        <v>447</v>
      </c>
      <c r="B464" s="300">
        <f t="shared" si="90"/>
        <v>13575</v>
      </c>
      <c r="C464" s="296">
        <f t="shared" ca="1" si="86"/>
        <v>36.087299999999999</v>
      </c>
      <c r="D464" s="295"/>
      <c r="E464" s="296">
        <f t="shared" ca="1" si="95"/>
        <v>-9.0909090909090912E-2</v>
      </c>
      <c r="F464" s="296">
        <f t="shared" ca="1" si="83"/>
        <v>-9.0909090909090912E-2</v>
      </c>
      <c r="G464" s="303">
        <f t="shared" ca="1" si="88"/>
        <v>0</v>
      </c>
      <c r="H464" s="296">
        <f t="shared" ca="1" si="89"/>
        <v>36.178199999999997</v>
      </c>
      <c r="I464" s="297">
        <f t="shared" ca="1" si="84"/>
        <v>-36</v>
      </c>
    </row>
    <row r="465" spans="1:9">
      <c r="A465" s="295">
        <f t="shared" si="85"/>
        <v>448</v>
      </c>
      <c r="B465" s="300">
        <f t="shared" si="90"/>
        <v>13606</v>
      </c>
      <c r="C465" s="296">
        <f t="shared" ca="1" si="86"/>
        <v>36.178199999999997</v>
      </c>
      <c r="D465" s="295"/>
      <c r="E465" s="296">
        <f t="shared" ca="1" si="95"/>
        <v>-9.0909090909090912E-2</v>
      </c>
      <c r="F465" s="296">
        <f t="shared" ca="1" si="83"/>
        <v>-9.0909090909090912E-2</v>
      </c>
      <c r="G465" s="303">
        <f t="shared" ca="1" si="88"/>
        <v>0</v>
      </c>
      <c r="H465" s="296">
        <f t="shared" ca="1" si="89"/>
        <v>36.269100000000002</v>
      </c>
      <c r="I465" s="297">
        <f t="shared" ca="1" si="84"/>
        <v>-36</v>
      </c>
    </row>
    <row r="466" spans="1:9">
      <c r="A466" s="295">
        <f t="shared" si="85"/>
        <v>449</v>
      </c>
      <c r="B466" s="300">
        <f t="shared" si="90"/>
        <v>13636</v>
      </c>
      <c r="C466" s="296">
        <f t="shared" ca="1" si="86"/>
        <v>36.269100000000002</v>
      </c>
      <c r="D466" s="295"/>
      <c r="E466" s="296">
        <f t="shared" ca="1" si="95"/>
        <v>-9.0909090909090912E-2</v>
      </c>
      <c r="F466" s="296">
        <f t="shared" ref="F466:F497" ca="1" si="96">IF(E466="","",E466-G466)</f>
        <v>-9.0909090909090912E-2</v>
      </c>
      <c r="G466" s="303">
        <f t="shared" ca="1" si="88"/>
        <v>0</v>
      </c>
      <c r="H466" s="296">
        <f t="shared" ca="1" si="89"/>
        <v>36.36</v>
      </c>
      <c r="I466" s="297">
        <f t="shared" ref="I466:I497" ca="1" si="97">ROUND((D466-H466),0)</f>
        <v>-36</v>
      </c>
    </row>
    <row r="467" spans="1:9">
      <c r="A467" s="295">
        <f t="shared" ref="A467:A497" si="98">IF(A466="","",IF(A466=$D$6,"",A466+1))</f>
        <v>450</v>
      </c>
      <c r="B467" s="300">
        <f t="shared" si="90"/>
        <v>13667</v>
      </c>
      <c r="C467" s="296">
        <f t="shared" ref="C467:C497" ca="1" si="99">IF(H466=0,0,H466)</f>
        <v>36.36</v>
      </c>
      <c r="D467" s="295"/>
      <c r="E467" s="296">
        <f t="shared" ca="1" si="95"/>
        <v>-9.0909090909090912E-2</v>
      </c>
      <c r="F467" s="296">
        <f t="shared" ca="1" si="96"/>
        <v>-9.0909090909090912E-2</v>
      </c>
      <c r="G467" s="303">
        <f t="shared" ref="G467:G497" ca="1" si="100">ROUND((C467-E467)*$D$5,3)</f>
        <v>0</v>
      </c>
      <c r="H467" s="296">
        <f t="shared" ref="H467:H497" ca="1" si="101">IF(E467="","",ROUND(H466-F467,4))</f>
        <v>36.450899999999997</v>
      </c>
      <c r="I467" s="297">
        <f t="shared" ca="1" si="97"/>
        <v>-36</v>
      </c>
    </row>
    <row r="468" spans="1:9">
      <c r="A468" s="295">
        <f t="shared" si="98"/>
        <v>451</v>
      </c>
      <c r="B468" s="300">
        <f t="shared" ref="B468:B497" si="102">DATE(YEAR(B467),MONTH(B467)+1,1)</f>
        <v>13697</v>
      </c>
      <c r="C468" s="296">
        <f t="shared" ca="1" si="99"/>
        <v>36.450899999999997</v>
      </c>
      <c r="D468" s="295"/>
      <c r="E468" s="296">
        <f t="shared" ca="1" si="95"/>
        <v>-9.0909090909090912E-2</v>
      </c>
      <c r="F468" s="296">
        <f t="shared" ca="1" si="96"/>
        <v>-9.0909090909090912E-2</v>
      </c>
      <c r="G468" s="303">
        <f t="shared" ca="1" si="100"/>
        <v>0</v>
      </c>
      <c r="H468" s="296">
        <f t="shared" ca="1" si="101"/>
        <v>36.541800000000002</v>
      </c>
      <c r="I468" s="297">
        <f t="shared" ca="1" si="97"/>
        <v>-37</v>
      </c>
    </row>
    <row r="469" spans="1:9">
      <c r="A469" s="295">
        <f t="shared" si="98"/>
        <v>452</v>
      </c>
      <c r="B469" s="300">
        <f t="shared" si="102"/>
        <v>13728</v>
      </c>
      <c r="C469" s="296">
        <f t="shared" ca="1" si="99"/>
        <v>36.541800000000002</v>
      </c>
      <c r="D469" s="295"/>
      <c r="E469" s="296">
        <f t="shared" ca="1" si="95"/>
        <v>-9.0909090909090912E-2</v>
      </c>
      <c r="F469" s="296">
        <f t="shared" ca="1" si="96"/>
        <v>-9.0909090909090912E-2</v>
      </c>
      <c r="G469" s="303">
        <f t="shared" ca="1" si="100"/>
        <v>0</v>
      </c>
      <c r="H469" s="296">
        <f t="shared" ca="1" si="101"/>
        <v>36.6327</v>
      </c>
      <c r="I469" s="297">
        <f t="shared" ca="1" si="97"/>
        <v>-37</v>
      </c>
    </row>
    <row r="470" spans="1:9">
      <c r="A470" s="295">
        <f t="shared" si="98"/>
        <v>453</v>
      </c>
      <c r="B470" s="300">
        <f t="shared" si="102"/>
        <v>13759</v>
      </c>
      <c r="C470" s="296">
        <f t="shared" ca="1" si="99"/>
        <v>36.6327</v>
      </c>
      <c r="D470" s="295"/>
      <c r="E470" s="296">
        <f t="shared" ca="1" si="95"/>
        <v>-9.0909090909090912E-2</v>
      </c>
      <c r="F470" s="296">
        <f t="shared" ca="1" si="96"/>
        <v>-9.0909090909090912E-2</v>
      </c>
      <c r="G470" s="303">
        <f t="shared" ca="1" si="100"/>
        <v>0</v>
      </c>
      <c r="H470" s="296">
        <f t="shared" ca="1" si="101"/>
        <v>36.723599999999998</v>
      </c>
      <c r="I470" s="297">
        <f t="shared" ca="1" si="97"/>
        <v>-37</v>
      </c>
    </row>
    <row r="471" spans="1:9">
      <c r="A471" s="295">
        <f t="shared" si="98"/>
        <v>454</v>
      </c>
      <c r="B471" s="300">
        <f t="shared" si="102"/>
        <v>13789</v>
      </c>
      <c r="C471" s="296">
        <f t="shared" ca="1" si="99"/>
        <v>36.723599999999998</v>
      </c>
      <c r="D471" s="295"/>
      <c r="E471" s="296">
        <f t="shared" ca="1" si="95"/>
        <v>-9.0909090909090912E-2</v>
      </c>
      <c r="F471" s="296">
        <f t="shared" ca="1" si="96"/>
        <v>-9.0909090909090912E-2</v>
      </c>
      <c r="G471" s="303">
        <f t="shared" ca="1" si="100"/>
        <v>0</v>
      </c>
      <c r="H471" s="296">
        <f t="shared" ca="1" si="101"/>
        <v>36.814500000000002</v>
      </c>
      <c r="I471" s="297">
        <f t="shared" ca="1" si="97"/>
        <v>-37</v>
      </c>
    </row>
    <row r="472" spans="1:9">
      <c r="A472" s="295">
        <f t="shared" si="98"/>
        <v>455</v>
      </c>
      <c r="B472" s="300">
        <f t="shared" si="102"/>
        <v>13820</v>
      </c>
      <c r="C472" s="296">
        <f t="shared" ca="1" si="99"/>
        <v>36.814500000000002</v>
      </c>
      <c r="D472" s="295"/>
      <c r="E472" s="296">
        <f t="shared" ca="1" si="95"/>
        <v>-9.0909090909090912E-2</v>
      </c>
      <c r="F472" s="296">
        <f t="shared" ca="1" si="96"/>
        <v>-9.0909090909090912E-2</v>
      </c>
      <c r="G472" s="303">
        <f t="shared" ca="1" si="100"/>
        <v>0</v>
      </c>
      <c r="H472" s="296">
        <f t="shared" ca="1" si="101"/>
        <v>36.9054</v>
      </c>
      <c r="I472" s="297">
        <f t="shared" ca="1" si="97"/>
        <v>-37</v>
      </c>
    </row>
    <row r="473" spans="1:9">
      <c r="A473" s="295">
        <f t="shared" si="98"/>
        <v>456</v>
      </c>
      <c r="B473" s="300">
        <f t="shared" si="102"/>
        <v>13850</v>
      </c>
      <c r="C473" s="296">
        <f t="shared" ca="1" si="99"/>
        <v>36.9054</v>
      </c>
      <c r="D473" s="296">
        <f ca="1">IF(H473&lt;0,0,(K55-L55)/11)</f>
        <v>-9.0909090909090912E-2</v>
      </c>
      <c r="E473" s="296">
        <f t="shared" ca="1" si="95"/>
        <v>-9.0909090909090912E-2</v>
      </c>
      <c r="F473" s="296">
        <f t="shared" ca="1" si="96"/>
        <v>-9.0909090909090912E-2</v>
      </c>
      <c r="G473" s="303">
        <f t="shared" ca="1" si="100"/>
        <v>0</v>
      </c>
      <c r="H473" s="296">
        <f t="shared" ca="1" si="101"/>
        <v>36.996299999999998</v>
      </c>
      <c r="I473" s="297">
        <f t="shared" ca="1" si="97"/>
        <v>-37</v>
      </c>
    </row>
    <row r="474" spans="1:9">
      <c r="A474" s="295">
        <f t="shared" si="98"/>
        <v>457</v>
      </c>
      <c r="B474" s="300">
        <f t="shared" si="102"/>
        <v>13881</v>
      </c>
      <c r="C474" s="296">
        <f t="shared" ca="1" si="99"/>
        <v>36.996299999999998</v>
      </c>
      <c r="D474" s="295"/>
      <c r="E474" s="296">
        <f>IF($D$10=1,
 IF(OR(MONTH(B474)=MONTH(EDATE($D$7,0)),MONTH(B474)=MONTH(EDATE($D$7,1)),MONTH(B474)=MONTH(EDATE($D$7,2)),MONTH(B474)=MONTH(EDATE($D$7,3)), MONTH(B474)=MONTH(EDATE($D$7,4)),MONTH(B474)=MONTH(EDATE($D$7,5)),MONTH(B474)=MONTH(EDATE($D$7,6)),MONTH(B474)=MONTH(EDATE($D$7,7)),MONTH(B474)=MONTH(EDATE($D$7,8)),MONTH(B474)=MONTH(EDATE($D$7,9)),MONTH(B474)=MONTH(EDATE($D$7,10))),(MIN( $D$473,H473)),0),
IF($D$10=0,
 IF(OR(MONTH(B474)=MONTH(EDATE($D$7,1)),MONTH(B474)=MONTH(EDATE($D$7,2)),MONTH(B474)=MONTH(EDATE($D$7,3)),MONTH(B474)=MONTH(EDATE($D$7,4)), MONTH(B474)=MONTH(EDATE($D$7,5)),MONTH(B474)=MONTH(EDATE($D$7,6)),MONTH(B474)=MONTH(EDATE($D$7,7)),MONTH(B474)=MONTH(EDATE($D$7,8)),MONTH(B474)=MONTH(EDATE($D$7,9)),MONTH(B474)=MONTH(EDATE($D$7,10)),MONTH(B474)=MONTH(EDATE($D$7,11))),(MIN( $D$473,H473)),0)))</f>
        <v>0</v>
      </c>
      <c r="F474" s="296">
        <f t="shared" ca="1" si="96"/>
        <v>0</v>
      </c>
      <c r="G474" s="303">
        <f t="shared" ca="1" si="100"/>
        <v>0</v>
      </c>
      <c r="H474" s="296">
        <f t="shared" ca="1" si="101"/>
        <v>36.996299999999998</v>
      </c>
      <c r="I474" s="297">
        <f t="shared" ca="1" si="97"/>
        <v>-37</v>
      </c>
    </row>
    <row r="475" spans="1:9">
      <c r="A475" s="295">
        <f t="shared" si="98"/>
        <v>458</v>
      </c>
      <c r="B475" s="300">
        <f t="shared" si="102"/>
        <v>13912</v>
      </c>
      <c r="C475" s="296">
        <f t="shared" ca="1" si="99"/>
        <v>36.996299999999998</v>
      </c>
      <c r="D475" s="295"/>
      <c r="E475" s="296">
        <f t="shared" ref="E475:E485" ca="1" si="103">IF($D$10=1,
 IF(OR(MONTH(B475)=MONTH(EDATE($D$7,0)),MONTH(B475)=MONTH(EDATE($D$7,1)),MONTH(B475)=MONTH(EDATE($D$7,2)),MONTH(B475)=MONTH(EDATE($D$7,3)), MONTH(B475)=MONTH(EDATE($D$7,4)),MONTH(B475)=MONTH(EDATE($D$7,5)),MONTH(B475)=MONTH(EDATE($D$7,6)),MONTH(B475)=MONTH(EDATE($D$7,7)),MONTH(B475)=MONTH(EDATE($D$7,8)),MONTH(B475)=MONTH(EDATE($D$7,9)),MONTH(B475)=MONTH(EDATE($D$7,10))),(MIN( $D$473,H474)),0),
IF($D$10=0,
 IF(OR(MONTH(B475)=MONTH(EDATE($D$7,1)),MONTH(B475)=MONTH(EDATE($D$7,2)),MONTH(B475)=MONTH(EDATE($D$7,3)),MONTH(B475)=MONTH(EDATE($D$7,4)), MONTH(B475)=MONTH(EDATE($D$7,5)),MONTH(B475)=MONTH(EDATE($D$7,6)),MONTH(B475)=MONTH(EDATE($D$7,7)),MONTH(B475)=MONTH(EDATE($D$7,8)),MONTH(B475)=MONTH(EDATE($D$7,9)),MONTH(B475)=MONTH(EDATE($D$7,10)),MONTH(B475)=MONTH(EDATE($D$7,11))),(MIN( $D$473,H474)),0)))</f>
        <v>-9.0909090909090912E-2</v>
      </c>
      <c r="F475" s="296">
        <f t="shared" ca="1" si="96"/>
        <v>-9.0909090909090912E-2</v>
      </c>
      <c r="G475" s="303">
        <f t="shared" ca="1" si="100"/>
        <v>0</v>
      </c>
      <c r="H475" s="296">
        <f t="shared" ca="1" si="101"/>
        <v>37.087200000000003</v>
      </c>
      <c r="I475" s="297">
        <f t="shared" ca="1" si="97"/>
        <v>-37</v>
      </c>
    </row>
    <row r="476" spans="1:9">
      <c r="A476" s="295">
        <f t="shared" si="98"/>
        <v>459</v>
      </c>
      <c r="B476" s="300">
        <f t="shared" si="102"/>
        <v>13940</v>
      </c>
      <c r="C476" s="296">
        <f t="shared" ca="1" si="99"/>
        <v>37.087200000000003</v>
      </c>
      <c r="D476" s="295"/>
      <c r="E476" s="296">
        <f t="shared" ca="1" si="103"/>
        <v>-9.0909090909090912E-2</v>
      </c>
      <c r="F476" s="296">
        <f t="shared" ca="1" si="96"/>
        <v>-9.0909090909090912E-2</v>
      </c>
      <c r="G476" s="303">
        <f t="shared" ca="1" si="100"/>
        <v>0</v>
      </c>
      <c r="H476" s="296">
        <f t="shared" ca="1" si="101"/>
        <v>37.178100000000001</v>
      </c>
      <c r="I476" s="297">
        <f t="shared" ca="1" si="97"/>
        <v>-37</v>
      </c>
    </row>
    <row r="477" spans="1:9">
      <c r="A477" s="295">
        <f t="shared" si="98"/>
        <v>460</v>
      </c>
      <c r="B477" s="300">
        <f t="shared" si="102"/>
        <v>13971</v>
      </c>
      <c r="C477" s="296">
        <f t="shared" ca="1" si="99"/>
        <v>37.178100000000001</v>
      </c>
      <c r="D477" s="295"/>
      <c r="E477" s="296">
        <f t="shared" ca="1" si="103"/>
        <v>-9.0909090909090912E-2</v>
      </c>
      <c r="F477" s="296">
        <f t="shared" ca="1" si="96"/>
        <v>-9.0909090909090912E-2</v>
      </c>
      <c r="G477" s="303">
        <f t="shared" ca="1" si="100"/>
        <v>0</v>
      </c>
      <c r="H477" s="296">
        <f t="shared" ca="1" si="101"/>
        <v>37.268999999999998</v>
      </c>
      <c r="I477" s="297">
        <f t="shared" ca="1" si="97"/>
        <v>-37</v>
      </c>
    </row>
    <row r="478" spans="1:9">
      <c r="A478" s="295">
        <f t="shared" si="98"/>
        <v>461</v>
      </c>
      <c r="B478" s="300">
        <f t="shared" si="102"/>
        <v>14001</v>
      </c>
      <c r="C478" s="296">
        <f t="shared" ca="1" si="99"/>
        <v>37.268999999999998</v>
      </c>
      <c r="D478" s="295"/>
      <c r="E478" s="296">
        <f t="shared" ca="1" si="103"/>
        <v>-9.0909090909090912E-2</v>
      </c>
      <c r="F478" s="296">
        <f t="shared" ca="1" si="96"/>
        <v>-9.0909090909090912E-2</v>
      </c>
      <c r="G478" s="303">
        <f t="shared" ca="1" si="100"/>
        <v>0</v>
      </c>
      <c r="H478" s="296">
        <f t="shared" ca="1" si="101"/>
        <v>37.359900000000003</v>
      </c>
      <c r="I478" s="297">
        <f t="shared" ca="1" si="97"/>
        <v>-37</v>
      </c>
    </row>
    <row r="479" spans="1:9">
      <c r="A479" s="295">
        <f t="shared" si="98"/>
        <v>462</v>
      </c>
      <c r="B479" s="300">
        <f t="shared" si="102"/>
        <v>14032</v>
      </c>
      <c r="C479" s="296">
        <f t="shared" ca="1" si="99"/>
        <v>37.359900000000003</v>
      </c>
      <c r="D479" s="295"/>
      <c r="E479" s="296">
        <f t="shared" ca="1" si="103"/>
        <v>-9.0909090909090912E-2</v>
      </c>
      <c r="F479" s="296">
        <f t="shared" ca="1" si="96"/>
        <v>-9.0909090909090912E-2</v>
      </c>
      <c r="G479" s="303">
        <f t="shared" ca="1" si="100"/>
        <v>0</v>
      </c>
      <c r="H479" s="296">
        <f t="shared" ca="1" si="101"/>
        <v>37.450800000000001</v>
      </c>
      <c r="I479" s="297">
        <f t="shared" ca="1" si="97"/>
        <v>-37</v>
      </c>
    </row>
    <row r="480" spans="1:9">
      <c r="A480" s="295">
        <f t="shared" si="98"/>
        <v>463</v>
      </c>
      <c r="B480" s="300">
        <f t="shared" si="102"/>
        <v>14062</v>
      </c>
      <c r="C480" s="296">
        <f t="shared" ca="1" si="99"/>
        <v>37.450800000000001</v>
      </c>
      <c r="D480" s="295"/>
      <c r="E480" s="296">
        <f t="shared" ca="1" si="103"/>
        <v>-9.0909090909090912E-2</v>
      </c>
      <c r="F480" s="296">
        <f t="shared" ca="1" si="96"/>
        <v>-9.0909090909090912E-2</v>
      </c>
      <c r="G480" s="303">
        <f t="shared" ca="1" si="100"/>
        <v>0</v>
      </c>
      <c r="H480" s="296">
        <f t="shared" ca="1" si="101"/>
        <v>37.541699999999999</v>
      </c>
      <c r="I480" s="297">
        <f t="shared" ca="1" si="97"/>
        <v>-38</v>
      </c>
    </row>
    <row r="481" spans="1:9">
      <c r="A481" s="295">
        <f t="shared" si="98"/>
        <v>464</v>
      </c>
      <c r="B481" s="300">
        <f t="shared" si="102"/>
        <v>14093</v>
      </c>
      <c r="C481" s="296">
        <f t="shared" ca="1" si="99"/>
        <v>37.541699999999999</v>
      </c>
      <c r="D481" s="295"/>
      <c r="E481" s="296">
        <f t="shared" ca="1" si="103"/>
        <v>-9.0909090909090912E-2</v>
      </c>
      <c r="F481" s="296">
        <f t="shared" ca="1" si="96"/>
        <v>-9.0909090909090912E-2</v>
      </c>
      <c r="G481" s="303">
        <f t="shared" ca="1" si="100"/>
        <v>0</v>
      </c>
      <c r="H481" s="296">
        <f t="shared" ca="1" si="101"/>
        <v>37.632599999999996</v>
      </c>
      <c r="I481" s="297">
        <f t="shared" ca="1" si="97"/>
        <v>-38</v>
      </c>
    </row>
    <row r="482" spans="1:9">
      <c r="A482" s="295">
        <f t="shared" si="98"/>
        <v>465</v>
      </c>
      <c r="B482" s="300">
        <f t="shared" si="102"/>
        <v>14124</v>
      </c>
      <c r="C482" s="296">
        <f t="shared" ca="1" si="99"/>
        <v>37.632599999999996</v>
      </c>
      <c r="D482" s="295"/>
      <c r="E482" s="296">
        <f t="shared" ca="1" si="103"/>
        <v>-9.0909090909090912E-2</v>
      </c>
      <c r="F482" s="296">
        <f t="shared" ca="1" si="96"/>
        <v>-9.0909090909090912E-2</v>
      </c>
      <c r="G482" s="303">
        <f t="shared" ca="1" si="100"/>
        <v>0</v>
      </c>
      <c r="H482" s="296">
        <f t="shared" ca="1" si="101"/>
        <v>37.723500000000001</v>
      </c>
      <c r="I482" s="297">
        <f t="shared" ca="1" si="97"/>
        <v>-38</v>
      </c>
    </row>
    <row r="483" spans="1:9">
      <c r="A483" s="295">
        <f t="shared" si="98"/>
        <v>466</v>
      </c>
      <c r="B483" s="300">
        <f t="shared" si="102"/>
        <v>14154</v>
      </c>
      <c r="C483" s="296">
        <f t="shared" ca="1" si="99"/>
        <v>37.723500000000001</v>
      </c>
      <c r="D483" s="295"/>
      <c r="E483" s="296">
        <f t="shared" ca="1" si="103"/>
        <v>-9.0909090909090912E-2</v>
      </c>
      <c r="F483" s="296">
        <f t="shared" ca="1" si="96"/>
        <v>-9.0909090909090912E-2</v>
      </c>
      <c r="G483" s="303">
        <f t="shared" ca="1" si="100"/>
        <v>0</v>
      </c>
      <c r="H483" s="296">
        <f t="shared" ca="1" si="101"/>
        <v>37.814399999999999</v>
      </c>
      <c r="I483" s="297">
        <f t="shared" ca="1" si="97"/>
        <v>-38</v>
      </c>
    </row>
    <row r="484" spans="1:9">
      <c r="A484" s="295">
        <f t="shared" si="98"/>
        <v>467</v>
      </c>
      <c r="B484" s="300">
        <f t="shared" si="102"/>
        <v>14185</v>
      </c>
      <c r="C484" s="296">
        <f t="shared" ca="1" si="99"/>
        <v>37.814399999999999</v>
      </c>
      <c r="D484" s="295"/>
      <c r="E484" s="296">
        <f t="shared" ca="1" si="103"/>
        <v>-9.0909090909090912E-2</v>
      </c>
      <c r="F484" s="296">
        <f t="shared" ca="1" si="96"/>
        <v>-9.0909090909090912E-2</v>
      </c>
      <c r="G484" s="303">
        <f t="shared" ca="1" si="100"/>
        <v>0</v>
      </c>
      <c r="H484" s="296">
        <f t="shared" ca="1" si="101"/>
        <v>37.905299999999997</v>
      </c>
      <c r="I484" s="297">
        <f t="shared" ca="1" si="97"/>
        <v>-38</v>
      </c>
    </row>
    <row r="485" spans="1:9">
      <c r="A485" s="295">
        <f t="shared" si="98"/>
        <v>468</v>
      </c>
      <c r="B485" s="300">
        <f t="shared" si="102"/>
        <v>14215</v>
      </c>
      <c r="C485" s="296">
        <f t="shared" ca="1" si="99"/>
        <v>37.905299999999997</v>
      </c>
      <c r="D485" s="296">
        <f ca="1">IF(H485&lt;0,0,(K56-L56)/11)</f>
        <v>-9.0909090909090912E-2</v>
      </c>
      <c r="E485" s="296">
        <f t="shared" ca="1" si="103"/>
        <v>-9.0909090909090912E-2</v>
      </c>
      <c r="F485" s="296">
        <f t="shared" ca="1" si="96"/>
        <v>-9.0909090909090912E-2</v>
      </c>
      <c r="G485" s="303">
        <f t="shared" ca="1" si="100"/>
        <v>0</v>
      </c>
      <c r="H485" s="296">
        <f t="shared" ca="1" si="101"/>
        <v>37.996200000000002</v>
      </c>
      <c r="I485" s="297">
        <f t="shared" ca="1" si="97"/>
        <v>-38</v>
      </c>
    </row>
    <row r="486" spans="1:9">
      <c r="A486" s="295">
        <f t="shared" si="98"/>
        <v>469</v>
      </c>
      <c r="B486" s="300">
        <f t="shared" si="102"/>
        <v>14246</v>
      </c>
      <c r="C486" s="296">
        <f t="shared" ca="1" si="99"/>
        <v>37.996200000000002</v>
      </c>
      <c r="D486" s="296"/>
      <c r="E486" s="296">
        <f>IF($D$10=1,
 IF(OR(MONTH(B486)=MONTH(EDATE($D$7,0)),MONTH(B486)=MONTH(EDATE($D$7,1)),MONTH(B486)=MONTH(EDATE($D$7,2)),MONTH(B486)=MONTH(EDATE($D$7,3)), MONTH(B486)=MONTH(EDATE($D$7,4)),MONTH(B486)=MONTH(EDATE($D$7,5)),MONTH(B486)=MONTH(EDATE($D$7,6)),MONTH(B486)=MONTH(EDATE($D$7,7)),MONTH(B486)=MONTH(EDATE($D$7,8)),MONTH(B486)=MONTH(EDATE($D$7,9)),MONTH(B486)=MONTH(EDATE($D$7,10))),(MIN( $D$485,H485)),0),
IF($D$10=0,
 IF(OR(MONTH(B486)=MONTH(EDATE($D$7,1)),MONTH(B486)=MONTH(EDATE($D$7,2)),MONTH(B486)=MONTH(EDATE($D$7,3)),MONTH(B486)=MONTH(EDATE($D$7,4)), MONTH(B486)=MONTH(EDATE($D$7,5)),MONTH(B486)=MONTH(EDATE($D$7,6)),MONTH(B486)=MONTH(EDATE($D$7,7)),MONTH(B486)=MONTH(EDATE($D$7,8)),MONTH(B486)=MONTH(EDATE($D$7,9)),MONTH(B486)=MONTH(EDATE($D$7,10)),MONTH(B486)=MONTH(EDATE($D$7,11))),(MIN( $D$485,H485)),0)))</f>
        <v>0</v>
      </c>
      <c r="F486" s="296">
        <f t="shared" ca="1" si="96"/>
        <v>0</v>
      </c>
      <c r="G486" s="303">
        <f t="shared" ca="1" si="100"/>
        <v>0</v>
      </c>
      <c r="H486" s="296">
        <f t="shared" ca="1" si="101"/>
        <v>37.996200000000002</v>
      </c>
      <c r="I486" s="297">
        <f t="shared" ca="1" si="97"/>
        <v>-38</v>
      </c>
    </row>
    <row r="487" spans="1:9">
      <c r="A487" s="295">
        <f t="shared" si="98"/>
        <v>470</v>
      </c>
      <c r="B487" s="300">
        <f t="shared" si="102"/>
        <v>14277</v>
      </c>
      <c r="C487" s="296">
        <f t="shared" ca="1" si="99"/>
        <v>37.996200000000002</v>
      </c>
      <c r="D487" s="295"/>
      <c r="E487" s="296">
        <f t="shared" ref="E487:E497" ca="1" si="104">IF($D$10=1,
 IF(OR(MONTH(B487)=MONTH(EDATE($D$7,0)),MONTH(B487)=MONTH(EDATE($D$7,1)),MONTH(B487)=MONTH(EDATE($D$7,2)),MONTH(B487)=MONTH(EDATE($D$7,3)), MONTH(B487)=MONTH(EDATE($D$7,4)),MONTH(B487)=MONTH(EDATE($D$7,5)),MONTH(B487)=MONTH(EDATE($D$7,6)),MONTH(B487)=MONTH(EDATE($D$7,7)),MONTH(B487)=MONTH(EDATE($D$7,8)),MONTH(B487)=MONTH(EDATE($D$7,9)),MONTH(B487)=MONTH(EDATE($D$7,10))),(MIN( $D$485,H486)),0),
IF($D$10=0,
 IF(OR(MONTH(B487)=MONTH(EDATE($D$7,1)),MONTH(B487)=MONTH(EDATE($D$7,2)),MONTH(B487)=MONTH(EDATE($D$7,3)),MONTH(B487)=MONTH(EDATE($D$7,4)), MONTH(B487)=MONTH(EDATE($D$7,5)),MONTH(B487)=MONTH(EDATE($D$7,6)),MONTH(B487)=MONTH(EDATE($D$7,7)),MONTH(B487)=MONTH(EDATE($D$7,8)),MONTH(B487)=MONTH(EDATE($D$7,9)),MONTH(B487)=MONTH(EDATE($D$7,10)),MONTH(B487)=MONTH(EDATE($D$7,11))),(MIN( $D$485,H486)),0)))</f>
        <v>-9.0909090909090912E-2</v>
      </c>
      <c r="F487" s="296">
        <f t="shared" ca="1" si="96"/>
        <v>-9.0909090909090912E-2</v>
      </c>
      <c r="G487" s="303">
        <f t="shared" ca="1" si="100"/>
        <v>0</v>
      </c>
      <c r="H487" s="296">
        <f t="shared" ca="1" si="101"/>
        <v>38.0871</v>
      </c>
      <c r="I487" s="297">
        <f t="shared" ca="1" si="97"/>
        <v>-38</v>
      </c>
    </row>
    <row r="488" spans="1:9">
      <c r="A488" s="295">
        <f t="shared" si="98"/>
        <v>471</v>
      </c>
      <c r="B488" s="300">
        <f t="shared" si="102"/>
        <v>14305</v>
      </c>
      <c r="C488" s="296">
        <f t="shared" ca="1" si="99"/>
        <v>38.0871</v>
      </c>
      <c r="D488" s="295"/>
      <c r="E488" s="296">
        <f t="shared" ca="1" si="104"/>
        <v>-9.0909090909090912E-2</v>
      </c>
      <c r="F488" s="296">
        <f t="shared" ca="1" si="96"/>
        <v>-9.0909090909090912E-2</v>
      </c>
      <c r="G488" s="303">
        <f t="shared" ca="1" si="100"/>
        <v>0</v>
      </c>
      <c r="H488" s="296">
        <f t="shared" ca="1" si="101"/>
        <v>38.177999999999997</v>
      </c>
      <c r="I488" s="297">
        <f t="shared" ca="1" si="97"/>
        <v>-38</v>
      </c>
    </row>
    <row r="489" spans="1:9">
      <c r="A489" s="295">
        <f t="shared" si="98"/>
        <v>472</v>
      </c>
      <c r="B489" s="300">
        <f t="shared" si="102"/>
        <v>14336</v>
      </c>
      <c r="C489" s="296">
        <f t="shared" ca="1" si="99"/>
        <v>38.177999999999997</v>
      </c>
      <c r="D489" s="295"/>
      <c r="E489" s="296">
        <f t="shared" ca="1" si="104"/>
        <v>-9.0909090909090912E-2</v>
      </c>
      <c r="F489" s="296">
        <f t="shared" ca="1" si="96"/>
        <v>-9.0909090909090912E-2</v>
      </c>
      <c r="G489" s="303">
        <f t="shared" ca="1" si="100"/>
        <v>0</v>
      </c>
      <c r="H489" s="296">
        <f t="shared" ca="1" si="101"/>
        <v>38.268900000000002</v>
      </c>
      <c r="I489" s="297">
        <f t="shared" ca="1" si="97"/>
        <v>-38</v>
      </c>
    </row>
    <row r="490" spans="1:9">
      <c r="A490" s="295">
        <f t="shared" si="98"/>
        <v>473</v>
      </c>
      <c r="B490" s="300">
        <f t="shared" si="102"/>
        <v>14366</v>
      </c>
      <c r="C490" s="296">
        <f t="shared" ca="1" si="99"/>
        <v>38.268900000000002</v>
      </c>
      <c r="D490" s="295"/>
      <c r="E490" s="296">
        <f t="shared" ca="1" si="104"/>
        <v>-9.0909090909090912E-2</v>
      </c>
      <c r="F490" s="296">
        <f t="shared" ca="1" si="96"/>
        <v>-9.0909090909090912E-2</v>
      </c>
      <c r="G490" s="303">
        <f t="shared" ca="1" si="100"/>
        <v>0</v>
      </c>
      <c r="H490" s="296">
        <f t="shared" ca="1" si="101"/>
        <v>38.3598</v>
      </c>
      <c r="I490" s="297">
        <f t="shared" ca="1" si="97"/>
        <v>-38</v>
      </c>
    </row>
    <row r="491" spans="1:9">
      <c r="A491" s="295">
        <f t="shared" si="98"/>
        <v>474</v>
      </c>
      <c r="B491" s="300">
        <f t="shared" si="102"/>
        <v>14397</v>
      </c>
      <c r="C491" s="296">
        <f t="shared" ca="1" si="99"/>
        <v>38.3598</v>
      </c>
      <c r="D491" s="295"/>
      <c r="E491" s="296">
        <f t="shared" ca="1" si="104"/>
        <v>-9.0909090909090912E-2</v>
      </c>
      <c r="F491" s="296">
        <f t="shared" ca="1" si="96"/>
        <v>-9.0909090909090912E-2</v>
      </c>
      <c r="G491" s="303">
        <f t="shared" ca="1" si="100"/>
        <v>0</v>
      </c>
      <c r="H491" s="296">
        <f t="shared" ca="1" si="101"/>
        <v>38.450699999999998</v>
      </c>
      <c r="I491" s="297">
        <f t="shared" ca="1" si="97"/>
        <v>-38</v>
      </c>
    </row>
    <row r="492" spans="1:9">
      <c r="A492" s="295">
        <f t="shared" si="98"/>
        <v>475</v>
      </c>
      <c r="B492" s="300">
        <f t="shared" si="102"/>
        <v>14427</v>
      </c>
      <c r="C492" s="296">
        <f t="shared" ca="1" si="99"/>
        <v>38.450699999999998</v>
      </c>
      <c r="D492" s="295"/>
      <c r="E492" s="296">
        <f t="shared" ca="1" si="104"/>
        <v>-9.0909090909090912E-2</v>
      </c>
      <c r="F492" s="296">
        <f t="shared" ca="1" si="96"/>
        <v>-9.0909090909090912E-2</v>
      </c>
      <c r="G492" s="303">
        <f t="shared" ca="1" si="100"/>
        <v>0</v>
      </c>
      <c r="H492" s="296">
        <f t="shared" ca="1" si="101"/>
        <v>38.541600000000003</v>
      </c>
      <c r="I492" s="297">
        <f t="shared" ca="1" si="97"/>
        <v>-39</v>
      </c>
    </row>
    <row r="493" spans="1:9">
      <c r="A493" s="295">
        <f t="shared" si="98"/>
        <v>476</v>
      </c>
      <c r="B493" s="300">
        <f t="shared" si="102"/>
        <v>14458</v>
      </c>
      <c r="C493" s="296">
        <f t="shared" ca="1" si="99"/>
        <v>38.541600000000003</v>
      </c>
      <c r="D493" s="295"/>
      <c r="E493" s="296">
        <f t="shared" ca="1" si="104"/>
        <v>-9.0909090909090912E-2</v>
      </c>
      <c r="F493" s="296">
        <f t="shared" ca="1" si="96"/>
        <v>-9.0909090909090912E-2</v>
      </c>
      <c r="G493" s="303">
        <f t="shared" ca="1" si="100"/>
        <v>0</v>
      </c>
      <c r="H493" s="296">
        <f t="shared" ca="1" si="101"/>
        <v>38.6325</v>
      </c>
      <c r="I493" s="297">
        <f t="shared" ca="1" si="97"/>
        <v>-39</v>
      </c>
    </row>
    <row r="494" spans="1:9">
      <c r="A494" s="295">
        <f t="shared" si="98"/>
        <v>477</v>
      </c>
      <c r="B494" s="300">
        <f t="shared" si="102"/>
        <v>14489</v>
      </c>
      <c r="C494" s="296">
        <f t="shared" ca="1" si="99"/>
        <v>38.6325</v>
      </c>
      <c r="D494" s="295"/>
      <c r="E494" s="296">
        <f t="shared" ca="1" si="104"/>
        <v>-9.0909090909090912E-2</v>
      </c>
      <c r="F494" s="296">
        <f t="shared" ca="1" si="96"/>
        <v>-9.0909090909090912E-2</v>
      </c>
      <c r="G494" s="303">
        <f t="shared" ca="1" si="100"/>
        <v>0</v>
      </c>
      <c r="H494" s="296">
        <f t="shared" ca="1" si="101"/>
        <v>38.723399999999998</v>
      </c>
      <c r="I494" s="297">
        <f t="shared" ca="1" si="97"/>
        <v>-39</v>
      </c>
    </row>
    <row r="495" spans="1:9">
      <c r="A495" s="295">
        <f t="shared" si="98"/>
        <v>478</v>
      </c>
      <c r="B495" s="300">
        <f t="shared" si="102"/>
        <v>14519</v>
      </c>
      <c r="C495" s="296">
        <f t="shared" ca="1" si="99"/>
        <v>38.723399999999998</v>
      </c>
      <c r="D495" s="295"/>
      <c r="E495" s="296">
        <f t="shared" ca="1" si="104"/>
        <v>-9.0909090909090912E-2</v>
      </c>
      <c r="F495" s="296">
        <f t="shared" ca="1" si="96"/>
        <v>-9.0909090909090912E-2</v>
      </c>
      <c r="G495" s="303">
        <f t="shared" ca="1" si="100"/>
        <v>0</v>
      </c>
      <c r="H495" s="296">
        <f t="shared" ca="1" si="101"/>
        <v>38.814300000000003</v>
      </c>
      <c r="I495" s="297">
        <f t="shared" ca="1" si="97"/>
        <v>-39</v>
      </c>
    </row>
    <row r="496" spans="1:9">
      <c r="A496" s="295">
        <f t="shared" si="98"/>
        <v>479</v>
      </c>
      <c r="B496" s="300">
        <f t="shared" si="102"/>
        <v>14550</v>
      </c>
      <c r="C496" s="296">
        <f t="shared" ca="1" si="99"/>
        <v>38.814300000000003</v>
      </c>
      <c r="D496" s="295"/>
      <c r="E496" s="296">
        <f t="shared" ca="1" si="104"/>
        <v>-9.0909090909090912E-2</v>
      </c>
      <c r="F496" s="296">
        <f t="shared" ca="1" si="96"/>
        <v>-9.0909090909090912E-2</v>
      </c>
      <c r="G496" s="303">
        <f t="shared" ca="1" si="100"/>
        <v>0</v>
      </c>
      <c r="H496" s="296">
        <f t="shared" ca="1" si="101"/>
        <v>38.905200000000001</v>
      </c>
      <c r="I496" s="297">
        <f t="shared" ca="1" si="97"/>
        <v>-39</v>
      </c>
    </row>
    <row r="497" spans="1:9">
      <c r="A497" s="295">
        <f t="shared" si="98"/>
        <v>480</v>
      </c>
      <c r="B497" s="300">
        <f t="shared" si="102"/>
        <v>14580</v>
      </c>
      <c r="C497" s="296">
        <f t="shared" ca="1" si="99"/>
        <v>38.905200000000001</v>
      </c>
      <c r="D497" s="296">
        <f ca="1">IF(H497&lt;0,0,(K57-L57)/11)</f>
        <v>0</v>
      </c>
      <c r="E497" s="296">
        <f t="shared" ca="1" si="104"/>
        <v>-9.0909090909090912E-2</v>
      </c>
      <c r="F497" s="296">
        <f t="shared" ca="1" si="96"/>
        <v>-9.0909090909090912E-2</v>
      </c>
      <c r="G497" s="303">
        <f t="shared" ca="1" si="100"/>
        <v>0</v>
      </c>
      <c r="H497" s="296">
        <f t="shared" ca="1" si="101"/>
        <v>38.996099999999998</v>
      </c>
      <c r="I497" s="297">
        <f t="shared" ca="1" si="97"/>
        <v>-39</v>
      </c>
    </row>
  </sheetData>
  <mergeCells count="11">
    <mergeCell ref="A11:C11"/>
    <mergeCell ref="A12:C12"/>
    <mergeCell ref="A13:C13"/>
    <mergeCell ref="A14:C14"/>
    <mergeCell ref="A15:C15"/>
    <mergeCell ref="A10:C10"/>
    <mergeCell ref="A1:H1"/>
    <mergeCell ref="A4:C4"/>
    <mergeCell ref="A5:C5"/>
    <mergeCell ref="A6:C6"/>
    <mergeCell ref="A7:C7"/>
  </mergeCells>
  <pageMargins left="0.75" right="0.5" top="0.5" bottom="0.5" header="0.5" footer="0.5"/>
  <pageSetup orientation="portrait" horizontalDpi="4294967292" verticalDpi="4294967292"/>
  <headerFooter alignWithMargins="0">
    <oddFooter>&amp;C_x000D_&amp;1#&amp;"Calibri"&amp;6&amp;K626469 General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5"/>
  <dimension ref="A1"/>
  <sheetViews>
    <sheetView zoomScale="90" zoomScaleNormal="90" workbookViewId="0">
      <selection activeCell="P32" sqref="P32"/>
    </sheetView>
  </sheetViews>
  <sheetFormatPr defaultColWidth="11" defaultRowHeight="15.5"/>
  <cols>
    <col min="3" max="14" width="12.6640625" bestFit="1" customWidth="1"/>
  </cols>
  <sheetData/>
  <pageMargins left="0.75" right="0.75" top="1" bottom="1" header="0.5" footer="0.5"/>
  <headerFooter>
    <oddFooter>&amp;C_x000D_&amp;1#&amp;"Calibri"&amp;6&amp;K626469 General</oddFooter>
  </headerFooter>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6"/>
  <dimension ref="A1"/>
  <sheetViews>
    <sheetView workbookViewId="0"/>
  </sheetViews>
  <sheetFormatPr defaultColWidth="11" defaultRowHeight="15.5"/>
  <sheetData/>
  <pageMargins left="0.75" right="0.75" top="1" bottom="1" header="0.5" footer="0.5"/>
  <headerFooter>
    <oddFooter>&amp;C_x000D_&amp;1#&amp;"Calibri"&amp;6&amp;K626469 General</oddFooter>
  </headerFooter>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7"/>
  <dimension ref="A1"/>
  <sheetViews>
    <sheetView workbookViewId="0"/>
  </sheetViews>
  <sheetFormatPr defaultColWidth="11" defaultRowHeight="15.5"/>
  <sheetData/>
  <pageMargins left="0.75" right="0.75" top="1" bottom="1" header="0.5" footer="0.5"/>
  <headerFooter>
    <oddFooter>&amp;C_x000D_&amp;1#&amp;"Calibri"&amp;6&amp;K626469 General</oddFooter>
  </headerFooter>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A1"/>
  <sheetViews>
    <sheetView topLeftCell="D1" workbookViewId="0"/>
  </sheetViews>
  <sheetFormatPr defaultColWidth="11" defaultRowHeight="15.5"/>
  <sheetData/>
  <pageMargins left="0.75" right="0.75" top="1" bottom="1" header="0.5" footer="0.5"/>
  <pageSetup orientation="portrait" horizontalDpi="4294967292" verticalDpi="4294967292"/>
  <headerFooter>
    <oddFooter>&amp;C_x000D_&amp;1#&amp;"Calibri"&amp;6&amp;K626469 General</oddFooter>
  </headerFooter>
  <extLst>
    <ext xmlns:mx="http://schemas.microsoft.com/office/mac/excel/2008/main" uri="{64002731-A6B0-56B0-2670-7721B7C09600}">
      <mx:PLV Mode="0" OnePage="0" WScale="0"/>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dimension ref="A1"/>
  <sheetViews>
    <sheetView workbookViewId="0"/>
  </sheetViews>
  <sheetFormatPr defaultColWidth="11" defaultRowHeight="15.5"/>
  <sheetData/>
  <pageMargins left="0.75" right="0.75" top="1" bottom="1" header="0.5" footer="0.5"/>
  <pageSetup orientation="portrait" horizontalDpi="4294967292" verticalDpi="4294967292"/>
  <headerFooter>
    <oddFooter>&amp;C_x000D_&amp;1#&amp;"Calibri"&amp;6&amp;K626469 General</oddFooter>
  </headerFooter>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3</vt:i4>
      </vt:variant>
    </vt:vector>
  </HeadingPairs>
  <TitlesOfParts>
    <vt:vector size="29" baseType="lpstr">
      <vt:lpstr>Template Guide</vt:lpstr>
      <vt:lpstr>Summary Schedule</vt:lpstr>
      <vt:lpstr>Annual Escalation Rates</vt:lpstr>
      <vt:lpstr>Sch1-Ann Cost Sav &amp; Pymts</vt:lpstr>
      <vt:lpstr>Sch1u-Ann Cost Sav &amp; Pymts</vt:lpstr>
      <vt:lpstr>Sch1ee-Ann Cost Sav &amp; Pymts</vt:lpstr>
      <vt:lpstr>Sch1esa-ESA Pymts</vt:lpstr>
      <vt:lpstr>Sch2a-Imp Price by ECM</vt:lpstr>
      <vt:lpstr>Sch2b-Project Imp Pricing</vt:lpstr>
      <vt:lpstr>Sch3-Perf Period Cash Flow</vt:lpstr>
      <vt:lpstr>Sch4-Cost Savings by ECM</vt:lpstr>
      <vt:lpstr>Sch4g-GHG</vt:lpstr>
      <vt:lpstr>Sch5-Cancellation Ceilings</vt:lpstr>
      <vt:lpstr>GHG Emissions</vt:lpstr>
      <vt:lpstr>eGRID subregion name</vt:lpstr>
      <vt:lpstr>Itemized Costs-HIDDEN</vt:lpstr>
      <vt:lpstr>ECM</vt:lpstr>
      <vt:lpstr>Amortization-HIDDEN</vt:lpstr>
      <vt:lpstr>Amortization-HIDDEN-Q</vt:lpstr>
      <vt:lpstr>Amortization-HIDDEN-B</vt:lpstr>
      <vt:lpstr>Amortization-HIDDEN-M</vt:lpstr>
      <vt:lpstr>Scratch Sheet-1</vt:lpstr>
      <vt:lpstr>Scratch Sheet-2</vt:lpstr>
      <vt:lpstr>Scratch Sheet-3</vt:lpstr>
      <vt:lpstr>Scratch Sheet-4</vt:lpstr>
      <vt:lpstr>Scratch Sheet-5</vt:lpstr>
      <vt:lpstr>ECM</vt:lpstr>
      <vt:lpstr>MnV</vt:lpstr>
      <vt:lpstr>PA</vt:lpstr>
    </vt:vector>
  </TitlesOfParts>
  <Manager/>
  <Company>LBNL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Shankar Earni</dc:creator>
  <cp:keywords/>
  <dc:description>4.2.9.c</dc:description>
  <cp:lastModifiedBy>Elizabeth Stuart</cp:lastModifiedBy>
  <cp:lastPrinted>2016-04-07T17:50:34Z</cp:lastPrinted>
  <dcterms:created xsi:type="dcterms:W3CDTF">2013-07-10T19:01:35Z</dcterms:created>
  <dcterms:modified xsi:type="dcterms:W3CDTF">2025-02-11T19:46:56Z</dcterms:modified>
  <cp:category>4.2.9.c, 02/11/2025</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7443d00-af18-408c-9335-47b5de3ec9b9_Enabled">
    <vt:lpwstr>true</vt:lpwstr>
  </property>
  <property fmtid="{D5CDD505-2E9C-101B-9397-08002B2CF9AE}" pid="3" name="MSIP_Label_57443d00-af18-408c-9335-47b5de3ec9b9_SetDate">
    <vt:lpwstr>2024-06-19T12:22:47Z</vt:lpwstr>
  </property>
  <property fmtid="{D5CDD505-2E9C-101B-9397-08002B2CF9AE}" pid="4" name="MSIP_Label_57443d00-af18-408c-9335-47b5de3ec9b9_Method">
    <vt:lpwstr>Privileged</vt:lpwstr>
  </property>
  <property fmtid="{D5CDD505-2E9C-101B-9397-08002B2CF9AE}" pid="5" name="MSIP_Label_57443d00-af18-408c-9335-47b5de3ec9b9_Name">
    <vt:lpwstr>General v2</vt:lpwstr>
  </property>
  <property fmtid="{D5CDD505-2E9C-101B-9397-08002B2CF9AE}" pid="6" name="MSIP_Label_57443d00-af18-408c-9335-47b5de3ec9b9_SiteId">
    <vt:lpwstr>6e51e1ad-c54b-4b39-b598-0ffe9ae68fef</vt:lpwstr>
  </property>
  <property fmtid="{D5CDD505-2E9C-101B-9397-08002B2CF9AE}" pid="7" name="MSIP_Label_57443d00-af18-408c-9335-47b5de3ec9b9_ActionId">
    <vt:lpwstr>dbec6d7c-c4b4-45a2-8df7-93d21b18e934</vt:lpwstr>
  </property>
  <property fmtid="{D5CDD505-2E9C-101B-9397-08002B2CF9AE}" pid="8" name="MSIP_Label_57443d00-af18-408c-9335-47b5de3ec9b9_ContentBits">
    <vt:lpwstr>2</vt:lpwstr>
  </property>
</Properties>
</file>