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showInkAnnotation="0" codeName="ThisWorkbook" hidePivotFieldList="1" checkCompatibility="1" autoCompressPictures="0"/>
  <mc:AlternateContent xmlns:mc="http://schemas.openxmlformats.org/markup-compatibility/2006">
    <mc:Choice Requires="x15">
      <x15ac:absPath xmlns:x15ac="http://schemas.microsoft.com/office/spreadsheetml/2010/11/ac" url="C:\Users\estuart\Desktop\ePB Desktop Beta\ePB template 5 feb 2025\"/>
    </mc:Choice>
  </mc:AlternateContent>
  <xr:revisionPtr revIDLastSave="0" documentId="13_ncr:1_{DBFB4E4F-573A-4DD6-B5D8-A408BC2E56CA}" xr6:coauthVersionLast="36" xr6:coauthVersionMax="47" xr10:uidLastSave="{00000000-0000-0000-0000-000000000000}"/>
  <bookViews>
    <workbookView xWindow="320" yWindow="500" windowWidth="38080" windowHeight="19500" tabRatio="924" activeTab="1" xr2:uid="{00000000-000D-0000-FFFF-FFFF00000000}"/>
  </bookViews>
  <sheets>
    <sheet name="Template Guide" sheetId="24" r:id="rId1"/>
    <sheet name="Summary Schedule" sheetId="30" r:id="rId2"/>
    <sheet name="Annual Escalation Rates" sheetId="11" r:id="rId3"/>
    <sheet name="Sch1-Ann Cost Sav &amp; Pymts" sheetId="21" r:id="rId4"/>
    <sheet name="Sch1u-Ann Cost Sav &amp; Pymts" sheetId="31" r:id="rId5"/>
    <sheet name="Sch1ee-Ann Cost Sav &amp; Pymts" sheetId="28" r:id="rId6"/>
    <sheet name="Sch1esa-ESA Pymts" sheetId="29" r:id="rId7"/>
    <sheet name="Sch2a-Imp Price by ECM" sheetId="2" r:id="rId8"/>
    <sheet name="Sch2b-Project Imp Pricing" sheetId="19" r:id="rId9"/>
    <sheet name="Sch3-Perf Period Cash Flow" sheetId="35" r:id="rId10"/>
    <sheet name="Sch4-Cost Savings by ECM" sheetId="4" r:id="rId11"/>
    <sheet name="Sch4g-GHG" sheetId="39" r:id="rId12"/>
    <sheet name="Sch5-Cancellation Ceilings" sheetId="5" r:id="rId13"/>
    <sheet name="GHG Emissions" sheetId="37" state="hidden" r:id="rId14"/>
    <sheet name="eGRID subregion name" sheetId="38" state="hidden" r:id="rId15"/>
    <sheet name="ECM" sheetId="13" state="hidden" r:id="rId16"/>
    <sheet name="Scratch Sheet-1" sheetId="14" r:id="rId17"/>
    <sheet name="Scratch Sheet-2" sheetId="15" r:id="rId18"/>
    <sheet name="Scratch Sheet-3" sheetId="16" r:id="rId19"/>
    <sheet name="Scratch Sheet-4" sheetId="17" r:id="rId20"/>
    <sheet name="Scratch Sheet-5" sheetId="18" r:id="rId21"/>
  </sheets>
  <definedNames>
    <definedName name="ECM" localSheetId="3">ECM!$A$3:$A$22</definedName>
    <definedName name="ECM" localSheetId="20">ECM!#REF!</definedName>
    <definedName name="MnV">ECM!$D$2:$D$5</definedName>
    <definedName name="PA">ECM!$D$6:$D$9</definedName>
  </definedNames>
  <calcPr calcId="191029"/>
  <extLst>
    <ext xmlns:mx="http://schemas.microsoft.com/office/mac/excel/2008/main" uri="{7523E5D3-25F3-A5E0-1632-64F254C22452}">
      <mx:ArchID Flags="2"/>
    </ext>
  </extLst>
</workbook>
</file>

<file path=xl/calcChain.xml><?xml version="1.0" encoding="utf-8"?>
<calcChain xmlns="http://schemas.openxmlformats.org/spreadsheetml/2006/main">
  <c r="E34" i="29" l="1"/>
  <c r="D23" i="35"/>
  <c r="E21" i="35"/>
  <c r="H258" i="39"/>
  <c r="F258" i="39"/>
  <c r="E249" i="39"/>
  <c r="F250" i="39"/>
  <c r="B14" i="39"/>
  <c r="B251" i="39"/>
  <c r="E8" i="39"/>
  <c r="E12" i="39"/>
  <c r="H259" i="2"/>
  <c r="L9" i="2"/>
  <c r="C52" i="31"/>
  <c r="B49" i="31"/>
  <c r="E9" i="21"/>
  <c r="E10" i="21"/>
  <c r="E11" i="21"/>
  <c r="E12" i="21"/>
  <c r="E13" i="21"/>
  <c r="E14" i="21"/>
  <c r="E15" i="21"/>
  <c r="E16" i="21"/>
  <c r="E17" i="21"/>
  <c r="E18" i="21"/>
  <c r="E19" i="21"/>
  <c r="E20" i="21"/>
  <c r="E21" i="21"/>
  <c r="E22" i="21"/>
  <c r="E23" i="21"/>
  <c r="E24" i="21"/>
  <c r="E25" i="21"/>
  <c r="E26" i="21"/>
  <c r="E27" i="21"/>
  <c r="E28" i="21"/>
  <c r="E29" i="21"/>
  <c r="E30" i="21"/>
  <c r="E31" i="21"/>
  <c r="E32" i="21"/>
  <c r="E33" i="21"/>
  <c r="E34" i="21"/>
  <c r="E35" i="21"/>
  <c r="E36" i="21"/>
  <c r="E37" i="21"/>
  <c r="E38" i="21"/>
  <c r="E39" i="21"/>
  <c r="E40" i="21"/>
  <c r="E41" i="21"/>
  <c r="E42" i="21"/>
  <c r="E43" i="21"/>
  <c r="E44" i="21"/>
  <c r="E45" i="21"/>
  <c r="E46" i="21"/>
  <c r="E47" i="21"/>
  <c r="E48" i="21"/>
  <c r="B49" i="21"/>
  <c r="F30" i="30"/>
  <c r="B9" i="29" l="1"/>
  <c r="B10" i="29" s="1"/>
  <c r="B11" i="29" s="1"/>
  <c r="B12" i="29" s="1"/>
  <c r="B13" i="29" s="1"/>
  <c r="B14" i="29" s="1"/>
  <c r="B15" i="29" s="1"/>
  <c r="B16" i="29" s="1"/>
  <c r="B17" i="29" s="1"/>
  <c r="B18" i="29" s="1"/>
  <c r="B19" i="29" s="1"/>
  <c r="B20" i="29" s="1"/>
  <c r="B21" i="29" s="1"/>
  <c r="B22" i="29" s="1"/>
  <c r="B23" i="29" s="1"/>
  <c r="B24" i="29" s="1"/>
  <c r="B25" i="29" s="1"/>
  <c r="B26" i="29" s="1"/>
  <c r="B27" i="29" s="1"/>
  <c r="AR19" i="35" l="1"/>
  <c r="AR12" i="35"/>
  <c r="AR13" i="35"/>
  <c r="AR14" i="35"/>
  <c r="AR15" i="35"/>
  <c r="AR16" i="35"/>
  <c r="AR17" i="35"/>
  <c r="AR11" i="35"/>
  <c r="AR6" i="35"/>
  <c r="AR5" i="35"/>
  <c r="AC23" i="35"/>
  <c r="AD23" i="35"/>
  <c r="AE23" i="35"/>
  <c r="AF23" i="35"/>
  <c r="AG23" i="35"/>
  <c r="AH23" i="35"/>
  <c r="AI23" i="35"/>
  <c r="AJ23" i="35"/>
  <c r="AK23" i="35"/>
  <c r="AL23" i="35"/>
  <c r="AM23" i="35"/>
  <c r="AN23" i="35"/>
  <c r="AO23" i="35"/>
  <c r="AP23" i="35"/>
  <c r="AQ23" i="35"/>
  <c r="AC18" i="35"/>
  <c r="AD18" i="35"/>
  <c r="AE18" i="35"/>
  <c r="AF18" i="35"/>
  <c r="AG18" i="35"/>
  <c r="AG20" i="35" s="1"/>
  <c r="AH18" i="35"/>
  <c r="AH20" i="35" s="1"/>
  <c r="AH21" i="35" s="1"/>
  <c r="AI18" i="35"/>
  <c r="AJ18" i="35"/>
  <c r="AJ20" i="35" s="1"/>
  <c r="AJ21" i="35" s="1"/>
  <c r="AK18" i="35"/>
  <c r="AK21" i="35" s="1"/>
  <c r="AL18" i="35"/>
  <c r="AL20" i="35" s="1"/>
  <c r="AM18" i="35"/>
  <c r="AM21" i="35" s="1"/>
  <c r="AN18" i="35"/>
  <c r="AN20" i="35" s="1"/>
  <c r="AO18" i="35"/>
  <c r="AO21" i="35" s="1"/>
  <c r="AP18" i="35"/>
  <c r="AP20" i="35" s="1"/>
  <c r="AQ18" i="35"/>
  <c r="AC20" i="35"/>
  <c r="AD20" i="35"/>
  <c r="AE20" i="35"/>
  <c r="AF20" i="35"/>
  <c r="AI20" i="35"/>
  <c r="AI21" i="35" s="1"/>
  <c r="AK20" i="35"/>
  <c r="AM20" i="35"/>
  <c r="AO20" i="35"/>
  <c r="AQ20" i="35"/>
  <c r="AQ21" i="35" s="1"/>
  <c r="AC21" i="35"/>
  <c r="AD21" i="35"/>
  <c r="AE21" i="35"/>
  <c r="AF21" i="35"/>
  <c r="AC9" i="35"/>
  <c r="AD9" i="35"/>
  <c r="AE9" i="35"/>
  <c r="AF9" i="35"/>
  <c r="AG9" i="35"/>
  <c r="AH9" i="35"/>
  <c r="AI9" i="35"/>
  <c r="AJ9" i="35"/>
  <c r="AK9" i="35"/>
  <c r="AL9" i="35"/>
  <c r="AM9" i="35"/>
  <c r="AN9" i="35"/>
  <c r="AO9" i="35"/>
  <c r="AP9" i="35"/>
  <c r="AQ9" i="35"/>
  <c r="C49" i="28"/>
  <c r="D49" i="28"/>
  <c r="F49" i="28"/>
  <c r="B49" i="28"/>
  <c r="E46" i="28"/>
  <c r="E47" i="28"/>
  <c r="E48" i="28"/>
  <c r="E35" i="28"/>
  <c r="E36" i="28"/>
  <c r="E37" i="28"/>
  <c r="E38" i="28"/>
  <c r="E39" i="28"/>
  <c r="E40" i="28"/>
  <c r="E41" i="28"/>
  <c r="E42" i="28"/>
  <c r="E43" i="28"/>
  <c r="E44" i="28"/>
  <c r="E45" i="28"/>
  <c r="C49" i="31"/>
  <c r="D49" i="31"/>
  <c r="C49" i="21"/>
  <c r="D49" i="21"/>
  <c r="AN21" i="35" l="1"/>
  <c r="AL21" i="35"/>
  <c r="AG21" i="35"/>
  <c r="AP21" i="35"/>
  <c r="AA8" i="4" l="1"/>
  <c r="Z8" i="4"/>
  <c r="C22" i="35"/>
  <c r="A22" i="35"/>
  <c r="I259" i="2" l="1"/>
  <c r="J259" i="2"/>
  <c r="K259" i="2"/>
  <c r="AG258" i="4" l="1"/>
  <c r="AF258" i="4"/>
  <c r="AE258" i="4"/>
  <c r="AD258" i="4"/>
  <c r="AC258" i="4"/>
  <c r="AB258" i="4"/>
  <c r="Y258" i="4"/>
  <c r="X258" i="4"/>
  <c r="W258" i="4"/>
  <c r="V258" i="4"/>
  <c r="U258" i="4"/>
  <c r="T258" i="4"/>
  <c r="S258" i="4"/>
  <c r="R258" i="4"/>
  <c r="Q258" i="4"/>
  <c r="P258" i="4"/>
  <c r="L258" i="4"/>
  <c r="M258" i="4"/>
  <c r="N258" i="4"/>
  <c r="F258" i="4"/>
  <c r="G258" i="4"/>
  <c r="H258" i="4"/>
  <c r="I258" i="4"/>
  <c r="J258" i="4"/>
  <c r="K258" i="4"/>
  <c r="E258" i="4"/>
  <c r="C9" i="29"/>
  <c r="D9" i="29" l="1"/>
  <c r="C10" i="29"/>
  <c r="Z12" i="4"/>
  <c r="Z10" i="4"/>
  <c r="Z9" i="4"/>
  <c r="G2" i="38"/>
  <c r="F2" i="38"/>
  <c r="E2" i="38"/>
  <c r="C11" i="29" l="1"/>
  <c r="D10" i="29"/>
  <c r="J13" i="39"/>
  <c r="J14" i="39"/>
  <c r="J15" i="39"/>
  <c r="J16" i="39"/>
  <c r="J17" i="39"/>
  <c r="J18" i="39"/>
  <c r="J19" i="39"/>
  <c r="J20" i="39"/>
  <c r="J21" i="39"/>
  <c r="J22" i="39"/>
  <c r="A263" i="2"/>
  <c r="C12" i="29" l="1"/>
  <c r="D11" i="29"/>
  <c r="E18" i="35"/>
  <c r="E20" i="35" s="1"/>
  <c r="F18" i="35"/>
  <c r="F20" i="35" s="1"/>
  <c r="G18" i="35"/>
  <c r="G20" i="35" s="1"/>
  <c r="H18" i="35"/>
  <c r="H20" i="35" s="1"/>
  <c r="I18" i="35"/>
  <c r="I20" i="35" s="1"/>
  <c r="J18" i="35"/>
  <c r="J20" i="35" s="1"/>
  <c r="K18" i="35"/>
  <c r="K20" i="35" s="1"/>
  <c r="L18" i="35"/>
  <c r="L20" i="35" s="1"/>
  <c r="M18" i="35"/>
  <c r="M20" i="35" s="1"/>
  <c r="N18" i="35"/>
  <c r="N20" i="35" s="1"/>
  <c r="O18" i="35"/>
  <c r="O20" i="35" s="1"/>
  <c r="P18" i="35"/>
  <c r="P20" i="35" s="1"/>
  <c r="Q18" i="35"/>
  <c r="Q20" i="35" s="1"/>
  <c r="R18" i="35"/>
  <c r="R20" i="35" s="1"/>
  <c r="S18" i="35"/>
  <c r="S20" i="35" s="1"/>
  <c r="T18" i="35"/>
  <c r="T20" i="35" s="1"/>
  <c r="U18" i="35"/>
  <c r="U20" i="35" s="1"/>
  <c r="V18" i="35"/>
  <c r="V20" i="35" s="1"/>
  <c r="W18" i="35"/>
  <c r="W20" i="35" s="1"/>
  <c r="X18" i="35"/>
  <c r="X20" i="35" s="1"/>
  <c r="Y18" i="35"/>
  <c r="Y20" i="35" s="1"/>
  <c r="Z18" i="35"/>
  <c r="Z20" i="35" s="1"/>
  <c r="AA18" i="35"/>
  <c r="AA20" i="35" s="1"/>
  <c r="AB18" i="35"/>
  <c r="AB20" i="35" s="1"/>
  <c r="D18" i="35"/>
  <c r="D20" i="35" l="1"/>
  <c r="AR20" i="35" s="1"/>
  <c r="AR18" i="35"/>
  <c r="C13" i="29"/>
  <c r="D12" i="29"/>
  <c r="J6" i="2"/>
  <c r="C14" i="29" l="1"/>
  <c r="D13" i="29"/>
  <c r="A32" i="35"/>
  <c r="A31" i="35"/>
  <c r="A271" i="39"/>
  <c r="A270" i="39"/>
  <c r="C15" i="29" l="1"/>
  <c r="D14" i="29"/>
  <c r="M257" i="39"/>
  <c r="J257" i="39"/>
  <c r="H257" i="39"/>
  <c r="G257" i="39"/>
  <c r="D257" i="39"/>
  <c r="B257" i="39"/>
  <c r="A257" i="39"/>
  <c r="M256" i="39"/>
  <c r="J256" i="39"/>
  <c r="H256" i="39"/>
  <c r="G256" i="39"/>
  <c r="D256" i="39"/>
  <c r="B256" i="39"/>
  <c r="A256" i="39"/>
  <c r="M255" i="39"/>
  <c r="J255" i="39"/>
  <c r="H255" i="39"/>
  <c r="G255" i="39"/>
  <c r="D255" i="39"/>
  <c r="B255" i="39"/>
  <c r="A255" i="39"/>
  <c r="M254" i="39"/>
  <c r="J254" i="39"/>
  <c r="H254" i="39"/>
  <c r="G254" i="39"/>
  <c r="D254" i="39"/>
  <c r="B254" i="39"/>
  <c r="A254" i="39"/>
  <c r="M253" i="39"/>
  <c r="J253" i="39"/>
  <c r="H253" i="39"/>
  <c r="G253" i="39"/>
  <c r="D253" i="39"/>
  <c r="B253" i="39"/>
  <c r="A253" i="39"/>
  <c r="M252" i="39"/>
  <c r="J252" i="39"/>
  <c r="H252" i="39"/>
  <c r="G252" i="39"/>
  <c r="D252" i="39"/>
  <c r="B252" i="39"/>
  <c r="A252" i="39"/>
  <c r="M251" i="39"/>
  <c r="J251" i="39"/>
  <c r="H251" i="39"/>
  <c r="G251" i="39"/>
  <c r="D251" i="39"/>
  <c r="A251" i="39"/>
  <c r="M250" i="39"/>
  <c r="J250" i="39"/>
  <c r="H250" i="39"/>
  <c r="G250" i="39"/>
  <c r="D250" i="39"/>
  <c r="B250" i="39"/>
  <c r="A250" i="39"/>
  <c r="M249" i="39"/>
  <c r="J249" i="39"/>
  <c r="H249" i="39"/>
  <c r="G249" i="39"/>
  <c r="D249" i="39"/>
  <c r="B249" i="39"/>
  <c r="A249" i="39"/>
  <c r="M248" i="39"/>
  <c r="J248" i="39"/>
  <c r="H248" i="39"/>
  <c r="G248" i="39"/>
  <c r="D248" i="39"/>
  <c r="B248" i="39"/>
  <c r="A248" i="39"/>
  <c r="M247" i="39"/>
  <c r="J247" i="39"/>
  <c r="H247" i="39"/>
  <c r="G247" i="39"/>
  <c r="D247" i="39"/>
  <c r="B247" i="39"/>
  <c r="A247" i="39"/>
  <c r="M246" i="39"/>
  <c r="J246" i="39"/>
  <c r="H246" i="39"/>
  <c r="G246" i="39"/>
  <c r="D246" i="39"/>
  <c r="B246" i="39"/>
  <c r="A246" i="39"/>
  <c r="M245" i="39"/>
  <c r="J245" i="39"/>
  <c r="H245" i="39"/>
  <c r="G245" i="39"/>
  <c r="D245" i="39"/>
  <c r="B245" i="39"/>
  <c r="A245" i="39"/>
  <c r="M244" i="39"/>
  <c r="J244" i="39"/>
  <c r="H244" i="39"/>
  <c r="G244" i="39"/>
  <c r="D244" i="39"/>
  <c r="B244" i="39"/>
  <c r="A244" i="39"/>
  <c r="M243" i="39"/>
  <c r="J243" i="39"/>
  <c r="H243" i="39"/>
  <c r="G243" i="39"/>
  <c r="D243" i="39"/>
  <c r="B243" i="39"/>
  <c r="A243" i="39"/>
  <c r="M242" i="39"/>
  <c r="J242" i="39"/>
  <c r="H242" i="39"/>
  <c r="G242" i="39"/>
  <c r="D242" i="39"/>
  <c r="B242" i="39"/>
  <c r="A242" i="39"/>
  <c r="M241" i="39"/>
  <c r="J241" i="39"/>
  <c r="H241" i="39"/>
  <c r="G241" i="39"/>
  <c r="D241" i="39"/>
  <c r="B241" i="39"/>
  <c r="A241" i="39"/>
  <c r="M240" i="39"/>
  <c r="J240" i="39"/>
  <c r="H240" i="39"/>
  <c r="G240" i="39"/>
  <c r="D240" i="39"/>
  <c r="B240" i="39"/>
  <c r="A240" i="39"/>
  <c r="M239" i="39"/>
  <c r="J239" i="39"/>
  <c r="H239" i="39"/>
  <c r="G239" i="39"/>
  <c r="D239" i="39"/>
  <c r="B239" i="39"/>
  <c r="A239" i="39"/>
  <c r="M238" i="39"/>
  <c r="J238" i="39"/>
  <c r="H238" i="39"/>
  <c r="G238" i="39"/>
  <c r="D238" i="39"/>
  <c r="B238" i="39"/>
  <c r="A238" i="39"/>
  <c r="M237" i="39"/>
  <c r="J237" i="39"/>
  <c r="H237" i="39"/>
  <c r="G237" i="39"/>
  <c r="D237" i="39"/>
  <c r="B237" i="39"/>
  <c r="A237" i="39"/>
  <c r="M236" i="39"/>
  <c r="J236" i="39"/>
  <c r="H236" i="39"/>
  <c r="G236" i="39"/>
  <c r="D236" i="39"/>
  <c r="B236" i="39"/>
  <c r="A236" i="39"/>
  <c r="M235" i="39"/>
  <c r="J235" i="39"/>
  <c r="H235" i="39"/>
  <c r="G235" i="39"/>
  <c r="D235" i="39"/>
  <c r="B235" i="39"/>
  <c r="A235" i="39"/>
  <c r="M234" i="39"/>
  <c r="J234" i="39"/>
  <c r="H234" i="39"/>
  <c r="G234" i="39"/>
  <c r="D234" i="39"/>
  <c r="B234" i="39"/>
  <c r="A234" i="39"/>
  <c r="M233" i="39"/>
  <c r="J233" i="39"/>
  <c r="H233" i="39"/>
  <c r="G233" i="39"/>
  <c r="D233" i="39"/>
  <c r="B233" i="39"/>
  <c r="A233" i="39"/>
  <c r="M232" i="39"/>
  <c r="J232" i="39"/>
  <c r="H232" i="39"/>
  <c r="G232" i="39"/>
  <c r="D232" i="39"/>
  <c r="B232" i="39"/>
  <c r="A232" i="39"/>
  <c r="M231" i="39"/>
  <c r="J231" i="39"/>
  <c r="H231" i="39"/>
  <c r="G231" i="39"/>
  <c r="D231" i="39"/>
  <c r="B231" i="39"/>
  <c r="A231" i="39"/>
  <c r="M230" i="39"/>
  <c r="J230" i="39"/>
  <c r="H230" i="39"/>
  <c r="G230" i="39"/>
  <c r="D230" i="39"/>
  <c r="B230" i="39"/>
  <c r="A230" i="39"/>
  <c r="M229" i="39"/>
  <c r="J229" i="39"/>
  <c r="H229" i="39"/>
  <c r="G229" i="39"/>
  <c r="D229" i="39"/>
  <c r="B229" i="39"/>
  <c r="A229" i="39"/>
  <c r="M228" i="39"/>
  <c r="J228" i="39"/>
  <c r="H228" i="39"/>
  <c r="G228" i="39"/>
  <c r="D228" i="39"/>
  <c r="B228" i="39"/>
  <c r="A228" i="39"/>
  <c r="M227" i="39"/>
  <c r="J227" i="39"/>
  <c r="H227" i="39"/>
  <c r="G227" i="39"/>
  <c r="D227" i="39"/>
  <c r="B227" i="39"/>
  <c r="A227" i="39"/>
  <c r="M226" i="39"/>
  <c r="J226" i="39"/>
  <c r="H226" i="39"/>
  <c r="G226" i="39"/>
  <c r="D226" i="39"/>
  <c r="B226" i="39"/>
  <c r="A226" i="39"/>
  <c r="M225" i="39"/>
  <c r="J225" i="39"/>
  <c r="H225" i="39"/>
  <c r="G225" i="39"/>
  <c r="D225" i="39"/>
  <c r="B225" i="39"/>
  <c r="A225" i="39"/>
  <c r="M224" i="39"/>
  <c r="J224" i="39"/>
  <c r="H224" i="39"/>
  <c r="G224" i="39"/>
  <c r="D224" i="39"/>
  <c r="B224" i="39"/>
  <c r="A224" i="39"/>
  <c r="M223" i="39"/>
  <c r="J223" i="39"/>
  <c r="H223" i="39"/>
  <c r="G223" i="39"/>
  <c r="D223" i="39"/>
  <c r="B223" i="39"/>
  <c r="A223" i="39"/>
  <c r="M222" i="39"/>
  <c r="J222" i="39"/>
  <c r="H222" i="39"/>
  <c r="G222" i="39"/>
  <c r="D222" i="39"/>
  <c r="B222" i="39"/>
  <c r="A222" i="39"/>
  <c r="M221" i="39"/>
  <c r="J221" i="39"/>
  <c r="H221" i="39"/>
  <c r="G221" i="39"/>
  <c r="D221" i="39"/>
  <c r="B221" i="39"/>
  <c r="A221" i="39"/>
  <c r="M220" i="39"/>
  <c r="J220" i="39"/>
  <c r="H220" i="39"/>
  <c r="G220" i="39"/>
  <c r="D220" i="39"/>
  <c r="B220" i="39"/>
  <c r="A220" i="39"/>
  <c r="M219" i="39"/>
  <c r="J219" i="39"/>
  <c r="H219" i="39"/>
  <c r="G219" i="39"/>
  <c r="D219" i="39"/>
  <c r="B219" i="39"/>
  <c r="A219" i="39"/>
  <c r="M218" i="39"/>
  <c r="J218" i="39"/>
  <c r="H218" i="39"/>
  <c r="G218" i="39"/>
  <c r="D218" i="39"/>
  <c r="B218" i="39"/>
  <c r="A218" i="39"/>
  <c r="M217" i="39"/>
  <c r="J217" i="39"/>
  <c r="H217" i="39"/>
  <c r="G217" i="39"/>
  <c r="D217" i="39"/>
  <c r="B217" i="39"/>
  <c r="A217" i="39"/>
  <c r="M216" i="39"/>
  <c r="J216" i="39"/>
  <c r="H216" i="39"/>
  <c r="G216" i="39"/>
  <c r="D216" i="39"/>
  <c r="B216" i="39"/>
  <c r="A216" i="39"/>
  <c r="M215" i="39"/>
  <c r="J215" i="39"/>
  <c r="H215" i="39"/>
  <c r="G215" i="39"/>
  <c r="D215" i="39"/>
  <c r="B215" i="39"/>
  <c r="A215" i="39"/>
  <c r="M214" i="39"/>
  <c r="J214" i="39"/>
  <c r="H214" i="39"/>
  <c r="G214" i="39"/>
  <c r="D214" i="39"/>
  <c r="B214" i="39"/>
  <c r="A214" i="39"/>
  <c r="M213" i="39"/>
  <c r="J213" i="39"/>
  <c r="H213" i="39"/>
  <c r="G213" i="39"/>
  <c r="D213" i="39"/>
  <c r="B213" i="39"/>
  <c r="A213" i="39"/>
  <c r="M212" i="39"/>
  <c r="J212" i="39"/>
  <c r="H212" i="39"/>
  <c r="G212" i="39"/>
  <c r="D212" i="39"/>
  <c r="B212" i="39"/>
  <c r="A212" i="39"/>
  <c r="M211" i="39"/>
  <c r="J211" i="39"/>
  <c r="H211" i="39"/>
  <c r="G211" i="39"/>
  <c r="D211" i="39"/>
  <c r="B211" i="39"/>
  <c r="A211" i="39"/>
  <c r="M210" i="39"/>
  <c r="J210" i="39"/>
  <c r="H210" i="39"/>
  <c r="G210" i="39"/>
  <c r="D210" i="39"/>
  <c r="B210" i="39"/>
  <c r="A210" i="39"/>
  <c r="M209" i="39"/>
  <c r="J209" i="39"/>
  <c r="H209" i="39"/>
  <c r="G209" i="39"/>
  <c r="D209" i="39"/>
  <c r="B209" i="39"/>
  <c r="A209" i="39"/>
  <c r="M208" i="39"/>
  <c r="J208" i="39"/>
  <c r="H208" i="39"/>
  <c r="G208" i="39"/>
  <c r="D208" i="39"/>
  <c r="B208" i="39"/>
  <c r="A208" i="39"/>
  <c r="M207" i="39"/>
  <c r="J207" i="39"/>
  <c r="H207" i="39"/>
  <c r="G207" i="39"/>
  <c r="D207" i="39"/>
  <c r="B207" i="39"/>
  <c r="A207" i="39"/>
  <c r="M206" i="39"/>
  <c r="J206" i="39"/>
  <c r="H206" i="39"/>
  <c r="G206" i="39"/>
  <c r="D206" i="39"/>
  <c r="B206" i="39"/>
  <c r="A206" i="39"/>
  <c r="M205" i="39"/>
  <c r="J205" i="39"/>
  <c r="H205" i="39"/>
  <c r="G205" i="39"/>
  <c r="D205" i="39"/>
  <c r="B205" i="39"/>
  <c r="A205" i="39"/>
  <c r="M204" i="39"/>
  <c r="J204" i="39"/>
  <c r="H204" i="39"/>
  <c r="G204" i="39"/>
  <c r="D204" i="39"/>
  <c r="B204" i="39"/>
  <c r="A204" i="39"/>
  <c r="M203" i="39"/>
  <c r="J203" i="39"/>
  <c r="H203" i="39"/>
  <c r="G203" i="39"/>
  <c r="D203" i="39"/>
  <c r="B203" i="39"/>
  <c r="A203" i="39"/>
  <c r="M202" i="39"/>
  <c r="J202" i="39"/>
  <c r="H202" i="39"/>
  <c r="G202" i="39"/>
  <c r="D202" i="39"/>
  <c r="B202" i="39"/>
  <c r="A202" i="39"/>
  <c r="M201" i="39"/>
  <c r="J201" i="39"/>
  <c r="H201" i="39"/>
  <c r="G201" i="39"/>
  <c r="D201" i="39"/>
  <c r="B201" i="39"/>
  <c r="A201" i="39"/>
  <c r="M200" i="39"/>
  <c r="J200" i="39"/>
  <c r="H200" i="39"/>
  <c r="G200" i="39"/>
  <c r="D200" i="39"/>
  <c r="B200" i="39"/>
  <c r="A200" i="39"/>
  <c r="M199" i="39"/>
  <c r="J199" i="39"/>
  <c r="H199" i="39"/>
  <c r="G199" i="39"/>
  <c r="D199" i="39"/>
  <c r="B199" i="39"/>
  <c r="A199" i="39"/>
  <c r="M198" i="39"/>
  <c r="J198" i="39"/>
  <c r="H198" i="39"/>
  <c r="G198" i="39"/>
  <c r="D198" i="39"/>
  <c r="B198" i="39"/>
  <c r="A198" i="39"/>
  <c r="M197" i="39"/>
  <c r="J197" i="39"/>
  <c r="H197" i="39"/>
  <c r="G197" i="39"/>
  <c r="D197" i="39"/>
  <c r="B197" i="39"/>
  <c r="A197" i="39"/>
  <c r="M196" i="39"/>
  <c r="J196" i="39"/>
  <c r="H196" i="39"/>
  <c r="G196" i="39"/>
  <c r="D196" i="39"/>
  <c r="B196" i="39"/>
  <c r="A196" i="39"/>
  <c r="M195" i="39"/>
  <c r="J195" i="39"/>
  <c r="H195" i="39"/>
  <c r="G195" i="39"/>
  <c r="D195" i="39"/>
  <c r="B195" i="39"/>
  <c r="A195" i="39"/>
  <c r="M194" i="39"/>
  <c r="J194" i="39"/>
  <c r="H194" i="39"/>
  <c r="G194" i="39"/>
  <c r="D194" i="39"/>
  <c r="B194" i="39"/>
  <c r="A194" i="39"/>
  <c r="M193" i="39"/>
  <c r="J193" i="39"/>
  <c r="H193" i="39"/>
  <c r="G193" i="39"/>
  <c r="D193" i="39"/>
  <c r="B193" i="39"/>
  <c r="A193" i="39"/>
  <c r="M192" i="39"/>
  <c r="J192" i="39"/>
  <c r="H192" i="39"/>
  <c r="G192" i="39"/>
  <c r="D192" i="39"/>
  <c r="B192" i="39"/>
  <c r="A192" i="39"/>
  <c r="M191" i="39"/>
  <c r="J191" i="39"/>
  <c r="H191" i="39"/>
  <c r="G191" i="39"/>
  <c r="D191" i="39"/>
  <c r="B191" i="39"/>
  <c r="A191" i="39"/>
  <c r="M190" i="39"/>
  <c r="J190" i="39"/>
  <c r="H190" i="39"/>
  <c r="G190" i="39"/>
  <c r="D190" i="39"/>
  <c r="B190" i="39"/>
  <c r="A190" i="39"/>
  <c r="M189" i="39"/>
  <c r="J189" i="39"/>
  <c r="H189" i="39"/>
  <c r="G189" i="39"/>
  <c r="D189" i="39"/>
  <c r="B189" i="39"/>
  <c r="A189" i="39"/>
  <c r="M188" i="39"/>
  <c r="J188" i="39"/>
  <c r="H188" i="39"/>
  <c r="G188" i="39"/>
  <c r="D188" i="39"/>
  <c r="B188" i="39"/>
  <c r="A188" i="39"/>
  <c r="M187" i="39"/>
  <c r="J187" i="39"/>
  <c r="H187" i="39"/>
  <c r="G187" i="39"/>
  <c r="D187" i="39"/>
  <c r="B187" i="39"/>
  <c r="A187" i="39"/>
  <c r="M186" i="39"/>
  <c r="J186" i="39"/>
  <c r="H186" i="39"/>
  <c r="G186" i="39"/>
  <c r="D186" i="39"/>
  <c r="B186" i="39"/>
  <c r="A186" i="39"/>
  <c r="M185" i="39"/>
  <c r="J185" i="39"/>
  <c r="H185" i="39"/>
  <c r="G185" i="39"/>
  <c r="D185" i="39"/>
  <c r="B185" i="39"/>
  <c r="A185" i="39"/>
  <c r="M184" i="39"/>
  <c r="J184" i="39"/>
  <c r="H184" i="39"/>
  <c r="G184" i="39"/>
  <c r="D184" i="39"/>
  <c r="B184" i="39"/>
  <c r="A184" i="39"/>
  <c r="M183" i="39"/>
  <c r="J183" i="39"/>
  <c r="H183" i="39"/>
  <c r="G183" i="39"/>
  <c r="D183" i="39"/>
  <c r="B183" i="39"/>
  <c r="A183" i="39"/>
  <c r="M182" i="39"/>
  <c r="J182" i="39"/>
  <c r="H182" i="39"/>
  <c r="G182" i="39"/>
  <c r="D182" i="39"/>
  <c r="B182" i="39"/>
  <c r="A182" i="39"/>
  <c r="M181" i="39"/>
  <c r="J181" i="39"/>
  <c r="H181" i="39"/>
  <c r="G181" i="39"/>
  <c r="D181" i="39"/>
  <c r="B181" i="39"/>
  <c r="A181" i="39"/>
  <c r="M180" i="39"/>
  <c r="J180" i="39"/>
  <c r="H180" i="39"/>
  <c r="G180" i="39"/>
  <c r="D180" i="39"/>
  <c r="B180" i="39"/>
  <c r="A180" i="39"/>
  <c r="M179" i="39"/>
  <c r="J179" i="39"/>
  <c r="H179" i="39"/>
  <c r="G179" i="39"/>
  <c r="D179" i="39"/>
  <c r="B179" i="39"/>
  <c r="A179" i="39"/>
  <c r="M178" i="39"/>
  <c r="J178" i="39"/>
  <c r="H178" i="39"/>
  <c r="G178" i="39"/>
  <c r="D178" i="39"/>
  <c r="B178" i="39"/>
  <c r="A178" i="39"/>
  <c r="M177" i="39"/>
  <c r="J177" i="39"/>
  <c r="H177" i="39"/>
  <c r="G177" i="39"/>
  <c r="D177" i="39"/>
  <c r="B177" i="39"/>
  <c r="A177" i="39"/>
  <c r="M176" i="39"/>
  <c r="J176" i="39"/>
  <c r="H176" i="39"/>
  <c r="G176" i="39"/>
  <c r="D176" i="39"/>
  <c r="B176" i="39"/>
  <c r="A176" i="39"/>
  <c r="M175" i="39"/>
  <c r="J175" i="39"/>
  <c r="H175" i="39"/>
  <c r="G175" i="39"/>
  <c r="D175" i="39"/>
  <c r="B175" i="39"/>
  <c r="A175" i="39"/>
  <c r="M174" i="39"/>
  <c r="J174" i="39"/>
  <c r="H174" i="39"/>
  <c r="G174" i="39"/>
  <c r="D174" i="39"/>
  <c r="B174" i="39"/>
  <c r="A174" i="39"/>
  <c r="M173" i="39"/>
  <c r="J173" i="39"/>
  <c r="H173" i="39"/>
  <c r="G173" i="39"/>
  <c r="D173" i="39"/>
  <c r="B173" i="39"/>
  <c r="A173" i="39"/>
  <c r="M172" i="39"/>
  <c r="J172" i="39"/>
  <c r="H172" i="39"/>
  <c r="G172" i="39"/>
  <c r="D172" i="39"/>
  <c r="B172" i="39"/>
  <c r="A172" i="39"/>
  <c r="M171" i="39"/>
  <c r="J171" i="39"/>
  <c r="H171" i="39"/>
  <c r="G171" i="39"/>
  <c r="D171" i="39"/>
  <c r="B171" i="39"/>
  <c r="A171" i="39"/>
  <c r="M170" i="39"/>
  <c r="J170" i="39"/>
  <c r="H170" i="39"/>
  <c r="G170" i="39"/>
  <c r="D170" i="39"/>
  <c r="B170" i="39"/>
  <c r="A170" i="39"/>
  <c r="M169" i="39"/>
  <c r="J169" i="39"/>
  <c r="H169" i="39"/>
  <c r="G169" i="39"/>
  <c r="D169" i="39"/>
  <c r="B169" i="39"/>
  <c r="A169" i="39"/>
  <c r="M168" i="39"/>
  <c r="J168" i="39"/>
  <c r="H168" i="39"/>
  <c r="G168" i="39"/>
  <c r="D168" i="39"/>
  <c r="B168" i="39"/>
  <c r="A168" i="39"/>
  <c r="M167" i="39"/>
  <c r="J167" i="39"/>
  <c r="H167" i="39"/>
  <c r="G167" i="39"/>
  <c r="D167" i="39"/>
  <c r="B167" i="39"/>
  <c r="A167" i="39"/>
  <c r="M166" i="39"/>
  <c r="J166" i="39"/>
  <c r="H166" i="39"/>
  <c r="G166" i="39"/>
  <c r="D166" i="39"/>
  <c r="B166" i="39"/>
  <c r="A166" i="39"/>
  <c r="M165" i="39"/>
  <c r="J165" i="39"/>
  <c r="H165" i="39"/>
  <c r="G165" i="39"/>
  <c r="D165" i="39"/>
  <c r="B165" i="39"/>
  <c r="A165" i="39"/>
  <c r="M164" i="39"/>
  <c r="J164" i="39"/>
  <c r="H164" i="39"/>
  <c r="G164" i="39"/>
  <c r="D164" i="39"/>
  <c r="B164" i="39"/>
  <c r="A164" i="39"/>
  <c r="M163" i="39"/>
  <c r="J163" i="39"/>
  <c r="H163" i="39"/>
  <c r="G163" i="39"/>
  <c r="D163" i="39"/>
  <c r="B163" i="39"/>
  <c r="A163" i="39"/>
  <c r="M162" i="39"/>
  <c r="J162" i="39"/>
  <c r="H162" i="39"/>
  <c r="G162" i="39"/>
  <c r="D162" i="39"/>
  <c r="B162" i="39"/>
  <c r="A162" i="39"/>
  <c r="M161" i="39"/>
  <c r="J161" i="39"/>
  <c r="H161" i="39"/>
  <c r="G161" i="39"/>
  <c r="D161" i="39"/>
  <c r="B161" i="39"/>
  <c r="A161" i="39"/>
  <c r="M160" i="39"/>
  <c r="J160" i="39"/>
  <c r="H160" i="39"/>
  <c r="G160" i="39"/>
  <c r="D160" i="39"/>
  <c r="B160" i="39"/>
  <c r="A160" i="39"/>
  <c r="M159" i="39"/>
  <c r="J159" i="39"/>
  <c r="H159" i="39"/>
  <c r="G159" i="39"/>
  <c r="D159" i="39"/>
  <c r="B159" i="39"/>
  <c r="A159" i="39"/>
  <c r="M158" i="39"/>
  <c r="J158" i="39"/>
  <c r="H158" i="39"/>
  <c r="G158" i="39"/>
  <c r="D158" i="39"/>
  <c r="B158" i="39"/>
  <c r="A158" i="39"/>
  <c r="M157" i="39"/>
  <c r="J157" i="39"/>
  <c r="H157" i="39"/>
  <c r="G157" i="39"/>
  <c r="D157" i="39"/>
  <c r="B157" i="39"/>
  <c r="A157" i="39"/>
  <c r="M156" i="39"/>
  <c r="J156" i="39"/>
  <c r="H156" i="39"/>
  <c r="G156" i="39"/>
  <c r="D156" i="39"/>
  <c r="B156" i="39"/>
  <c r="A156" i="39"/>
  <c r="M155" i="39"/>
  <c r="J155" i="39"/>
  <c r="H155" i="39"/>
  <c r="G155" i="39"/>
  <c r="D155" i="39"/>
  <c r="B155" i="39"/>
  <c r="A155" i="39"/>
  <c r="M154" i="39"/>
  <c r="J154" i="39"/>
  <c r="H154" i="39"/>
  <c r="G154" i="39"/>
  <c r="D154" i="39"/>
  <c r="B154" i="39"/>
  <c r="A154" i="39"/>
  <c r="M153" i="39"/>
  <c r="J153" i="39"/>
  <c r="H153" i="39"/>
  <c r="G153" i="39"/>
  <c r="D153" i="39"/>
  <c r="B153" i="39"/>
  <c r="A153" i="39"/>
  <c r="M152" i="39"/>
  <c r="J152" i="39"/>
  <c r="H152" i="39"/>
  <c r="G152" i="39"/>
  <c r="D152" i="39"/>
  <c r="B152" i="39"/>
  <c r="A152" i="39"/>
  <c r="M151" i="39"/>
  <c r="J151" i="39"/>
  <c r="H151" i="39"/>
  <c r="G151" i="39"/>
  <c r="D151" i="39"/>
  <c r="B151" i="39"/>
  <c r="A151" i="39"/>
  <c r="M150" i="39"/>
  <c r="J150" i="39"/>
  <c r="H150" i="39"/>
  <c r="G150" i="39"/>
  <c r="D150" i="39"/>
  <c r="B150" i="39"/>
  <c r="A150" i="39"/>
  <c r="M149" i="39"/>
  <c r="J149" i="39"/>
  <c r="H149" i="39"/>
  <c r="G149" i="39"/>
  <c r="D149" i="39"/>
  <c r="B149" i="39"/>
  <c r="A149" i="39"/>
  <c r="M148" i="39"/>
  <c r="J148" i="39"/>
  <c r="H148" i="39"/>
  <c r="G148" i="39"/>
  <c r="D148" i="39"/>
  <c r="B148" i="39"/>
  <c r="A148" i="39"/>
  <c r="M147" i="39"/>
  <c r="J147" i="39"/>
  <c r="H147" i="39"/>
  <c r="G147" i="39"/>
  <c r="D147" i="39"/>
  <c r="B147" i="39"/>
  <c r="A147" i="39"/>
  <c r="M146" i="39"/>
  <c r="J146" i="39"/>
  <c r="H146" i="39"/>
  <c r="G146" i="39"/>
  <c r="D146" i="39"/>
  <c r="B146" i="39"/>
  <c r="A146" i="39"/>
  <c r="M145" i="39"/>
  <c r="J145" i="39"/>
  <c r="H145" i="39"/>
  <c r="G145" i="39"/>
  <c r="D145" i="39"/>
  <c r="B145" i="39"/>
  <c r="A145" i="39"/>
  <c r="M144" i="39"/>
  <c r="J144" i="39"/>
  <c r="H144" i="39"/>
  <c r="G144" i="39"/>
  <c r="D144" i="39"/>
  <c r="B144" i="39"/>
  <c r="A144" i="39"/>
  <c r="M143" i="39"/>
  <c r="J143" i="39"/>
  <c r="H143" i="39"/>
  <c r="G143" i="39"/>
  <c r="D143" i="39"/>
  <c r="B143" i="39"/>
  <c r="A143" i="39"/>
  <c r="M142" i="39"/>
  <c r="J142" i="39"/>
  <c r="H142" i="39"/>
  <c r="G142" i="39"/>
  <c r="D142" i="39"/>
  <c r="B142" i="39"/>
  <c r="A142" i="39"/>
  <c r="M141" i="39"/>
  <c r="J141" i="39"/>
  <c r="H141" i="39"/>
  <c r="G141" i="39"/>
  <c r="D141" i="39"/>
  <c r="B141" i="39"/>
  <c r="A141" i="39"/>
  <c r="M140" i="39"/>
  <c r="J140" i="39"/>
  <c r="H140" i="39"/>
  <c r="G140" i="39"/>
  <c r="D140" i="39"/>
  <c r="B140" i="39"/>
  <c r="A140" i="39"/>
  <c r="M139" i="39"/>
  <c r="J139" i="39"/>
  <c r="H139" i="39"/>
  <c r="G139" i="39"/>
  <c r="D139" i="39"/>
  <c r="B139" i="39"/>
  <c r="A139" i="39"/>
  <c r="M138" i="39"/>
  <c r="J138" i="39"/>
  <c r="H138" i="39"/>
  <c r="G138" i="39"/>
  <c r="D138" i="39"/>
  <c r="B138" i="39"/>
  <c r="A138" i="39"/>
  <c r="M137" i="39"/>
  <c r="J137" i="39"/>
  <c r="H137" i="39"/>
  <c r="G137" i="39"/>
  <c r="D137" i="39"/>
  <c r="B137" i="39"/>
  <c r="A137" i="39"/>
  <c r="M136" i="39"/>
  <c r="J136" i="39"/>
  <c r="H136" i="39"/>
  <c r="G136" i="39"/>
  <c r="D136" i="39"/>
  <c r="B136" i="39"/>
  <c r="A136" i="39"/>
  <c r="M135" i="39"/>
  <c r="J135" i="39"/>
  <c r="H135" i="39"/>
  <c r="G135" i="39"/>
  <c r="D135" i="39"/>
  <c r="B135" i="39"/>
  <c r="A135" i="39"/>
  <c r="M134" i="39"/>
  <c r="J134" i="39"/>
  <c r="H134" i="39"/>
  <c r="G134" i="39"/>
  <c r="D134" i="39"/>
  <c r="B134" i="39"/>
  <c r="A134" i="39"/>
  <c r="M133" i="39"/>
  <c r="J133" i="39"/>
  <c r="H133" i="39"/>
  <c r="G133" i="39"/>
  <c r="D133" i="39"/>
  <c r="B133" i="39"/>
  <c r="A133" i="39"/>
  <c r="M132" i="39"/>
  <c r="J132" i="39"/>
  <c r="H132" i="39"/>
  <c r="G132" i="39"/>
  <c r="D132" i="39"/>
  <c r="B132" i="39"/>
  <c r="A132" i="39"/>
  <c r="M131" i="39"/>
  <c r="J131" i="39"/>
  <c r="H131" i="39"/>
  <c r="G131" i="39"/>
  <c r="D131" i="39"/>
  <c r="B131" i="39"/>
  <c r="A131" i="39"/>
  <c r="M130" i="39"/>
  <c r="J130" i="39"/>
  <c r="H130" i="39"/>
  <c r="G130" i="39"/>
  <c r="D130" i="39"/>
  <c r="B130" i="39"/>
  <c r="A130" i="39"/>
  <c r="M129" i="39"/>
  <c r="J129" i="39"/>
  <c r="H129" i="39"/>
  <c r="G129" i="39"/>
  <c r="D129" i="39"/>
  <c r="B129" i="39"/>
  <c r="A129" i="39"/>
  <c r="M128" i="39"/>
  <c r="J128" i="39"/>
  <c r="H128" i="39"/>
  <c r="G128" i="39"/>
  <c r="D128" i="39"/>
  <c r="B128" i="39"/>
  <c r="A128" i="39"/>
  <c r="M127" i="39"/>
  <c r="J127" i="39"/>
  <c r="H127" i="39"/>
  <c r="G127" i="39"/>
  <c r="D127" i="39"/>
  <c r="B127" i="39"/>
  <c r="A127" i="39"/>
  <c r="M126" i="39"/>
  <c r="J126" i="39"/>
  <c r="H126" i="39"/>
  <c r="G126" i="39"/>
  <c r="D126" i="39"/>
  <c r="B126" i="39"/>
  <c r="A126" i="39"/>
  <c r="M125" i="39"/>
  <c r="J125" i="39"/>
  <c r="H125" i="39"/>
  <c r="G125" i="39"/>
  <c r="D125" i="39"/>
  <c r="B125" i="39"/>
  <c r="A125" i="39"/>
  <c r="M124" i="39"/>
  <c r="J124" i="39"/>
  <c r="H124" i="39"/>
  <c r="G124" i="39"/>
  <c r="D124" i="39"/>
  <c r="B124" i="39"/>
  <c r="A124" i="39"/>
  <c r="M123" i="39"/>
  <c r="J123" i="39"/>
  <c r="H123" i="39"/>
  <c r="G123" i="39"/>
  <c r="D123" i="39"/>
  <c r="B123" i="39"/>
  <c r="A123" i="39"/>
  <c r="M122" i="39"/>
  <c r="J122" i="39"/>
  <c r="H122" i="39"/>
  <c r="G122" i="39"/>
  <c r="D122" i="39"/>
  <c r="B122" i="39"/>
  <c r="A122" i="39"/>
  <c r="M121" i="39"/>
  <c r="J121" i="39"/>
  <c r="H121" i="39"/>
  <c r="G121" i="39"/>
  <c r="D121" i="39"/>
  <c r="B121" i="39"/>
  <c r="A121" i="39"/>
  <c r="M120" i="39"/>
  <c r="J120" i="39"/>
  <c r="H120" i="39"/>
  <c r="G120" i="39"/>
  <c r="D120" i="39"/>
  <c r="B120" i="39"/>
  <c r="A120" i="39"/>
  <c r="M119" i="39"/>
  <c r="J119" i="39"/>
  <c r="H119" i="39"/>
  <c r="G119" i="39"/>
  <c r="D119" i="39"/>
  <c r="B119" i="39"/>
  <c r="A119" i="39"/>
  <c r="M118" i="39"/>
  <c r="J118" i="39"/>
  <c r="H118" i="39"/>
  <c r="G118" i="39"/>
  <c r="D118" i="39"/>
  <c r="B118" i="39"/>
  <c r="A118" i="39"/>
  <c r="M117" i="39"/>
  <c r="J117" i="39"/>
  <c r="H117" i="39"/>
  <c r="G117" i="39"/>
  <c r="D117" i="39"/>
  <c r="B117" i="39"/>
  <c r="A117" i="39"/>
  <c r="M116" i="39"/>
  <c r="J116" i="39"/>
  <c r="H116" i="39"/>
  <c r="G116" i="39"/>
  <c r="D116" i="39"/>
  <c r="B116" i="39"/>
  <c r="A116" i="39"/>
  <c r="M115" i="39"/>
  <c r="J115" i="39"/>
  <c r="H115" i="39"/>
  <c r="G115" i="39"/>
  <c r="D115" i="39"/>
  <c r="B115" i="39"/>
  <c r="A115" i="39"/>
  <c r="M114" i="39"/>
  <c r="J114" i="39"/>
  <c r="H114" i="39"/>
  <c r="G114" i="39"/>
  <c r="D114" i="39"/>
  <c r="B114" i="39"/>
  <c r="A114" i="39"/>
  <c r="M113" i="39"/>
  <c r="J113" i="39"/>
  <c r="H113" i="39"/>
  <c r="G113" i="39"/>
  <c r="D113" i="39"/>
  <c r="B113" i="39"/>
  <c r="A113" i="39"/>
  <c r="M112" i="39"/>
  <c r="J112" i="39"/>
  <c r="H112" i="39"/>
  <c r="G112" i="39"/>
  <c r="D112" i="39"/>
  <c r="B112" i="39"/>
  <c r="A112" i="39"/>
  <c r="M111" i="39"/>
  <c r="J111" i="39"/>
  <c r="H111" i="39"/>
  <c r="G111" i="39"/>
  <c r="D111" i="39"/>
  <c r="B111" i="39"/>
  <c r="A111" i="39"/>
  <c r="M110" i="39"/>
  <c r="J110" i="39"/>
  <c r="H110" i="39"/>
  <c r="G110" i="39"/>
  <c r="D110" i="39"/>
  <c r="B110" i="39"/>
  <c r="A110" i="39"/>
  <c r="M109" i="39"/>
  <c r="J109" i="39"/>
  <c r="H109" i="39"/>
  <c r="G109" i="39"/>
  <c r="D109" i="39"/>
  <c r="B109" i="39"/>
  <c r="A109" i="39"/>
  <c r="M108" i="39"/>
  <c r="J108" i="39"/>
  <c r="H108" i="39"/>
  <c r="G108" i="39"/>
  <c r="D108" i="39"/>
  <c r="B108" i="39"/>
  <c r="A108" i="39"/>
  <c r="M107" i="39"/>
  <c r="J107" i="39"/>
  <c r="H107" i="39"/>
  <c r="G107" i="39"/>
  <c r="D107" i="39"/>
  <c r="B107" i="39"/>
  <c r="A107" i="39"/>
  <c r="M106" i="39"/>
  <c r="J106" i="39"/>
  <c r="H106" i="39"/>
  <c r="G106" i="39"/>
  <c r="D106" i="39"/>
  <c r="B106" i="39"/>
  <c r="A106" i="39"/>
  <c r="M105" i="39"/>
  <c r="J105" i="39"/>
  <c r="H105" i="39"/>
  <c r="G105" i="39"/>
  <c r="D105" i="39"/>
  <c r="B105" i="39"/>
  <c r="A105" i="39"/>
  <c r="M104" i="39"/>
  <c r="J104" i="39"/>
  <c r="H104" i="39"/>
  <c r="G104" i="39"/>
  <c r="D104" i="39"/>
  <c r="B104" i="39"/>
  <c r="A104" i="39"/>
  <c r="M103" i="39"/>
  <c r="J103" i="39"/>
  <c r="H103" i="39"/>
  <c r="G103" i="39"/>
  <c r="D103" i="39"/>
  <c r="B103" i="39"/>
  <c r="A103" i="39"/>
  <c r="M102" i="39"/>
  <c r="J102" i="39"/>
  <c r="H102" i="39"/>
  <c r="G102" i="39"/>
  <c r="D102" i="39"/>
  <c r="B102" i="39"/>
  <c r="A102" i="39"/>
  <c r="M101" i="39"/>
  <c r="J101" i="39"/>
  <c r="H101" i="39"/>
  <c r="G101" i="39"/>
  <c r="D101" i="39"/>
  <c r="B101" i="39"/>
  <c r="A101" i="39"/>
  <c r="M100" i="39"/>
  <c r="J100" i="39"/>
  <c r="H100" i="39"/>
  <c r="G100" i="39"/>
  <c r="D100" i="39"/>
  <c r="B100" i="39"/>
  <c r="A100" i="39"/>
  <c r="M99" i="39"/>
  <c r="J99" i="39"/>
  <c r="H99" i="39"/>
  <c r="G99" i="39"/>
  <c r="D99" i="39"/>
  <c r="B99" i="39"/>
  <c r="A99" i="39"/>
  <c r="M98" i="39"/>
  <c r="J98" i="39"/>
  <c r="H98" i="39"/>
  <c r="G98" i="39"/>
  <c r="D98" i="39"/>
  <c r="B98" i="39"/>
  <c r="A98" i="39"/>
  <c r="M97" i="39"/>
  <c r="J97" i="39"/>
  <c r="H97" i="39"/>
  <c r="G97" i="39"/>
  <c r="D97" i="39"/>
  <c r="B97" i="39"/>
  <c r="A97" i="39"/>
  <c r="M96" i="39"/>
  <c r="J96" i="39"/>
  <c r="H96" i="39"/>
  <c r="G96" i="39"/>
  <c r="D96" i="39"/>
  <c r="B96" i="39"/>
  <c r="A96" i="39"/>
  <c r="M95" i="39"/>
  <c r="J95" i="39"/>
  <c r="H95" i="39"/>
  <c r="G95" i="39"/>
  <c r="D95" i="39"/>
  <c r="B95" i="39"/>
  <c r="A95" i="39"/>
  <c r="M94" i="39"/>
  <c r="J94" i="39"/>
  <c r="H94" i="39"/>
  <c r="G94" i="39"/>
  <c r="D94" i="39"/>
  <c r="B94" i="39"/>
  <c r="A94" i="39"/>
  <c r="M93" i="39"/>
  <c r="J93" i="39"/>
  <c r="H93" i="39"/>
  <c r="G93" i="39"/>
  <c r="D93" i="39"/>
  <c r="B93" i="39"/>
  <c r="A93" i="39"/>
  <c r="M92" i="39"/>
  <c r="J92" i="39"/>
  <c r="H92" i="39"/>
  <c r="G92" i="39"/>
  <c r="D92" i="39"/>
  <c r="B92" i="39"/>
  <c r="A92" i="39"/>
  <c r="M91" i="39"/>
  <c r="J91" i="39"/>
  <c r="H91" i="39"/>
  <c r="G91" i="39"/>
  <c r="D91" i="39"/>
  <c r="B91" i="39"/>
  <c r="A91" i="39"/>
  <c r="M90" i="39"/>
  <c r="J90" i="39"/>
  <c r="H90" i="39"/>
  <c r="G90" i="39"/>
  <c r="D90" i="39"/>
  <c r="B90" i="39"/>
  <c r="A90" i="39"/>
  <c r="M89" i="39"/>
  <c r="J89" i="39"/>
  <c r="H89" i="39"/>
  <c r="G89" i="39"/>
  <c r="D89" i="39"/>
  <c r="B89" i="39"/>
  <c r="A89" i="39"/>
  <c r="M88" i="39"/>
  <c r="J88" i="39"/>
  <c r="H88" i="39"/>
  <c r="G88" i="39"/>
  <c r="D88" i="39"/>
  <c r="B88" i="39"/>
  <c r="A88" i="39"/>
  <c r="M87" i="39"/>
  <c r="J87" i="39"/>
  <c r="H87" i="39"/>
  <c r="G87" i="39"/>
  <c r="D87" i="39"/>
  <c r="B87" i="39"/>
  <c r="A87" i="39"/>
  <c r="M86" i="39"/>
  <c r="J86" i="39"/>
  <c r="H86" i="39"/>
  <c r="G86" i="39"/>
  <c r="D86" i="39"/>
  <c r="B86" i="39"/>
  <c r="A86" i="39"/>
  <c r="M85" i="39"/>
  <c r="J85" i="39"/>
  <c r="H85" i="39"/>
  <c r="G85" i="39"/>
  <c r="D85" i="39"/>
  <c r="B85" i="39"/>
  <c r="A85" i="39"/>
  <c r="M84" i="39"/>
  <c r="J84" i="39"/>
  <c r="H84" i="39"/>
  <c r="G84" i="39"/>
  <c r="D84" i="39"/>
  <c r="B84" i="39"/>
  <c r="A84" i="39"/>
  <c r="M83" i="39"/>
  <c r="J83" i="39"/>
  <c r="H83" i="39"/>
  <c r="G83" i="39"/>
  <c r="D83" i="39"/>
  <c r="B83" i="39"/>
  <c r="A83" i="39"/>
  <c r="M82" i="39"/>
  <c r="J82" i="39"/>
  <c r="H82" i="39"/>
  <c r="G82" i="39"/>
  <c r="D82" i="39"/>
  <c r="B82" i="39"/>
  <c r="A82" i="39"/>
  <c r="M81" i="39"/>
  <c r="J81" i="39"/>
  <c r="H81" i="39"/>
  <c r="G81" i="39"/>
  <c r="D81" i="39"/>
  <c r="B81" i="39"/>
  <c r="A81" i="39"/>
  <c r="M80" i="39"/>
  <c r="J80" i="39"/>
  <c r="H80" i="39"/>
  <c r="G80" i="39"/>
  <c r="D80" i="39"/>
  <c r="B80" i="39"/>
  <c r="A80" i="39"/>
  <c r="M79" i="39"/>
  <c r="J79" i="39"/>
  <c r="H79" i="39"/>
  <c r="G79" i="39"/>
  <c r="D79" i="39"/>
  <c r="B79" i="39"/>
  <c r="A79" i="39"/>
  <c r="M78" i="39"/>
  <c r="J78" i="39"/>
  <c r="H78" i="39"/>
  <c r="G78" i="39"/>
  <c r="D78" i="39"/>
  <c r="B78" i="39"/>
  <c r="A78" i="39"/>
  <c r="M77" i="39"/>
  <c r="J77" i="39"/>
  <c r="H77" i="39"/>
  <c r="G77" i="39"/>
  <c r="D77" i="39"/>
  <c r="B77" i="39"/>
  <c r="A77" i="39"/>
  <c r="M76" i="39"/>
  <c r="J76" i="39"/>
  <c r="H76" i="39"/>
  <c r="G76" i="39"/>
  <c r="D76" i="39"/>
  <c r="B76" i="39"/>
  <c r="A76" i="39"/>
  <c r="M75" i="39"/>
  <c r="J75" i="39"/>
  <c r="H75" i="39"/>
  <c r="G75" i="39"/>
  <c r="D75" i="39"/>
  <c r="B75" i="39"/>
  <c r="A75" i="39"/>
  <c r="M74" i="39"/>
  <c r="J74" i="39"/>
  <c r="H74" i="39"/>
  <c r="G74" i="39"/>
  <c r="D74" i="39"/>
  <c r="B74" i="39"/>
  <c r="A74" i="39"/>
  <c r="M73" i="39"/>
  <c r="J73" i="39"/>
  <c r="H73" i="39"/>
  <c r="G73" i="39"/>
  <c r="D73" i="39"/>
  <c r="B73" i="39"/>
  <c r="A73" i="39"/>
  <c r="M72" i="39"/>
  <c r="J72" i="39"/>
  <c r="H72" i="39"/>
  <c r="G72" i="39"/>
  <c r="D72" i="39"/>
  <c r="B72" i="39"/>
  <c r="A72" i="39"/>
  <c r="M71" i="39"/>
  <c r="J71" i="39"/>
  <c r="H71" i="39"/>
  <c r="G71" i="39"/>
  <c r="D71" i="39"/>
  <c r="B71" i="39"/>
  <c r="A71" i="39"/>
  <c r="M70" i="39"/>
  <c r="J70" i="39"/>
  <c r="H70" i="39"/>
  <c r="G70" i="39"/>
  <c r="D70" i="39"/>
  <c r="B70" i="39"/>
  <c r="A70" i="39"/>
  <c r="M69" i="39"/>
  <c r="J69" i="39"/>
  <c r="H69" i="39"/>
  <c r="G69" i="39"/>
  <c r="D69" i="39"/>
  <c r="B69" i="39"/>
  <c r="A69" i="39"/>
  <c r="M68" i="39"/>
  <c r="J68" i="39"/>
  <c r="H68" i="39"/>
  <c r="G68" i="39"/>
  <c r="D68" i="39"/>
  <c r="B68" i="39"/>
  <c r="A68" i="39"/>
  <c r="M67" i="39"/>
  <c r="J67" i="39"/>
  <c r="H67" i="39"/>
  <c r="G67" i="39"/>
  <c r="D67" i="39"/>
  <c r="B67" i="39"/>
  <c r="A67" i="39"/>
  <c r="M66" i="39"/>
  <c r="J66" i="39"/>
  <c r="H66" i="39"/>
  <c r="G66" i="39"/>
  <c r="D66" i="39"/>
  <c r="B66" i="39"/>
  <c r="A66" i="39"/>
  <c r="M65" i="39"/>
  <c r="J65" i="39"/>
  <c r="H65" i="39"/>
  <c r="G65" i="39"/>
  <c r="D65" i="39"/>
  <c r="B65" i="39"/>
  <c r="A65" i="39"/>
  <c r="M64" i="39"/>
  <c r="J64" i="39"/>
  <c r="H64" i="39"/>
  <c r="G64" i="39"/>
  <c r="D64" i="39"/>
  <c r="B64" i="39"/>
  <c r="A64" i="39"/>
  <c r="M63" i="39"/>
  <c r="J63" i="39"/>
  <c r="H63" i="39"/>
  <c r="G63" i="39"/>
  <c r="D63" i="39"/>
  <c r="B63" i="39"/>
  <c r="A63" i="39"/>
  <c r="M62" i="39"/>
  <c r="J62" i="39"/>
  <c r="H62" i="39"/>
  <c r="G62" i="39"/>
  <c r="D62" i="39"/>
  <c r="B62" i="39"/>
  <c r="A62" i="39"/>
  <c r="M61" i="39"/>
  <c r="J61" i="39"/>
  <c r="H61" i="39"/>
  <c r="G61" i="39"/>
  <c r="D61" i="39"/>
  <c r="B61" i="39"/>
  <c r="A61" i="39"/>
  <c r="M60" i="39"/>
  <c r="J60" i="39"/>
  <c r="H60" i="39"/>
  <c r="G60" i="39"/>
  <c r="D60" i="39"/>
  <c r="B60" i="39"/>
  <c r="A60" i="39"/>
  <c r="M59" i="39"/>
  <c r="J59" i="39"/>
  <c r="H59" i="39"/>
  <c r="G59" i="39"/>
  <c r="D59" i="39"/>
  <c r="B59" i="39"/>
  <c r="A59" i="39"/>
  <c r="M58" i="39"/>
  <c r="J58" i="39"/>
  <c r="H58" i="39"/>
  <c r="G58" i="39"/>
  <c r="D58" i="39"/>
  <c r="B58" i="39"/>
  <c r="A58" i="39"/>
  <c r="M57" i="39"/>
  <c r="J57" i="39"/>
  <c r="H57" i="39"/>
  <c r="G57" i="39"/>
  <c r="D57" i="39"/>
  <c r="B57" i="39"/>
  <c r="A57" i="39"/>
  <c r="M56" i="39"/>
  <c r="J56" i="39"/>
  <c r="H56" i="39"/>
  <c r="G56" i="39"/>
  <c r="D56" i="39"/>
  <c r="B56" i="39"/>
  <c r="A56" i="39"/>
  <c r="M55" i="39"/>
  <c r="J55" i="39"/>
  <c r="H55" i="39"/>
  <c r="G55" i="39"/>
  <c r="D55" i="39"/>
  <c r="B55" i="39"/>
  <c r="A55" i="39"/>
  <c r="M54" i="39"/>
  <c r="J54" i="39"/>
  <c r="H54" i="39"/>
  <c r="G54" i="39"/>
  <c r="D54" i="39"/>
  <c r="B54" i="39"/>
  <c r="A54" i="39"/>
  <c r="M53" i="39"/>
  <c r="J53" i="39"/>
  <c r="H53" i="39"/>
  <c r="G53" i="39"/>
  <c r="D53" i="39"/>
  <c r="B53" i="39"/>
  <c r="A53" i="39"/>
  <c r="M52" i="39"/>
  <c r="J52" i="39"/>
  <c r="H52" i="39"/>
  <c r="G52" i="39"/>
  <c r="D52" i="39"/>
  <c r="B52" i="39"/>
  <c r="A52" i="39"/>
  <c r="M51" i="39"/>
  <c r="J51" i="39"/>
  <c r="H51" i="39"/>
  <c r="G51" i="39"/>
  <c r="D51" i="39"/>
  <c r="B51" i="39"/>
  <c r="A51" i="39"/>
  <c r="M50" i="39"/>
  <c r="J50" i="39"/>
  <c r="H50" i="39"/>
  <c r="G50" i="39"/>
  <c r="D50" i="39"/>
  <c r="B50" i="39"/>
  <c r="A50" i="39"/>
  <c r="M49" i="39"/>
  <c r="J49" i="39"/>
  <c r="H49" i="39"/>
  <c r="G49" i="39"/>
  <c r="D49" i="39"/>
  <c r="B49" i="39"/>
  <c r="A49" i="39"/>
  <c r="M48" i="39"/>
  <c r="J48" i="39"/>
  <c r="H48" i="39"/>
  <c r="G48" i="39"/>
  <c r="D48" i="39"/>
  <c r="B48" i="39"/>
  <c r="A48" i="39"/>
  <c r="M47" i="39"/>
  <c r="J47" i="39"/>
  <c r="H47" i="39"/>
  <c r="G47" i="39"/>
  <c r="D47" i="39"/>
  <c r="B47" i="39"/>
  <c r="A47" i="39"/>
  <c r="M46" i="39"/>
  <c r="J46" i="39"/>
  <c r="H46" i="39"/>
  <c r="G46" i="39"/>
  <c r="D46" i="39"/>
  <c r="B46" i="39"/>
  <c r="A46" i="39"/>
  <c r="M45" i="39"/>
  <c r="J45" i="39"/>
  <c r="H45" i="39"/>
  <c r="G45" i="39"/>
  <c r="D45" i="39"/>
  <c r="B45" i="39"/>
  <c r="A45" i="39"/>
  <c r="M44" i="39"/>
  <c r="J44" i="39"/>
  <c r="H44" i="39"/>
  <c r="G44" i="39"/>
  <c r="D44" i="39"/>
  <c r="B44" i="39"/>
  <c r="A44" i="39"/>
  <c r="M43" i="39"/>
  <c r="J43" i="39"/>
  <c r="H43" i="39"/>
  <c r="G43" i="39"/>
  <c r="D43" i="39"/>
  <c r="B43" i="39"/>
  <c r="A43" i="39"/>
  <c r="M42" i="39"/>
  <c r="J42" i="39"/>
  <c r="H42" i="39"/>
  <c r="G42" i="39"/>
  <c r="D42" i="39"/>
  <c r="B42" i="39"/>
  <c r="A42" i="39"/>
  <c r="M41" i="39"/>
  <c r="J41" i="39"/>
  <c r="H41" i="39"/>
  <c r="G41" i="39"/>
  <c r="D41" i="39"/>
  <c r="B41" i="39"/>
  <c r="A41" i="39"/>
  <c r="M40" i="39"/>
  <c r="J40" i="39"/>
  <c r="H40" i="39"/>
  <c r="G40" i="39"/>
  <c r="D40" i="39"/>
  <c r="B40" i="39"/>
  <c r="A40" i="39"/>
  <c r="M39" i="39"/>
  <c r="J39" i="39"/>
  <c r="H39" i="39"/>
  <c r="G39" i="39"/>
  <c r="D39" i="39"/>
  <c r="B39" i="39"/>
  <c r="A39" i="39"/>
  <c r="M38" i="39"/>
  <c r="J38" i="39"/>
  <c r="H38" i="39"/>
  <c r="G38" i="39"/>
  <c r="D38" i="39"/>
  <c r="B38" i="39"/>
  <c r="A38" i="39"/>
  <c r="M37" i="39"/>
  <c r="J37" i="39"/>
  <c r="H37" i="39"/>
  <c r="G37" i="39"/>
  <c r="D37" i="39"/>
  <c r="B37" i="39"/>
  <c r="A37" i="39"/>
  <c r="M36" i="39"/>
  <c r="J36" i="39"/>
  <c r="H36" i="39"/>
  <c r="G36" i="39"/>
  <c r="D36" i="39"/>
  <c r="B36" i="39"/>
  <c r="A36" i="39"/>
  <c r="M35" i="39"/>
  <c r="J35" i="39"/>
  <c r="H35" i="39"/>
  <c r="G35" i="39"/>
  <c r="D35" i="39"/>
  <c r="B35" i="39"/>
  <c r="A35" i="39"/>
  <c r="M34" i="39"/>
  <c r="J34" i="39"/>
  <c r="H34" i="39"/>
  <c r="G34" i="39"/>
  <c r="D34" i="39"/>
  <c r="B34" i="39"/>
  <c r="A34" i="39"/>
  <c r="M33" i="39"/>
  <c r="J33" i="39"/>
  <c r="H33" i="39"/>
  <c r="G33" i="39"/>
  <c r="D33" i="39"/>
  <c r="B33" i="39"/>
  <c r="A33" i="39"/>
  <c r="M32" i="39"/>
  <c r="J32" i="39"/>
  <c r="H32" i="39"/>
  <c r="G32" i="39"/>
  <c r="D32" i="39"/>
  <c r="B32" i="39"/>
  <c r="A32" i="39"/>
  <c r="M31" i="39"/>
  <c r="J31" i="39"/>
  <c r="H31" i="39"/>
  <c r="G31" i="39"/>
  <c r="D31" i="39"/>
  <c r="B31" i="39"/>
  <c r="A31" i="39"/>
  <c r="M30" i="39"/>
  <c r="J30" i="39"/>
  <c r="H30" i="39"/>
  <c r="G30" i="39"/>
  <c r="D30" i="39"/>
  <c r="B30" i="39"/>
  <c r="A30" i="39"/>
  <c r="M29" i="39"/>
  <c r="J29" i="39"/>
  <c r="H29" i="39"/>
  <c r="G29" i="39"/>
  <c r="D29" i="39"/>
  <c r="B29" i="39"/>
  <c r="A29" i="39"/>
  <c r="M28" i="39"/>
  <c r="J28" i="39"/>
  <c r="H28" i="39"/>
  <c r="G28" i="39"/>
  <c r="D28" i="39"/>
  <c r="B28" i="39"/>
  <c r="A28" i="39"/>
  <c r="M27" i="39"/>
  <c r="J27" i="39"/>
  <c r="H27" i="39"/>
  <c r="G27" i="39"/>
  <c r="D27" i="39"/>
  <c r="B27" i="39"/>
  <c r="A27" i="39"/>
  <c r="M26" i="39"/>
  <c r="J26" i="39"/>
  <c r="H26" i="39"/>
  <c r="G26" i="39"/>
  <c r="D26" i="39"/>
  <c r="B26" i="39"/>
  <c r="A26" i="39"/>
  <c r="M25" i="39"/>
  <c r="J25" i="39"/>
  <c r="H25" i="39"/>
  <c r="G25" i="39"/>
  <c r="D25" i="39"/>
  <c r="B25" i="39"/>
  <c r="A25" i="39"/>
  <c r="M24" i="39"/>
  <c r="J24" i="39"/>
  <c r="H24" i="39"/>
  <c r="G24" i="39"/>
  <c r="D24" i="39"/>
  <c r="B24" i="39"/>
  <c r="A24" i="39"/>
  <c r="M23" i="39"/>
  <c r="J23" i="39"/>
  <c r="H23" i="39"/>
  <c r="G23" i="39"/>
  <c r="D23" i="39"/>
  <c r="B23" i="39"/>
  <c r="A23" i="39"/>
  <c r="M22" i="39"/>
  <c r="H22" i="39"/>
  <c r="G22" i="39"/>
  <c r="D22" i="39"/>
  <c r="B22" i="39"/>
  <c r="A22" i="39"/>
  <c r="M21" i="39"/>
  <c r="H21" i="39"/>
  <c r="G21" i="39"/>
  <c r="D21" i="39"/>
  <c r="B21" i="39"/>
  <c r="A21" i="39"/>
  <c r="M20" i="39"/>
  <c r="H20" i="39"/>
  <c r="G20" i="39"/>
  <c r="D20" i="39"/>
  <c r="B20" i="39"/>
  <c r="A20" i="39"/>
  <c r="M19" i="39"/>
  <c r="H19" i="39"/>
  <c r="G19" i="39"/>
  <c r="D19" i="39"/>
  <c r="B19" i="39"/>
  <c r="A19" i="39"/>
  <c r="M18" i="39"/>
  <c r="H18" i="39"/>
  <c r="G18" i="39"/>
  <c r="D18" i="39"/>
  <c r="B18" i="39"/>
  <c r="A18" i="39"/>
  <c r="M17" i="39"/>
  <c r="H17" i="39"/>
  <c r="G17" i="39"/>
  <c r="D17" i="39"/>
  <c r="B17" i="39"/>
  <c r="A17" i="39"/>
  <c r="M16" i="39"/>
  <c r="H16" i="39"/>
  <c r="G16" i="39"/>
  <c r="D16" i="39"/>
  <c r="B16" i="39"/>
  <c r="A16" i="39"/>
  <c r="M15" i="39"/>
  <c r="H15" i="39"/>
  <c r="G15" i="39"/>
  <c r="D15" i="39"/>
  <c r="B15" i="39"/>
  <c r="A15" i="39"/>
  <c r="M14" i="39"/>
  <c r="H14" i="39"/>
  <c r="G14" i="39"/>
  <c r="D14" i="39"/>
  <c r="A14" i="39"/>
  <c r="M13" i="39"/>
  <c r="H13" i="39"/>
  <c r="G13" i="39"/>
  <c r="D13" i="39"/>
  <c r="A13" i="39"/>
  <c r="M12" i="39"/>
  <c r="J12" i="39"/>
  <c r="H12" i="39"/>
  <c r="G12" i="39"/>
  <c r="D12" i="39"/>
  <c r="B12" i="39"/>
  <c r="A12" i="39"/>
  <c r="M11" i="39"/>
  <c r="J11" i="39"/>
  <c r="H11" i="39"/>
  <c r="G11" i="39"/>
  <c r="D11" i="39"/>
  <c r="B11" i="39"/>
  <c r="A11" i="39"/>
  <c r="M10" i="39"/>
  <c r="J10" i="39"/>
  <c r="H10" i="39"/>
  <c r="G10" i="39"/>
  <c r="D10" i="39"/>
  <c r="B10" i="39"/>
  <c r="A10" i="39"/>
  <c r="M9" i="39"/>
  <c r="J9" i="39"/>
  <c r="H9" i="39"/>
  <c r="G9" i="39"/>
  <c r="D9" i="39"/>
  <c r="B9" i="39"/>
  <c r="A9" i="39"/>
  <c r="M8" i="39"/>
  <c r="M258" i="39" s="1"/>
  <c r="J8" i="39"/>
  <c r="J258" i="39" s="1"/>
  <c r="H8" i="39"/>
  <c r="G8" i="39"/>
  <c r="D8" i="39"/>
  <c r="B8" i="39"/>
  <c r="A8" i="39"/>
  <c r="B7" i="39"/>
  <c r="I255" i="39"/>
  <c r="C16" i="29" l="1"/>
  <c r="D15" i="29"/>
  <c r="D258" i="39"/>
  <c r="G258" i="39"/>
  <c r="I13" i="39"/>
  <c r="I14" i="39"/>
  <c r="I8" i="39"/>
  <c r="I258" i="39" s="1"/>
  <c r="I212" i="39"/>
  <c r="I11" i="39"/>
  <c r="I9" i="39"/>
  <c r="I15" i="39"/>
  <c r="I69" i="39"/>
  <c r="I29" i="39"/>
  <c r="I40" i="39"/>
  <c r="I53" i="39"/>
  <c r="I85" i="39"/>
  <c r="I137" i="39"/>
  <c r="I142" i="39"/>
  <c r="I156" i="39"/>
  <c r="I191" i="39"/>
  <c r="I202" i="39"/>
  <c r="I216" i="39"/>
  <c r="I231" i="39"/>
  <c r="I235" i="39"/>
  <c r="I238" i="39"/>
  <c r="I241" i="39"/>
  <c r="I242" i="39"/>
  <c r="I243" i="39"/>
  <c r="I244" i="39"/>
  <c r="I245" i="39"/>
  <c r="I246" i="39"/>
  <c r="I247" i="39"/>
  <c r="I248" i="39"/>
  <c r="I249" i="39"/>
  <c r="I250" i="39"/>
  <c r="I251" i="39"/>
  <c r="I252" i="39"/>
  <c r="I253" i="39"/>
  <c r="I254" i="39"/>
  <c r="I256" i="39"/>
  <c r="I257" i="39"/>
  <c r="I54" i="39"/>
  <c r="I21" i="39"/>
  <c r="I24" i="39"/>
  <c r="I30" i="39"/>
  <c r="I34" i="39"/>
  <c r="I39" i="39"/>
  <c r="I44" i="39"/>
  <c r="I50" i="39"/>
  <c r="I56" i="39"/>
  <c r="I60" i="39"/>
  <c r="I66" i="39"/>
  <c r="I72" i="39"/>
  <c r="I77" i="39"/>
  <c r="I82" i="39"/>
  <c r="I87" i="39"/>
  <c r="I92" i="39"/>
  <c r="I102" i="39"/>
  <c r="I106" i="39"/>
  <c r="I111" i="39"/>
  <c r="I116" i="39"/>
  <c r="I121" i="39"/>
  <c r="I127" i="39"/>
  <c r="I132" i="39"/>
  <c r="I147" i="39"/>
  <c r="I152" i="39"/>
  <c r="I157" i="39"/>
  <c r="I162" i="39"/>
  <c r="I167" i="39"/>
  <c r="I171" i="39"/>
  <c r="I175" i="39"/>
  <c r="I180" i="39"/>
  <c r="I183" i="39"/>
  <c r="I187" i="39"/>
  <c r="I192" i="39"/>
  <c r="I196" i="39"/>
  <c r="I199" i="39"/>
  <c r="I204" i="39"/>
  <c r="I208" i="39"/>
  <c r="I220" i="39"/>
  <c r="I224" i="39"/>
  <c r="I228" i="39"/>
  <c r="I233" i="39"/>
  <c r="I237" i="39"/>
  <c r="I17" i="39"/>
  <c r="I22" i="39"/>
  <c r="I26" i="39"/>
  <c r="I31" i="39"/>
  <c r="I37" i="39"/>
  <c r="I42" i="39"/>
  <c r="I47" i="39"/>
  <c r="I52" i="39"/>
  <c r="I58" i="39"/>
  <c r="I63" i="39"/>
  <c r="I68" i="39"/>
  <c r="I73" i="39"/>
  <c r="I80" i="39"/>
  <c r="I90" i="39"/>
  <c r="I95" i="39"/>
  <c r="I100" i="39"/>
  <c r="I109" i="39"/>
  <c r="I114" i="39"/>
  <c r="I119" i="39"/>
  <c r="I125" i="39"/>
  <c r="I129" i="39"/>
  <c r="I134" i="39"/>
  <c r="I139" i="39"/>
  <c r="I143" i="39"/>
  <c r="I148" i="39"/>
  <c r="I153" i="39"/>
  <c r="I158" i="39"/>
  <c r="I164" i="39"/>
  <c r="I169" i="39"/>
  <c r="I173" i="39"/>
  <c r="I178" i="39"/>
  <c r="I181" i="39"/>
  <c r="I185" i="39"/>
  <c r="I189" i="39"/>
  <c r="I193" i="39"/>
  <c r="I197" i="39"/>
  <c r="I201" i="39"/>
  <c r="I205" i="39"/>
  <c r="I209" i="39"/>
  <c r="I213" i="39"/>
  <c r="I217" i="39"/>
  <c r="I221" i="39"/>
  <c r="I225" i="39"/>
  <c r="I229" i="39"/>
  <c r="I239" i="39"/>
  <c r="I19" i="39"/>
  <c r="I23" i="39"/>
  <c r="I28" i="39"/>
  <c r="I33" i="39"/>
  <c r="I41" i="39"/>
  <c r="I57" i="39"/>
  <c r="I62" i="39"/>
  <c r="I65" i="39"/>
  <c r="I70" i="39"/>
  <c r="I75" i="39"/>
  <c r="I78" i="39"/>
  <c r="I83" i="39"/>
  <c r="I88" i="39"/>
  <c r="I93" i="39"/>
  <c r="I98" i="39"/>
  <c r="I103" i="39"/>
  <c r="I108" i="39"/>
  <c r="I113" i="39"/>
  <c r="I118" i="39"/>
  <c r="I124" i="39"/>
  <c r="I130" i="39"/>
  <c r="I135" i="39"/>
  <c r="I140" i="39"/>
  <c r="I145" i="39"/>
  <c r="I150" i="39"/>
  <c r="I155" i="39"/>
  <c r="I160" i="39"/>
  <c r="I165" i="39"/>
  <c r="I168" i="39"/>
  <c r="I172" i="39"/>
  <c r="I177" i="39"/>
  <c r="I182" i="39"/>
  <c r="I186" i="39"/>
  <c r="I190" i="39"/>
  <c r="I194" i="39"/>
  <c r="I198" i="39"/>
  <c r="I206" i="39"/>
  <c r="I210" i="39"/>
  <c r="I214" i="39"/>
  <c r="I218" i="39"/>
  <c r="I222" i="39"/>
  <c r="I226" i="39"/>
  <c r="I230" i="39"/>
  <c r="I234" i="39"/>
  <c r="I16" i="39"/>
  <c r="I25" i="39"/>
  <c r="I35" i="39"/>
  <c r="I45" i="39"/>
  <c r="I49" i="39"/>
  <c r="I55" i="39"/>
  <c r="I61" i="39"/>
  <c r="I67" i="39"/>
  <c r="I71" i="39"/>
  <c r="I76" i="39"/>
  <c r="I81" i="39"/>
  <c r="I86" i="39"/>
  <c r="I91" i="39"/>
  <c r="I96" i="39"/>
  <c r="I101" i="39"/>
  <c r="I107" i="39"/>
  <c r="I112" i="39"/>
  <c r="I117" i="39"/>
  <c r="I122" i="39"/>
  <c r="I126" i="39"/>
  <c r="I131" i="39"/>
  <c r="I136" i="39"/>
  <c r="I141" i="39"/>
  <c r="I146" i="39"/>
  <c r="I161" i="39"/>
  <c r="I174" i="39"/>
  <c r="I179" i="39"/>
  <c r="I184" i="39"/>
  <c r="I188" i="39"/>
  <c r="I195" i="39"/>
  <c r="I203" i="39"/>
  <c r="I207" i="39"/>
  <c r="I211" i="39"/>
  <c r="I215" i="39"/>
  <c r="I219" i="39"/>
  <c r="I223" i="39"/>
  <c r="I227" i="39"/>
  <c r="I232" i="39"/>
  <c r="I236" i="39"/>
  <c r="I240" i="39"/>
  <c r="I20" i="39"/>
  <c r="I27" i="39"/>
  <c r="I32" i="39"/>
  <c r="I38" i="39"/>
  <c r="I43" i="39"/>
  <c r="I59" i="39"/>
  <c r="I64" i="39"/>
  <c r="I74" i="39"/>
  <c r="I79" i="39"/>
  <c r="I84" i="39"/>
  <c r="I89" i="39"/>
  <c r="I94" i="39"/>
  <c r="I99" i="39"/>
  <c r="I105" i="39"/>
  <c r="I115" i="39"/>
  <c r="I120" i="39"/>
  <c r="I123" i="39"/>
  <c r="I128" i="39"/>
  <c r="I133" i="39"/>
  <c r="I138" i="39"/>
  <c r="I144" i="39"/>
  <c r="I149" i="39"/>
  <c r="I154" i="39"/>
  <c r="I159" i="39"/>
  <c r="I163" i="39"/>
  <c r="I170" i="39"/>
  <c r="I176" i="39"/>
  <c r="I18" i="39"/>
  <c r="I46" i="39"/>
  <c r="I10" i="39"/>
  <c r="I12" i="39"/>
  <c r="I48" i="39"/>
  <c r="I36" i="39"/>
  <c r="I51" i="39"/>
  <c r="I104" i="39"/>
  <c r="I97" i="39"/>
  <c r="I110" i="39"/>
  <c r="I151" i="39"/>
  <c r="I166" i="39"/>
  <c r="I200" i="39"/>
  <c r="C8" i="4"/>
  <c r="C17" i="29" l="1"/>
  <c r="D16" i="29"/>
  <c r="H30" i="38"/>
  <c r="H29" i="38"/>
  <c r="H28" i="38"/>
  <c r="H27" i="38"/>
  <c r="H26" i="38"/>
  <c r="H25" i="38"/>
  <c r="H24" i="38"/>
  <c r="H23" i="38"/>
  <c r="H22" i="38"/>
  <c r="H21" i="38"/>
  <c r="H20" i="38"/>
  <c r="H19" i="38"/>
  <c r="H18" i="38"/>
  <c r="H17" i="38"/>
  <c r="H16" i="38"/>
  <c r="H15" i="38"/>
  <c r="H14" i="38"/>
  <c r="H13" i="38"/>
  <c r="H12" i="38"/>
  <c r="H11" i="38"/>
  <c r="H10" i="38"/>
  <c r="H9" i="38"/>
  <c r="H8" i="38"/>
  <c r="H7" i="38"/>
  <c r="H6" i="38"/>
  <c r="H5" i="38"/>
  <c r="H4" i="38"/>
  <c r="H3" i="38"/>
  <c r="C18" i="29" l="1"/>
  <c r="D17" i="29"/>
  <c r="H2" i="38"/>
  <c r="K60" i="37"/>
  <c r="I60" i="37"/>
  <c r="G58" i="37"/>
  <c r="K57" i="37"/>
  <c r="I57" i="37"/>
  <c r="A57" i="37"/>
  <c r="A56" i="37"/>
  <c r="A55" i="37"/>
  <c r="A54" i="37"/>
  <c r="A53" i="37"/>
  <c r="A52" i="37"/>
  <c r="A51" i="37"/>
  <c r="K50" i="37"/>
  <c r="I50" i="37"/>
  <c r="A50" i="37"/>
  <c r="A49" i="37"/>
  <c r="A48" i="37"/>
  <c r="A47" i="37"/>
  <c r="A46" i="37"/>
  <c r="A45" i="37"/>
  <c r="A44" i="37"/>
  <c r="A43" i="37"/>
  <c r="E42" i="37"/>
  <c r="A42" i="37"/>
  <c r="A41" i="37"/>
  <c r="A40" i="37"/>
  <c r="A39" i="37"/>
  <c r="A38" i="37"/>
  <c r="A37" i="37"/>
  <c r="A36" i="37"/>
  <c r="A35" i="37"/>
  <c r="A34" i="37"/>
  <c r="A33" i="37"/>
  <c r="A32" i="37"/>
  <c r="A31" i="37"/>
  <c r="K30" i="37"/>
  <c r="I30" i="37"/>
  <c r="A30" i="37"/>
  <c r="A29" i="37"/>
  <c r="A28" i="37"/>
  <c r="A27" i="37"/>
  <c r="A26" i="37"/>
  <c r="A25" i="37"/>
  <c r="E24" i="37"/>
  <c r="A24" i="37"/>
  <c r="A23" i="37"/>
  <c r="A22" i="37"/>
  <c r="A21" i="37"/>
  <c r="A20" i="37"/>
  <c r="A19" i="37"/>
  <c r="A18" i="37"/>
  <c r="A17" i="37"/>
  <c r="A16" i="37"/>
  <c r="A15" i="37"/>
  <c r="A14" i="37"/>
  <c r="A13" i="37"/>
  <c r="E12" i="37"/>
  <c r="A12" i="37"/>
  <c r="A11" i="37"/>
  <c r="A10" i="37"/>
  <c r="A9" i="37"/>
  <c r="A8" i="37"/>
  <c r="K7" i="37"/>
  <c r="I7" i="37"/>
  <c r="G7" i="37"/>
  <c r="E7" i="37"/>
  <c r="A7" i="37"/>
  <c r="K6" i="37"/>
  <c r="I6" i="37"/>
  <c r="G6" i="37"/>
  <c r="E6" i="37"/>
  <c r="A6" i="37"/>
  <c r="A5" i="37"/>
  <c r="K4" i="37"/>
  <c r="I4" i="37"/>
  <c r="A4" i="37"/>
  <c r="A3" i="37"/>
  <c r="A2" i="37"/>
  <c r="C19" i="29" l="1"/>
  <c r="D18" i="29"/>
  <c r="E15" i="39"/>
  <c r="F15" i="39" s="1"/>
  <c r="E14" i="39"/>
  <c r="F14" i="39" s="1"/>
  <c r="E13" i="39"/>
  <c r="F13" i="39" s="1"/>
  <c r="F12" i="39"/>
  <c r="E11" i="39"/>
  <c r="F11" i="39" s="1"/>
  <c r="E10" i="39"/>
  <c r="F10" i="39" s="1"/>
  <c r="E9" i="39"/>
  <c r="F9" i="39" s="1"/>
  <c r="E207" i="39"/>
  <c r="F207" i="39" s="1"/>
  <c r="E183" i="39"/>
  <c r="F183" i="39" s="1"/>
  <c r="E180" i="39"/>
  <c r="F180" i="39" s="1"/>
  <c r="E178" i="39"/>
  <c r="F178" i="39" s="1"/>
  <c r="E176" i="39"/>
  <c r="F176" i="39" s="1"/>
  <c r="E174" i="39"/>
  <c r="F174" i="39" s="1"/>
  <c r="E172" i="39"/>
  <c r="F172" i="39" s="1"/>
  <c r="E169" i="39"/>
  <c r="F169" i="39" s="1"/>
  <c r="E167" i="39"/>
  <c r="F167" i="39" s="1"/>
  <c r="E165" i="39"/>
  <c r="F165" i="39" s="1"/>
  <c r="E163" i="39"/>
  <c r="F163" i="39" s="1"/>
  <c r="E161" i="39"/>
  <c r="F161" i="39" s="1"/>
  <c r="E159" i="39"/>
  <c r="F159" i="39" s="1"/>
  <c r="E257" i="39"/>
  <c r="F257" i="39" s="1"/>
  <c r="E256" i="39"/>
  <c r="F256" i="39" s="1"/>
  <c r="E255" i="39"/>
  <c r="F255" i="39" s="1"/>
  <c r="E254" i="39"/>
  <c r="F254" i="39" s="1"/>
  <c r="E253" i="39"/>
  <c r="F253" i="39" s="1"/>
  <c r="E252" i="39"/>
  <c r="F252" i="39" s="1"/>
  <c r="E251" i="39"/>
  <c r="F251" i="39" s="1"/>
  <c r="E250" i="39"/>
  <c r="F249" i="39"/>
  <c r="E248" i="39"/>
  <c r="F248" i="39" s="1"/>
  <c r="E247" i="39"/>
  <c r="F247" i="39" s="1"/>
  <c r="E246" i="39"/>
  <c r="F246" i="39" s="1"/>
  <c r="E245" i="39"/>
  <c r="F245" i="39" s="1"/>
  <c r="E244" i="39"/>
  <c r="F244" i="39" s="1"/>
  <c r="E243" i="39"/>
  <c r="F243" i="39" s="1"/>
  <c r="E242" i="39"/>
  <c r="F242" i="39" s="1"/>
  <c r="E241" i="39"/>
  <c r="F241" i="39" s="1"/>
  <c r="E240" i="39"/>
  <c r="F240" i="39" s="1"/>
  <c r="E239" i="39"/>
  <c r="F239" i="39" s="1"/>
  <c r="E238" i="39"/>
  <c r="F238" i="39" s="1"/>
  <c r="E237" i="39"/>
  <c r="F237" i="39" s="1"/>
  <c r="E236" i="39"/>
  <c r="F236" i="39" s="1"/>
  <c r="E235" i="39"/>
  <c r="F235" i="39" s="1"/>
  <c r="E234" i="39"/>
  <c r="F234" i="39" s="1"/>
  <c r="E233" i="39"/>
  <c r="F233" i="39" s="1"/>
  <c r="E232" i="39"/>
  <c r="F232" i="39" s="1"/>
  <c r="E231" i="39"/>
  <c r="F231" i="39" s="1"/>
  <c r="E230" i="39"/>
  <c r="F230" i="39" s="1"/>
  <c r="E229" i="39"/>
  <c r="F229" i="39" s="1"/>
  <c r="E228" i="39"/>
  <c r="F228" i="39" s="1"/>
  <c r="E227" i="39"/>
  <c r="F227" i="39" s="1"/>
  <c r="E226" i="39"/>
  <c r="F226" i="39" s="1"/>
  <c r="E225" i="39"/>
  <c r="F225" i="39" s="1"/>
  <c r="E224" i="39"/>
  <c r="F224" i="39" s="1"/>
  <c r="E223" i="39"/>
  <c r="F223" i="39" s="1"/>
  <c r="E222" i="39"/>
  <c r="F222" i="39" s="1"/>
  <c r="E221" i="39"/>
  <c r="F221" i="39" s="1"/>
  <c r="E220" i="39"/>
  <c r="F220" i="39" s="1"/>
  <c r="E219" i="39"/>
  <c r="F219" i="39" s="1"/>
  <c r="E218" i="39"/>
  <c r="F218" i="39" s="1"/>
  <c r="E217" i="39"/>
  <c r="F217" i="39" s="1"/>
  <c r="E216" i="39"/>
  <c r="F216" i="39" s="1"/>
  <c r="E215" i="39"/>
  <c r="F215" i="39" s="1"/>
  <c r="E214" i="39"/>
  <c r="F214" i="39" s="1"/>
  <c r="E213" i="39"/>
  <c r="F213" i="39" s="1"/>
  <c r="E212" i="39"/>
  <c r="F212" i="39" s="1"/>
  <c r="E211" i="39"/>
  <c r="F211" i="39" s="1"/>
  <c r="E210" i="39"/>
  <c r="F210" i="39" s="1"/>
  <c r="E209" i="39"/>
  <c r="F209" i="39" s="1"/>
  <c r="E208" i="39"/>
  <c r="F208" i="39" s="1"/>
  <c r="E206" i="39"/>
  <c r="F206" i="39" s="1"/>
  <c r="E205" i="39"/>
  <c r="F205" i="39" s="1"/>
  <c r="E204" i="39"/>
  <c r="F204" i="39" s="1"/>
  <c r="E203" i="39"/>
  <c r="F203" i="39" s="1"/>
  <c r="E202" i="39"/>
  <c r="F202" i="39" s="1"/>
  <c r="E201" i="39"/>
  <c r="F201" i="39" s="1"/>
  <c r="E200" i="39"/>
  <c r="F200" i="39" s="1"/>
  <c r="E199" i="39"/>
  <c r="F199" i="39" s="1"/>
  <c r="E198" i="39"/>
  <c r="F198" i="39" s="1"/>
  <c r="E197" i="39"/>
  <c r="F197" i="39" s="1"/>
  <c r="E196" i="39"/>
  <c r="F196" i="39" s="1"/>
  <c r="E195" i="39"/>
  <c r="F195" i="39" s="1"/>
  <c r="E194" i="39"/>
  <c r="F194" i="39" s="1"/>
  <c r="E193" i="39"/>
  <c r="F193" i="39" s="1"/>
  <c r="E192" i="39"/>
  <c r="F192" i="39" s="1"/>
  <c r="E191" i="39"/>
  <c r="F191" i="39" s="1"/>
  <c r="E190" i="39"/>
  <c r="F190" i="39" s="1"/>
  <c r="E189" i="39"/>
  <c r="F189" i="39" s="1"/>
  <c r="E188" i="39"/>
  <c r="F188" i="39" s="1"/>
  <c r="E187" i="39"/>
  <c r="F187" i="39" s="1"/>
  <c r="E186" i="39"/>
  <c r="F186" i="39" s="1"/>
  <c r="E185" i="39"/>
  <c r="F185" i="39" s="1"/>
  <c r="E184" i="39"/>
  <c r="F184" i="39" s="1"/>
  <c r="E182" i="39"/>
  <c r="F182" i="39" s="1"/>
  <c r="E181" i="39"/>
  <c r="F181" i="39" s="1"/>
  <c r="E179" i="39"/>
  <c r="F179" i="39" s="1"/>
  <c r="E177" i="39"/>
  <c r="F177" i="39" s="1"/>
  <c r="E175" i="39"/>
  <c r="F175" i="39" s="1"/>
  <c r="E173" i="39"/>
  <c r="F173" i="39" s="1"/>
  <c r="E171" i="39"/>
  <c r="F171" i="39" s="1"/>
  <c r="E170" i="39"/>
  <c r="F170" i="39" s="1"/>
  <c r="E168" i="39"/>
  <c r="F168" i="39" s="1"/>
  <c r="E166" i="39"/>
  <c r="F166" i="39" s="1"/>
  <c r="E164" i="39"/>
  <c r="F164" i="39" s="1"/>
  <c r="E162" i="39"/>
  <c r="F162" i="39" s="1"/>
  <c r="E154" i="39"/>
  <c r="F154" i="39" s="1"/>
  <c r="E146" i="39"/>
  <c r="F146" i="39" s="1"/>
  <c r="E144" i="39"/>
  <c r="F144" i="39" s="1"/>
  <c r="E141" i="39"/>
  <c r="F141" i="39" s="1"/>
  <c r="E140" i="39"/>
  <c r="F140" i="39" s="1"/>
  <c r="E138" i="39"/>
  <c r="F138" i="39" s="1"/>
  <c r="E136" i="39"/>
  <c r="F136" i="39" s="1"/>
  <c r="E134" i="39"/>
  <c r="F134" i="39" s="1"/>
  <c r="E132" i="39"/>
  <c r="F132" i="39" s="1"/>
  <c r="E130" i="39"/>
  <c r="F130" i="39" s="1"/>
  <c r="E128" i="39"/>
  <c r="F128" i="39" s="1"/>
  <c r="E126" i="39"/>
  <c r="F126" i="39" s="1"/>
  <c r="E124" i="39"/>
  <c r="F124" i="39" s="1"/>
  <c r="E122" i="39"/>
  <c r="F122" i="39" s="1"/>
  <c r="E120" i="39"/>
  <c r="F120" i="39" s="1"/>
  <c r="E118" i="39"/>
  <c r="F118" i="39" s="1"/>
  <c r="E115" i="39"/>
  <c r="F115" i="39" s="1"/>
  <c r="E114" i="39"/>
  <c r="F114" i="39" s="1"/>
  <c r="E112" i="39"/>
  <c r="F112" i="39" s="1"/>
  <c r="E110" i="39"/>
  <c r="F110" i="39" s="1"/>
  <c r="E108" i="39"/>
  <c r="F108" i="39" s="1"/>
  <c r="E105" i="39"/>
  <c r="F105" i="39" s="1"/>
  <c r="E103" i="39"/>
  <c r="F103" i="39" s="1"/>
  <c r="E101" i="39"/>
  <c r="F101" i="39" s="1"/>
  <c r="E99" i="39"/>
  <c r="F99" i="39" s="1"/>
  <c r="E98" i="39"/>
  <c r="F98" i="39" s="1"/>
  <c r="E96" i="39"/>
  <c r="F96" i="39" s="1"/>
  <c r="E93" i="39"/>
  <c r="F93" i="39" s="1"/>
  <c r="E91" i="39"/>
  <c r="F91" i="39" s="1"/>
  <c r="E89" i="39"/>
  <c r="F89" i="39" s="1"/>
  <c r="E88" i="39"/>
  <c r="F88" i="39" s="1"/>
  <c r="E86" i="39"/>
  <c r="F86" i="39" s="1"/>
  <c r="E84" i="39"/>
  <c r="F84" i="39" s="1"/>
  <c r="E82" i="39"/>
  <c r="F82" i="39" s="1"/>
  <c r="E79" i="39"/>
  <c r="F79" i="39" s="1"/>
  <c r="E77" i="39"/>
  <c r="F77" i="39" s="1"/>
  <c r="E76" i="39"/>
  <c r="F76" i="39" s="1"/>
  <c r="E74" i="39"/>
  <c r="F74" i="39" s="1"/>
  <c r="E72" i="39"/>
  <c r="F72" i="39" s="1"/>
  <c r="E70" i="39"/>
  <c r="F70" i="39" s="1"/>
  <c r="E68" i="39"/>
  <c r="F68" i="39" s="1"/>
  <c r="E66" i="39"/>
  <c r="F66" i="39" s="1"/>
  <c r="E64" i="39"/>
  <c r="F64" i="39" s="1"/>
  <c r="E62" i="39"/>
  <c r="F62" i="39" s="1"/>
  <c r="E60" i="39"/>
  <c r="F60" i="39" s="1"/>
  <c r="E58" i="39"/>
  <c r="F58" i="39" s="1"/>
  <c r="E57" i="39"/>
  <c r="F57" i="39" s="1"/>
  <c r="E55" i="39"/>
  <c r="F55" i="39" s="1"/>
  <c r="E53" i="39"/>
  <c r="F53" i="39" s="1"/>
  <c r="E51" i="39"/>
  <c r="F51" i="39" s="1"/>
  <c r="E49" i="39"/>
  <c r="F49" i="39" s="1"/>
  <c r="E47" i="39"/>
  <c r="F47" i="39" s="1"/>
  <c r="E45" i="39"/>
  <c r="F45" i="39" s="1"/>
  <c r="E43" i="39"/>
  <c r="F43" i="39" s="1"/>
  <c r="E41" i="39"/>
  <c r="F41" i="39" s="1"/>
  <c r="E39" i="39"/>
  <c r="F39" i="39" s="1"/>
  <c r="E37" i="39"/>
  <c r="F37" i="39" s="1"/>
  <c r="E35" i="39"/>
  <c r="F35" i="39" s="1"/>
  <c r="E34" i="39"/>
  <c r="F34" i="39" s="1"/>
  <c r="E32" i="39"/>
  <c r="F32" i="39" s="1"/>
  <c r="E30" i="39"/>
  <c r="F30" i="39" s="1"/>
  <c r="E28" i="39"/>
  <c r="F28" i="39" s="1"/>
  <c r="E26" i="39"/>
  <c r="F26" i="39" s="1"/>
  <c r="E24" i="39"/>
  <c r="F24" i="39" s="1"/>
  <c r="E22" i="39"/>
  <c r="F22" i="39" s="1"/>
  <c r="E19" i="39"/>
  <c r="F19" i="39" s="1"/>
  <c r="E18" i="39"/>
  <c r="F18" i="39" s="1"/>
  <c r="E158" i="39"/>
  <c r="F158" i="39" s="1"/>
  <c r="E157" i="39"/>
  <c r="F157" i="39" s="1"/>
  <c r="E156" i="39"/>
  <c r="F156" i="39" s="1"/>
  <c r="E155" i="39"/>
  <c r="F155" i="39" s="1"/>
  <c r="E153" i="39"/>
  <c r="F153" i="39" s="1"/>
  <c r="E152" i="39"/>
  <c r="F152" i="39" s="1"/>
  <c r="E151" i="39"/>
  <c r="F151" i="39" s="1"/>
  <c r="E150" i="39"/>
  <c r="F150" i="39" s="1"/>
  <c r="E149" i="39"/>
  <c r="F149" i="39" s="1"/>
  <c r="E148" i="39"/>
  <c r="F148" i="39" s="1"/>
  <c r="E147" i="39"/>
  <c r="F147" i="39" s="1"/>
  <c r="E145" i="39"/>
  <c r="F145" i="39" s="1"/>
  <c r="E143" i="39"/>
  <c r="F143" i="39" s="1"/>
  <c r="E142" i="39"/>
  <c r="F142" i="39" s="1"/>
  <c r="E139" i="39"/>
  <c r="F139" i="39" s="1"/>
  <c r="E137" i="39"/>
  <c r="F137" i="39" s="1"/>
  <c r="E135" i="39"/>
  <c r="F135" i="39" s="1"/>
  <c r="E133" i="39"/>
  <c r="F133" i="39" s="1"/>
  <c r="E131" i="39"/>
  <c r="F131" i="39" s="1"/>
  <c r="E129" i="39"/>
  <c r="F129" i="39" s="1"/>
  <c r="E127" i="39"/>
  <c r="F127" i="39" s="1"/>
  <c r="E125" i="39"/>
  <c r="F125" i="39" s="1"/>
  <c r="E123" i="39"/>
  <c r="F123" i="39" s="1"/>
  <c r="E121" i="39"/>
  <c r="F121" i="39" s="1"/>
  <c r="E119" i="39"/>
  <c r="F119" i="39" s="1"/>
  <c r="E117" i="39"/>
  <c r="F117" i="39" s="1"/>
  <c r="E116" i="39"/>
  <c r="F116" i="39" s="1"/>
  <c r="E113" i="39"/>
  <c r="F113" i="39" s="1"/>
  <c r="E111" i="39"/>
  <c r="F111" i="39" s="1"/>
  <c r="E109" i="39"/>
  <c r="F109" i="39" s="1"/>
  <c r="E107" i="39"/>
  <c r="F107" i="39" s="1"/>
  <c r="E106" i="39"/>
  <c r="F106" i="39" s="1"/>
  <c r="E104" i="39"/>
  <c r="F104" i="39" s="1"/>
  <c r="E102" i="39"/>
  <c r="F102" i="39" s="1"/>
  <c r="E100" i="39"/>
  <c r="F100" i="39" s="1"/>
  <c r="E97" i="39"/>
  <c r="F97" i="39" s="1"/>
  <c r="E95" i="39"/>
  <c r="F95" i="39" s="1"/>
  <c r="E94" i="39"/>
  <c r="F94" i="39" s="1"/>
  <c r="E92" i="39"/>
  <c r="F92" i="39" s="1"/>
  <c r="E90" i="39"/>
  <c r="F90" i="39" s="1"/>
  <c r="E87" i="39"/>
  <c r="F87" i="39" s="1"/>
  <c r="E85" i="39"/>
  <c r="F85" i="39" s="1"/>
  <c r="E83" i="39"/>
  <c r="F83" i="39" s="1"/>
  <c r="E81" i="39"/>
  <c r="F81" i="39" s="1"/>
  <c r="E80" i="39"/>
  <c r="F80" i="39" s="1"/>
  <c r="E78" i="39"/>
  <c r="F78" i="39" s="1"/>
  <c r="E75" i="39"/>
  <c r="F75" i="39" s="1"/>
  <c r="E73" i="39"/>
  <c r="F73" i="39" s="1"/>
  <c r="E71" i="39"/>
  <c r="F71" i="39" s="1"/>
  <c r="E69" i="39"/>
  <c r="F69" i="39" s="1"/>
  <c r="E67" i="39"/>
  <c r="F67" i="39" s="1"/>
  <c r="E65" i="39"/>
  <c r="F65" i="39" s="1"/>
  <c r="E63" i="39"/>
  <c r="F63" i="39" s="1"/>
  <c r="E61" i="39"/>
  <c r="F61" i="39" s="1"/>
  <c r="E59" i="39"/>
  <c r="F59" i="39" s="1"/>
  <c r="E56" i="39"/>
  <c r="F56" i="39" s="1"/>
  <c r="E54" i="39"/>
  <c r="F54" i="39" s="1"/>
  <c r="E52" i="39"/>
  <c r="F52" i="39" s="1"/>
  <c r="E50" i="39"/>
  <c r="F50" i="39" s="1"/>
  <c r="E48" i="39"/>
  <c r="F48" i="39" s="1"/>
  <c r="E46" i="39"/>
  <c r="F46" i="39" s="1"/>
  <c r="E44" i="39"/>
  <c r="F44" i="39" s="1"/>
  <c r="E42" i="39"/>
  <c r="F42" i="39" s="1"/>
  <c r="E40" i="39"/>
  <c r="F40" i="39" s="1"/>
  <c r="E38" i="39"/>
  <c r="F38" i="39" s="1"/>
  <c r="E36" i="39"/>
  <c r="F36" i="39" s="1"/>
  <c r="E33" i="39"/>
  <c r="F33" i="39" s="1"/>
  <c r="E31" i="39"/>
  <c r="F31" i="39" s="1"/>
  <c r="E29" i="39"/>
  <c r="F29" i="39" s="1"/>
  <c r="E27" i="39"/>
  <c r="F27" i="39" s="1"/>
  <c r="E25" i="39"/>
  <c r="F25" i="39" s="1"/>
  <c r="E23" i="39"/>
  <c r="F23" i="39" s="1"/>
  <c r="E21" i="39"/>
  <c r="F21" i="39" s="1"/>
  <c r="E20" i="39"/>
  <c r="F20" i="39" s="1"/>
  <c r="E17" i="39"/>
  <c r="F17" i="39" s="1"/>
  <c r="E16" i="39"/>
  <c r="F16" i="39" s="1"/>
  <c r="E160" i="39"/>
  <c r="F160" i="39" s="1"/>
  <c r="D4" i="30"/>
  <c r="C20" i="29" l="1"/>
  <c r="D19" i="29"/>
  <c r="F8" i="19"/>
  <c r="A265" i="4"/>
  <c r="B10" i="30"/>
  <c r="B9" i="30"/>
  <c r="C21" i="29" l="1"/>
  <c r="D20" i="29"/>
  <c r="F14" i="19"/>
  <c r="F15" i="19"/>
  <c r="F11" i="19"/>
  <c r="F13" i="19"/>
  <c r="F9" i="19"/>
  <c r="F10" i="19"/>
  <c r="F12" i="19"/>
  <c r="A28" i="35"/>
  <c r="A27" i="35"/>
  <c r="A26" i="35"/>
  <c r="B23" i="35"/>
  <c r="AB21" i="35"/>
  <c r="AB23" i="35" s="1"/>
  <c r="AA21" i="35"/>
  <c r="AA23" i="35" s="1"/>
  <c r="Z21" i="35"/>
  <c r="Z23" i="35" s="1"/>
  <c r="Y21" i="35"/>
  <c r="Y23" i="35" s="1"/>
  <c r="X21" i="35"/>
  <c r="X23" i="35" s="1"/>
  <c r="W21" i="35"/>
  <c r="W23" i="35" s="1"/>
  <c r="V21" i="35"/>
  <c r="V23" i="35" s="1"/>
  <c r="U21" i="35"/>
  <c r="U23" i="35" s="1"/>
  <c r="T21" i="35"/>
  <c r="T23" i="35" s="1"/>
  <c r="S21" i="35"/>
  <c r="S23" i="35" s="1"/>
  <c r="R21" i="35"/>
  <c r="R23" i="35" s="1"/>
  <c r="Q21" i="35"/>
  <c r="Q23" i="35" s="1"/>
  <c r="P21" i="35"/>
  <c r="P23" i="35" s="1"/>
  <c r="O21" i="35"/>
  <c r="O23" i="35" s="1"/>
  <c r="N21" i="35"/>
  <c r="N23" i="35" s="1"/>
  <c r="M21" i="35"/>
  <c r="M23" i="35" s="1"/>
  <c r="L21" i="35"/>
  <c r="L23" i="35" s="1"/>
  <c r="K21" i="35"/>
  <c r="K23" i="35" s="1"/>
  <c r="J21" i="35"/>
  <c r="J23" i="35" s="1"/>
  <c r="I21" i="35"/>
  <c r="I23" i="35" s="1"/>
  <c r="H21" i="35"/>
  <c r="H23" i="35" s="1"/>
  <c r="G21" i="35"/>
  <c r="G23" i="35" s="1"/>
  <c r="F21" i="35"/>
  <c r="F23" i="35" s="1"/>
  <c r="E23" i="35"/>
  <c r="D21" i="35"/>
  <c r="B20" i="35"/>
  <c r="B19" i="35"/>
  <c r="B18" i="35"/>
  <c r="B15" i="35"/>
  <c r="AB9" i="35"/>
  <c r="AA9" i="35"/>
  <c r="Z9" i="35"/>
  <c r="Y9" i="35"/>
  <c r="X9" i="35"/>
  <c r="W9" i="35"/>
  <c r="V9" i="35"/>
  <c r="U9" i="35"/>
  <c r="T9" i="35"/>
  <c r="S9" i="35"/>
  <c r="R9" i="35"/>
  <c r="Q9" i="35"/>
  <c r="P9" i="35"/>
  <c r="O9" i="35"/>
  <c r="N9" i="35"/>
  <c r="M9" i="35"/>
  <c r="L9" i="35"/>
  <c r="K9" i="35"/>
  <c r="J9" i="35"/>
  <c r="I9" i="35"/>
  <c r="H9" i="35"/>
  <c r="G9" i="35"/>
  <c r="F9" i="35"/>
  <c r="E9" i="35"/>
  <c r="D9" i="35"/>
  <c r="B9" i="35"/>
  <c r="B8" i="35"/>
  <c r="B6" i="35"/>
  <c r="AR9" i="35"/>
  <c r="B5" i="35"/>
  <c r="A5" i="35"/>
  <c r="Z11" i="4"/>
  <c r="Z13" i="4"/>
  <c r="Z14" i="4"/>
  <c r="Z15" i="4"/>
  <c r="Z16" i="4"/>
  <c r="Z17" i="4"/>
  <c r="Z18" i="4"/>
  <c r="AA11" i="4"/>
  <c r="AH11" i="4" s="1"/>
  <c r="AA14" i="4"/>
  <c r="AH14" i="4" s="1"/>
  <c r="AA12" i="4"/>
  <c r="AH12" i="4" s="1"/>
  <c r="C22" i="29" l="1"/>
  <c r="D21" i="29"/>
  <c r="AR21" i="35"/>
  <c r="AR23" i="35"/>
  <c r="C4" i="2"/>
  <c r="C23" i="29" l="1"/>
  <c r="D22" i="29"/>
  <c r="D5" i="4"/>
  <c r="C24" i="29" l="1"/>
  <c r="D23" i="29"/>
  <c r="A41" i="5"/>
  <c r="A40" i="5"/>
  <c r="A269" i="4"/>
  <c r="A268" i="4"/>
  <c r="A30" i="19"/>
  <c r="A29" i="19"/>
  <c r="A272" i="2"/>
  <c r="A271" i="2"/>
  <c r="A46" i="29"/>
  <c r="A45" i="29"/>
  <c r="A64" i="28"/>
  <c r="A63" i="28"/>
  <c r="A62" i="31"/>
  <c r="A61" i="31"/>
  <c r="A53" i="11"/>
  <c r="A52" i="11"/>
  <c r="C25" i="29" l="1"/>
  <c r="D24" i="29"/>
  <c r="A64" i="21"/>
  <c r="A63" i="21"/>
  <c r="G29" i="30"/>
  <c r="C26" i="29" l="1"/>
  <c r="D25" i="29"/>
  <c r="A50" i="30"/>
  <c r="A49" i="30"/>
  <c r="A48" i="30"/>
  <c r="A47" i="30"/>
  <c r="A46" i="30"/>
  <c r="A45" i="30"/>
  <c r="F39" i="30"/>
  <c r="F38" i="30"/>
  <c r="B38" i="30"/>
  <c r="B36" i="30"/>
  <c r="B35" i="30"/>
  <c r="B34" i="30"/>
  <c r="B33" i="30"/>
  <c r="F32" i="30"/>
  <c r="F31" i="30"/>
  <c r="B31" i="30"/>
  <c r="B30" i="30"/>
  <c r="F29" i="30"/>
  <c r="B29" i="30"/>
  <c r="F28" i="30"/>
  <c r="B28" i="30"/>
  <c r="F27" i="30"/>
  <c r="B27" i="30"/>
  <c r="F26" i="30"/>
  <c r="B26" i="30"/>
  <c r="F25" i="30"/>
  <c r="B25" i="30"/>
  <c r="A25" i="30"/>
  <c r="A1" i="30"/>
  <c r="C27" i="29" l="1"/>
  <c r="D26" i="29"/>
  <c r="X5" i="4"/>
  <c r="M5" i="39" s="1"/>
  <c r="N258" i="39" s="1"/>
  <c r="V5" i="4"/>
  <c r="J5" i="39" s="1"/>
  <c r="C28" i="29" l="1"/>
  <c r="D27" i="29"/>
  <c r="K258" i="39"/>
  <c r="K8" i="39"/>
  <c r="O5" i="39"/>
  <c r="N9" i="39"/>
  <c r="O9" i="39" s="1"/>
  <c r="N252" i="39"/>
  <c r="O252" i="39" s="1"/>
  <c r="N63" i="39"/>
  <c r="O63" i="39" s="1"/>
  <c r="N127" i="39"/>
  <c r="O127" i="39" s="1"/>
  <c r="N191" i="39"/>
  <c r="O191" i="39" s="1"/>
  <c r="N255" i="39"/>
  <c r="O255" i="39" s="1"/>
  <c r="N74" i="39"/>
  <c r="O74" i="39" s="1"/>
  <c r="N138" i="39"/>
  <c r="O138" i="39" s="1"/>
  <c r="N202" i="39"/>
  <c r="O202" i="39" s="1"/>
  <c r="N21" i="39"/>
  <c r="O21" i="39" s="1"/>
  <c r="N85" i="39"/>
  <c r="O85" i="39" s="1"/>
  <c r="N149" i="39"/>
  <c r="O149" i="39" s="1"/>
  <c r="N213" i="39"/>
  <c r="O213" i="39" s="1"/>
  <c r="N24" i="39"/>
  <c r="O24" i="39" s="1"/>
  <c r="N88" i="39"/>
  <c r="O88" i="39" s="1"/>
  <c r="N152" i="39"/>
  <c r="O152" i="39" s="1"/>
  <c r="N216" i="39"/>
  <c r="O216" i="39" s="1"/>
  <c r="N27" i="39"/>
  <c r="O27" i="39" s="1"/>
  <c r="N91" i="39"/>
  <c r="O91" i="39" s="1"/>
  <c r="N155" i="39"/>
  <c r="O155" i="39" s="1"/>
  <c r="N219" i="39"/>
  <c r="O219" i="39" s="1"/>
  <c r="N38" i="39"/>
  <c r="O38" i="39" s="1"/>
  <c r="N102" i="39"/>
  <c r="O102" i="39" s="1"/>
  <c r="N166" i="39"/>
  <c r="O166" i="39" s="1"/>
  <c r="N230" i="39"/>
  <c r="O230" i="39" s="1"/>
  <c r="N41" i="39"/>
  <c r="O41" i="39" s="1"/>
  <c r="N105" i="39"/>
  <c r="O105" i="39" s="1"/>
  <c r="N169" i="39"/>
  <c r="O169" i="39" s="1"/>
  <c r="N233" i="39"/>
  <c r="O233" i="39" s="1"/>
  <c r="N52" i="39"/>
  <c r="O52" i="39" s="1"/>
  <c r="N116" i="39"/>
  <c r="O116" i="39" s="1"/>
  <c r="N180" i="39"/>
  <c r="O180" i="39" s="1"/>
  <c r="N244" i="39"/>
  <c r="O244" i="39" s="1"/>
  <c r="N12" i="39"/>
  <c r="O12" i="39" s="1"/>
  <c r="N71" i="39"/>
  <c r="O71" i="39" s="1"/>
  <c r="N135" i="39"/>
  <c r="O135" i="39" s="1"/>
  <c r="N199" i="39"/>
  <c r="O199" i="39" s="1"/>
  <c r="N18" i="39"/>
  <c r="O18" i="39" s="1"/>
  <c r="N82" i="39"/>
  <c r="O82" i="39" s="1"/>
  <c r="N146" i="39"/>
  <c r="O146" i="39" s="1"/>
  <c r="N210" i="39"/>
  <c r="O210" i="39" s="1"/>
  <c r="N29" i="39"/>
  <c r="O29" i="39" s="1"/>
  <c r="N93" i="39"/>
  <c r="O93" i="39" s="1"/>
  <c r="N157" i="39"/>
  <c r="O157" i="39" s="1"/>
  <c r="N221" i="39"/>
  <c r="O221" i="39" s="1"/>
  <c r="N32" i="39"/>
  <c r="O32" i="39" s="1"/>
  <c r="N96" i="39"/>
  <c r="O96" i="39" s="1"/>
  <c r="N160" i="39"/>
  <c r="O160" i="39" s="1"/>
  <c r="N224" i="39"/>
  <c r="O224" i="39" s="1"/>
  <c r="N35" i="39"/>
  <c r="O35" i="39" s="1"/>
  <c r="N99" i="39"/>
  <c r="O99" i="39" s="1"/>
  <c r="N163" i="39"/>
  <c r="O163" i="39" s="1"/>
  <c r="N227" i="39"/>
  <c r="O227" i="39" s="1"/>
  <c r="N46" i="39"/>
  <c r="O46" i="39" s="1"/>
  <c r="N110" i="39"/>
  <c r="O110" i="39" s="1"/>
  <c r="N174" i="39"/>
  <c r="O174" i="39" s="1"/>
  <c r="N238" i="39"/>
  <c r="O238" i="39" s="1"/>
  <c r="N49" i="39"/>
  <c r="O49" i="39" s="1"/>
  <c r="N113" i="39"/>
  <c r="O113" i="39" s="1"/>
  <c r="N177" i="39"/>
  <c r="O177" i="39" s="1"/>
  <c r="N241" i="39"/>
  <c r="O241" i="39" s="1"/>
  <c r="N60" i="39"/>
  <c r="O60" i="39" s="1"/>
  <c r="N124" i="39"/>
  <c r="O124" i="39" s="1"/>
  <c r="N188" i="39"/>
  <c r="O188" i="39" s="1"/>
  <c r="N15" i="39"/>
  <c r="O15" i="39" s="1"/>
  <c r="N79" i="39"/>
  <c r="O79" i="39" s="1"/>
  <c r="N143" i="39"/>
  <c r="O143" i="39" s="1"/>
  <c r="N207" i="39"/>
  <c r="O207" i="39" s="1"/>
  <c r="N26" i="39"/>
  <c r="O26" i="39" s="1"/>
  <c r="N90" i="39"/>
  <c r="O90" i="39" s="1"/>
  <c r="N154" i="39"/>
  <c r="O154" i="39" s="1"/>
  <c r="N218" i="39"/>
  <c r="O218" i="39" s="1"/>
  <c r="N37" i="39"/>
  <c r="O37" i="39" s="1"/>
  <c r="N101" i="39"/>
  <c r="O101" i="39" s="1"/>
  <c r="N165" i="39"/>
  <c r="O165" i="39" s="1"/>
  <c r="N229" i="39"/>
  <c r="O229" i="39" s="1"/>
  <c r="N40" i="39"/>
  <c r="O40" i="39" s="1"/>
  <c r="N104" i="39"/>
  <c r="O104" i="39" s="1"/>
  <c r="N168" i="39"/>
  <c r="O168" i="39" s="1"/>
  <c r="N232" i="39"/>
  <c r="O232" i="39" s="1"/>
  <c r="N43" i="39"/>
  <c r="O43" i="39" s="1"/>
  <c r="N107" i="39"/>
  <c r="O107" i="39" s="1"/>
  <c r="N171" i="39"/>
  <c r="O171" i="39" s="1"/>
  <c r="N235" i="39"/>
  <c r="O235" i="39" s="1"/>
  <c r="N54" i="39"/>
  <c r="O54" i="39" s="1"/>
  <c r="N118" i="39"/>
  <c r="O118" i="39" s="1"/>
  <c r="N182" i="39"/>
  <c r="O182" i="39" s="1"/>
  <c r="N246" i="39"/>
  <c r="O246" i="39" s="1"/>
  <c r="N57" i="39"/>
  <c r="O57" i="39" s="1"/>
  <c r="N121" i="39"/>
  <c r="O121" i="39" s="1"/>
  <c r="N185" i="39"/>
  <c r="O185" i="39" s="1"/>
  <c r="N249" i="39"/>
  <c r="O249" i="39" s="1"/>
  <c r="N68" i="39"/>
  <c r="O68" i="39" s="1"/>
  <c r="N132" i="39"/>
  <c r="O132" i="39" s="1"/>
  <c r="N196" i="39"/>
  <c r="O196" i="39" s="1"/>
  <c r="N23" i="39"/>
  <c r="O23" i="39" s="1"/>
  <c r="N87" i="39"/>
  <c r="O87" i="39" s="1"/>
  <c r="N151" i="39"/>
  <c r="O151" i="39" s="1"/>
  <c r="N215" i="39"/>
  <c r="O215" i="39" s="1"/>
  <c r="N34" i="39"/>
  <c r="O34" i="39" s="1"/>
  <c r="N98" i="39"/>
  <c r="O98" i="39" s="1"/>
  <c r="N162" i="39"/>
  <c r="O162" i="39" s="1"/>
  <c r="N226" i="39"/>
  <c r="O226" i="39" s="1"/>
  <c r="N45" i="39"/>
  <c r="O45" i="39" s="1"/>
  <c r="N109" i="39"/>
  <c r="O109" i="39" s="1"/>
  <c r="N173" i="39"/>
  <c r="O173" i="39" s="1"/>
  <c r="N237" i="39"/>
  <c r="O237" i="39" s="1"/>
  <c r="N48" i="39"/>
  <c r="O48" i="39" s="1"/>
  <c r="N112" i="39"/>
  <c r="O112" i="39" s="1"/>
  <c r="N176" i="39"/>
  <c r="O176" i="39" s="1"/>
  <c r="N240" i="39"/>
  <c r="O240" i="39" s="1"/>
  <c r="N51" i="39"/>
  <c r="O51" i="39" s="1"/>
  <c r="N115" i="39"/>
  <c r="O115" i="39" s="1"/>
  <c r="N179" i="39"/>
  <c r="O179" i="39" s="1"/>
  <c r="N243" i="39"/>
  <c r="O243" i="39" s="1"/>
  <c r="N62" i="39"/>
  <c r="O62" i="39" s="1"/>
  <c r="N126" i="39"/>
  <c r="O126" i="39" s="1"/>
  <c r="N190" i="39"/>
  <c r="O190" i="39" s="1"/>
  <c r="N254" i="39"/>
  <c r="O254" i="39" s="1"/>
  <c r="N65" i="39"/>
  <c r="O65" i="39" s="1"/>
  <c r="N129" i="39"/>
  <c r="O129" i="39" s="1"/>
  <c r="N193" i="39"/>
  <c r="O193" i="39" s="1"/>
  <c r="N257" i="39"/>
  <c r="O257" i="39" s="1"/>
  <c r="N76" i="39"/>
  <c r="O76" i="39" s="1"/>
  <c r="N140" i="39"/>
  <c r="O140" i="39" s="1"/>
  <c r="N204" i="39"/>
  <c r="O204" i="39" s="1"/>
  <c r="N31" i="39"/>
  <c r="O31" i="39" s="1"/>
  <c r="N95" i="39"/>
  <c r="O95" i="39" s="1"/>
  <c r="N159" i="39"/>
  <c r="O159" i="39" s="1"/>
  <c r="N223" i="39"/>
  <c r="O223" i="39" s="1"/>
  <c r="N42" i="39"/>
  <c r="O42" i="39" s="1"/>
  <c r="N106" i="39"/>
  <c r="O106" i="39" s="1"/>
  <c r="N170" i="39"/>
  <c r="O170" i="39" s="1"/>
  <c r="N234" i="39"/>
  <c r="O234" i="39" s="1"/>
  <c r="N53" i="39"/>
  <c r="O53" i="39" s="1"/>
  <c r="N117" i="39"/>
  <c r="O117" i="39" s="1"/>
  <c r="N181" i="39"/>
  <c r="O181" i="39" s="1"/>
  <c r="N245" i="39"/>
  <c r="O245" i="39" s="1"/>
  <c r="N56" i="39"/>
  <c r="O56" i="39" s="1"/>
  <c r="N120" i="39"/>
  <c r="O120" i="39" s="1"/>
  <c r="N184" i="39"/>
  <c r="O184" i="39" s="1"/>
  <c r="N248" i="39"/>
  <c r="O248" i="39" s="1"/>
  <c r="N59" i="39"/>
  <c r="O59" i="39" s="1"/>
  <c r="N123" i="39"/>
  <c r="O123" i="39" s="1"/>
  <c r="N187" i="39"/>
  <c r="O187" i="39" s="1"/>
  <c r="N251" i="39"/>
  <c r="O251" i="39" s="1"/>
  <c r="N70" i="39"/>
  <c r="O70" i="39" s="1"/>
  <c r="N134" i="39"/>
  <c r="O134" i="39" s="1"/>
  <c r="N198" i="39"/>
  <c r="O198" i="39" s="1"/>
  <c r="N14" i="39"/>
  <c r="O14" i="39" s="1"/>
  <c r="N73" i="39"/>
  <c r="O73" i="39" s="1"/>
  <c r="N137" i="39"/>
  <c r="O137" i="39" s="1"/>
  <c r="N201" i="39"/>
  <c r="O201" i="39" s="1"/>
  <c r="N20" i="39"/>
  <c r="O20" i="39" s="1"/>
  <c r="N84" i="39"/>
  <c r="O84" i="39" s="1"/>
  <c r="N148" i="39"/>
  <c r="O148" i="39" s="1"/>
  <c r="N212" i="39"/>
  <c r="O212" i="39" s="1"/>
  <c r="N39" i="39"/>
  <c r="O39" i="39" s="1"/>
  <c r="N103" i="39"/>
  <c r="O103" i="39" s="1"/>
  <c r="N167" i="39"/>
  <c r="O167" i="39" s="1"/>
  <c r="N231" i="39"/>
  <c r="O231" i="39" s="1"/>
  <c r="N50" i="39"/>
  <c r="O50" i="39" s="1"/>
  <c r="N114" i="39"/>
  <c r="O114" i="39" s="1"/>
  <c r="N178" i="39"/>
  <c r="O178" i="39" s="1"/>
  <c r="N242" i="39"/>
  <c r="O242" i="39" s="1"/>
  <c r="N61" i="39"/>
  <c r="O61" i="39" s="1"/>
  <c r="N125" i="39"/>
  <c r="O125" i="39" s="1"/>
  <c r="N189" i="39"/>
  <c r="O189" i="39" s="1"/>
  <c r="N253" i="39"/>
  <c r="O253" i="39" s="1"/>
  <c r="N64" i="39"/>
  <c r="O64" i="39" s="1"/>
  <c r="N128" i="39"/>
  <c r="O128" i="39" s="1"/>
  <c r="N192" i="39"/>
  <c r="O192" i="39" s="1"/>
  <c r="N256" i="39"/>
  <c r="O256" i="39" s="1"/>
  <c r="N67" i="39"/>
  <c r="O67" i="39" s="1"/>
  <c r="N131" i="39"/>
  <c r="O131" i="39" s="1"/>
  <c r="N195" i="39"/>
  <c r="O195" i="39" s="1"/>
  <c r="N11" i="39"/>
  <c r="O11" i="39" s="1"/>
  <c r="N78" i="39"/>
  <c r="O78" i="39" s="1"/>
  <c r="N142" i="39"/>
  <c r="O142" i="39" s="1"/>
  <c r="N206" i="39"/>
  <c r="O206" i="39" s="1"/>
  <c r="N17" i="39"/>
  <c r="O17" i="39" s="1"/>
  <c r="N81" i="39"/>
  <c r="O81" i="39" s="1"/>
  <c r="N145" i="39"/>
  <c r="O145" i="39" s="1"/>
  <c r="N209" i="39"/>
  <c r="O209" i="39" s="1"/>
  <c r="N28" i="39"/>
  <c r="O28" i="39" s="1"/>
  <c r="N92" i="39"/>
  <c r="O92" i="39" s="1"/>
  <c r="N156" i="39"/>
  <c r="O156" i="39" s="1"/>
  <c r="N220" i="39"/>
  <c r="O220" i="39" s="1"/>
  <c r="N47" i="39"/>
  <c r="O47" i="39" s="1"/>
  <c r="N111" i="39"/>
  <c r="O111" i="39" s="1"/>
  <c r="N175" i="39"/>
  <c r="O175" i="39" s="1"/>
  <c r="N239" i="39"/>
  <c r="O239" i="39" s="1"/>
  <c r="N58" i="39"/>
  <c r="O58" i="39" s="1"/>
  <c r="N122" i="39"/>
  <c r="O122" i="39" s="1"/>
  <c r="N186" i="39"/>
  <c r="O186" i="39" s="1"/>
  <c r="N250" i="39"/>
  <c r="O250" i="39" s="1"/>
  <c r="N69" i="39"/>
  <c r="O69" i="39" s="1"/>
  <c r="N133" i="39"/>
  <c r="O133" i="39" s="1"/>
  <c r="N197" i="39"/>
  <c r="O197" i="39" s="1"/>
  <c r="N13" i="39"/>
  <c r="O13" i="39" s="1"/>
  <c r="N72" i="39"/>
  <c r="O72" i="39" s="1"/>
  <c r="N136" i="39"/>
  <c r="O136" i="39" s="1"/>
  <c r="N200" i="39"/>
  <c r="O200" i="39" s="1"/>
  <c r="N8" i="39"/>
  <c r="O8" i="39" s="1"/>
  <c r="O258" i="39" s="1"/>
  <c r="N75" i="39"/>
  <c r="O75" i="39" s="1"/>
  <c r="N139" i="39"/>
  <c r="O139" i="39" s="1"/>
  <c r="N203" i="39"/>
  <c r="O203" i="39" s="1"/>
  <c r="N22" i="39"/>
  <c r="O22" i="39" s="1"/>
  <c r="N86" i="39"/>
  <c r="O86" i="39" s="1"/>
  <c r="N150" i="39"/>
  <c r="O150" i="39" s="1"/>
  <c r="N214" i="39"/>
  <c r="O214" i="39" s="1"/>
  <c r="N25" i="39"/>
  <c r="O25" i="39" s="1"/>
  <c r="N89" i="39"/>
  <c r="O89" i="39" s="1"/>
  <c r="N153" i="39"/>
  <c r="O153" i="39" s="1"/>
  <c r="N217" i="39"/>
  <c r="O217" i="39" s="1"/>
  <c r="N36" i="39"/>
  <c r="O36" i="39" s="1"/>
  <c r="N100" i="39"/>
  <c r="O100" i="39" s="1"/>
  <c r="N164" i="39"/>
  <c r="O164" i="39" s="1"/>
  <c r="N228" i="39"/>
  <c r="O228" i="39" s="1"/>
  <c r="N55" i="39"/>
  <c r="O55" i="39" s="1"/>
  <c r="N77" i="39"/>
  <c r="O77" i="39" s="1"/>
  <c r="N83" i="39"/>
  <c r="O83" i="39" s="1"/>
  <c r="N97" i="39"/>
  <c r="O97" i="39" s="1"/>
  <c r="N30" i="39"/>
  <c r="O30" i="39" s="1"/>
  <c r="N66" i="39"/>
  <c r="O66" i="39" s="1"/>
  <c r="N130" i="39"/>
  <c r="O130" i="39" s="1"/>
  <c r="N194" i="39"/>
  <c r="O194" i="39" s="1"/>
  <c r="N236" i="39"/>
  <c r="O236" i="39" s="1"/>
  <c r="N10" i="39"/>
  <c r="O10" i="39" s="1"/>
  <c r="N119" i="39"/>
  <c r="O119" i="39" s="1"/>
  <c r="N141" i="39"/>
  <c r="O141" i="39" s="1"/>
  <c r="N147" i="39"/>
  <c r="O147" i="39" s="1"/>
  <c r="N161" i="39"/>
  <c r="O161" i="39" s="1"/>
  <c r="N80" i="39"/>
  <c r="O80" i="39" s="1"/>
  <c r="N144" i="39"/>
  <c r="O144" i="39" s="1"/>
  <c r="N222" i="39"/>
  <c r="O222" i="39" s="1"/>
  <c r="N19" i="39"/>
  <c r="O19" i="39" s="1"/>
  <c r="N183" i="39"/>
  <c r="O183" i="39" s="1"/>
  <c r="N205" i="39"/>
  <c r="O205" i="39" s="1"/>
  <c r="N211" i="39"/>
  <c r="O211" i="39" s="1"/>
  <c r="N225" i="39"/>
  <c r="O225" i="39" s="1"/>
  <c r="N247" i="39"/>
  <c r="O247" i="39" s="1"/>
  <c r="N16" i="39"/>
  <c r="O16" i="39" s="1"/>
  <c r="N44" i="39"/>
  <c r="O44" i="39" s="1"/>
  <c r="N94" i="39"/>
  <c r="O94" i="39" s="1"/>
  <c r="N108" i="39"/>
  <c r="O108" i="39" s="1"/>
  <c r="N158" i="39"/>
  <c r="O158" i="39" s="1"/>
  <c r="N172" i="39"/>
  <c r="O172" i="39" s="1"/>
  <c r="N208" i="39"/>
  <c r="O208" i="39" s="1"/>
  <c r="N33" i="39"/>
  <c r="O33" i="39" s="1"/>
  <c r="L5" i="39"/>
  <c r="K250" i="39"/>
  <c r="L250" i="39" s="1"/>
  <c r="K37" i="39"/>
  <c r="L37" i="39" s="1"/>
  <c r="K69" i="39"/>
  <c r="L69" i="39" s="1"/>
  <c r="K101" i="39"/>
  <c r="L101" i="39" s="1"/>
  <c r="K133" i="39"/>
  <c r="L133" i="39" s="1"/>
  <c r="K165" i="39"/>
  <c r="L165" i="39" s="1"/>
  <c r="K197" i="39"/>
  <c r="L197" i="39" s="1"/>
  <c r="K229" i="39"/>
  <c r="L229" i="39" s="1"/>
  <c r="K13" i="39"/>
  <c r="L13" i="39" s="1"/>
  <c r="K19" i="39"/>
  <c r="L19" i="39" s="1"/>
  <c r="K51" i="39"/>
  <c r="L51" i="39" s="1"/>
  <c r="K83" i="39"/>
  <c r="L83" i="39" s="1"/>
  <c r="K115" i="39"/>
  <c r="L115" i="39" s="1"/>
  <c r="K147" i="39"/>
  <c r="L147" i="39" s="1"/>
  <c r="K179" i="39"/>
  <c r="L179" i="39" s="1"/>
  <c r="K211" i="39"/>
  <c r="L211" i="39" s="1"/>
  <c r="K243" i="39"/>
  <c r="L243" i="39" s="1"/>
  <c r="K36" i="39"/>
  <c r="L36" i="39" s="1"/>
  <c r="K68" i="39"/>
  <c r="L68" i="39" s="1"/>
  <c r="K100" i="39"/>
  <c r="L100" i="39" s="1"/>
  <c r="K132" i="39"/>
  <c r="L132" i="39" s="1"/>
  <c r="K164" i="39"/>
  <c r="L164" i="39" s="1"/>
  <c r="K196" i="39"/>
  <c r="L196" i="39" s="1"/>
  <c r="K228" i="39"/>
  <c r="L228" i="39" s="1"/>
  <c r="K12" i="39"/>
  <c r="L12" i="39" s="1"/>
  <c r="K39" i="39"/>
  <c r="L39" i="39" s="1"/>
  <c r="K71" i="39"/>
  <c r="L71" i="39" s="1"/>
  <c r="K103" i="39"/>
  <c r="L103" i="39" s="1"/>
  <c r="K135" i="39"/>
  <c r="L135" i="39" s="1"/>
  <c r="K167" i="39"/>
  <c r="L167" i="39" s="1"/>
  <c r="K199" i="39"/>
  <c r="L199" i="39" s="1"/>
  <c r="K231" i="39"/>
  <c r="L231" i="39" s="1"/>
  <c r="K18" i="39"/>
  <c r="L18" i="39" s="1"/>
  <c r="K50" i="39"/>
  <c r="L50" i="39" s="1"/>
  <c r="K82" i="39"/>
  <c r="L82" i="39" s="1"/>
  <c r="K114" i="39"/>
  <c r="L114" i="39" s="1"/>
  <c r="K146" i="39"/>
  <c r="L146" i="39" s="1"/>
  <c r="K178" i="39"/>
  <c r="L178" i="39" s="1"/>
  <c r="K210" i="39"/>
  <c r="L210" i="39" s="1"/>
  <c r="K242" i="39"/>
  <c r="L242" i="39" s="1"/>
  <c r="K10" i="39"/>
  <c r="L10" i="39" s="1"/>
  <c r="K16" i="39"/>
  <c r="L16" i="39" s="1"/>
  <c r="K48" i="39"/>
  <c r="L48" i="39" s="1"/>
  <c r="K80" i="39"/>
  <c r="L80" i="39" s="1"/>
  <c r="K112" i="39"/>
  <c r="L112" i="39" s="1"/>
  <c r="K144" i="39"/>
  <c r="L144" i="39" s="1"/>
  <c r="K176" i="39"/>
  <c r="L176" i="39" s="1"/>
  <c r="K208" i="39"/>
  <c r="L208" i="39" s="1"/>
  <c r="K240" i="39"/>
  <c r="L240" i="39" s="1"/>
  <c r="K30" i="39"/>
  <c r="L30" i="39" s="1"/>
  <c r="K62" i="39"/>
  <c r="L62" i="39" s="1"/>
  <c r="K94" i="39"/>
  <c r="L94" i="39" s="1"/>
  <c r="K126" i="39"/>
  <c r="L126" i="39" s="1"/>
  <c r="K158" i="39"/>
  <c r="L158" i="39" s="1"/>
  <c r="K190" i="39"/>
  <c r="L190" i="39" s="1"/>
  <c r="K222" i="39"/>
  <c r="L222" i="39" s="1"/>
  <c r="K254" i="39"/>
  <c r="L254" i="39" s="1"/>
  <c r="K33" i="39"/>
  <c r="L33" i="39" s="1"/>
  <c r="K65" i="39"/>
  <c r="L65" i="39" s="1"/>
  <c r="K97" i="39"/>
  <c r="L97" i="39" s="1"/>
  <c r="K129" i="39"/>
  <c r="L129" i="39" s="1"/>
  <c r="K161" i="39"/>
  <c r="L161" i="39" s="1"/>
  <c r="K193" i="39"/>
  <c r="L193" i="39" s="1"/>
  <c r="K225" i="39"/>
  <c r="L225" i="39" s="1"/>
  <c r="K257" i="39"/>
  <c r="L257" i="39" s="1"/>
  <c r="K45" i="39"/>
  <c r="L45" i="39" s="1"/>
  <c r="K77" i="39"/>
  <c r="L77" i="39" s="1"/>
  <c r="K109" i="39"/>
  <c r="L109" i="39" s="1"/>
  <c r="K141" i="39"/>
  <c r="L141" i="39" s="1"/>
  <c r="K173" i="39"/>
  <c r="L173" i="39" s="1"/>
  <c r="K205" i="39"/>
  <c r="L205" i="39" s="1"/>
  <c r="K237" i="39"/>
  <c r="L237" i="39" s="1"/>
  <c r="K27" i="39"/>
  <c r="L27" i="39" s="1"/>
  <c r="K59" i="39"/>
  <c r="L59" i="39" s="1"/>
  <c r="K91" i="39"/>
  <c r="L91" i="39" s="1"/>
  <c r="K123" i="39"/>
  <c r="L123" i="39" s="1"/>
  <c r="K155" i="39"/>
  <c r="L155" i="39" s="1"/>
  <c r="K187" i="39"/>
  <c r="L187" i="39" s="1"/>
  <c r="K219" i="39"/>
  <c r="L219" i="39" s="1"/>
  <c r="K251" i="39"/>
  <c r="L251" i="39" s="1"/>
  <c r="K9" i="39"/>
  <c r="L9" i="39" s="1"/>
  <c r="K44" i="39"/>
  <c r="L44" i="39" s="1"/>
  <c r="K76" i="39"/>
  <c r="L76" i="39" s="1"/>
  <c r="K108" i="39"/>
  <c r="L108" i="39" s="1"/>
  <c r="K140" i="39"/>
  <c r="L140" i="39" s="1"/>
  <c r="K172" i="39"/>
  <c r="L172" i="39" s="1"/>
  <c r="K204" i="39"/>
  <c r="L204" i="39" s="1"/>
  <c r="K236" i="39"/>
  <c r="L236" i="39" s="1"/>
  <c r="K15" i="39"/>
  <c r="L15" i="39" s="1"/>
  <c r="K47" i="39"/>
  <c r="L47" i="39" s="1"/>
  <c r="K79" i="39"/>
  <c r="L79" i="39" s="1"/>
  <c r="K111" i="39"/>
  <c r="L111" i="39" s="1"/>
  <c r="K143" i="39"/>
  <c r="L143" i="39" s="1"/>
  <c r="K175" i="39"/>
  <c r="L175" i="39" s="1"/>
  <c r="K207" i="39"/>
  <c r="L207" i="39" s="1"/>
  <c r="K239" i="39"/>
  <c r="L239" i="39" s="1"/>
  <c r="K26" i="39"/>
  <c r="L26" i="39" s="1"/>
  <c r="K58" i="39"/>
  <c r="L58" i="39" s="1"/>
  <c r="K90" i="39"/>
  <c r="L90" i="39" s="1"/>
  <c r="K122" i="39"/>
  <c r="L122" i="39" s="1"/>
  <c r="K154" i="39"/>
  <c r="L154" i="39" s="1"/>
  <c r="K186" i="39"/>
  <c r="L186" i="39" s="1"/>
  <c r="K218" i="39"/>
  <c r="L218" i="39" s="1"/>
  <c r="K24" i="39"/>
  <c r="L24" i="39" s="1"/>
  <c r="K56" i="39"/>
  <c r="L56" i="39" s="1"/>
  <c r="K88" i="39"/>
  <c r="L88" i="39" s="1"/>
  <c r="K120" i="39"/>
  <c r="L120" i="39" s="1"/>
  <c r="K152" i="39"/>
  <c r="L152" i="39" s="1"/>
  <c r="K184" i="39"/>
  <c r="L184" i="39" s="1"/>
  <c r="K216" i="39"/>
  <c r="L216" i="39" s="1"/>
  <c r="K248" i="39"/>
  <c r="L248" i="39" s="1"/>
  <c r="K38" i="39"/>
  <c r="L38" i="39" s="1"/>
  <c r="K70" i="39"/>
  <c r="L70" i="39" s="1"/>
  <c r="K102" i="39"/>
  <c r="L102" i="39" s="1"/>
  <c r="K134" i="39"/>
  <c r="L134" i="39" s="1"/>
  <c r="K166" i="39"/>
  <c r="L166" i="39" s="1"/>
  <c r="K198" i="39"/>
  <c r="L198" i="39" s="1"/>
  <c r="K230" i="39"/>
  <c r="L230" i="39" s="1"/>
  <c r="K41" i="39"/>
  <c r="L41" i="39" s="1"/>
  <c r="K73" i="39"/>
  <c r="L73" i="39" s="1"/>
  <c r="K105" i="39"/>
  <c r="L105" i="39" s="1"/>
  <c r="K137" i="39"/>
  <c r="L137" i="39" s="1"/>
  <c r="K169" i="39"/>
  <c r="L169" i="39" s="1"/>
  <c r="K201" i="39"/>
  <c r="L201" i="39" s="1"/>
  <c r="K233" i="39"/>
  <c r="L233" i="39" s="1"/>
  <c r="K21" i="39"/>
  <c r="L21" i="39" s="1"/>
  <c r="K53" i="39"/>
  <c r="L53" i="39" s="1"/>
  <c r="K85" i="39"/>
  <c r="L85" i="39" s="1"/>
  <c r="K117" i="39"/>
  <c r="L117" i="39" s="1"/>
  <c r="K149" i="39"/>
  <c r="L149" i="39" s="1"/>
  <c r="K181" i="39"/>
  <c r="L181" i="39" s="1"/>
  <c r="K213" i="39"/>
  <c r="L213" i="39" s="1"/>
  <c r="K245" i="39"/>
  <c r="L245" i="39" s="1"/>
  <c r="K35" i="39"/>
  <c r="L35" i="39" s="1"/>
  <c r="K67" i="39"/>
  <c r="L67" i="39" s="1"/>
  <c r="K99" i="39"/>
  <c r="L99" i="39" s="1"/>
  <c r="K131" i="39"/>
  <c r="L131" i="39" s="1"/>
  <c r="K163" i="39"/>
  <c r="L163" i="39" s="1"/>
  <c r="K195" i="39"/>
  <c r="L195" i="39" s="1"/>
  <c r="K227" i="39"/>
  <c r="L227" i="39" s="1"/>
  <c r="K11" i="39"/>
  <c r="L11" i="39" s="1"/>
  <c r="K14" i="39"/>
  <c r="L14" i="39" s="1"/>
  <c r="K20" i="39"/>
  <c r="L20" i="39" s="1"/>
  <c r="K52" i="39"/>
  <c r="L52" i="39" s="1"/>
  <c r="K84" i="39"/>
  <c r="L84" i="39" s="1"/>
  <c r="K116" i="39"/>
  <c r="L116" i="39" s="1"/>
  <c r="K148" i="39"/>
  <c r="L148" i="39" s="1"/>
  <c r="K180" i="39"/>
  <c r="L180" i="39" s="1"/>
  <c r="K212" i="39"/>
  <c r="L212" i="39" s="1"/>
  <c r="K244" i="39"/>
  <c r="L244" i="39" s="1"/>
  <c r="K23" i="39"/>
  <c r="L23" i="39" s="1"/>
  <c r="K55" i="39"/>
  <c r="L55" i="39" s="1"/>
  <c r="K87" i="39"/>
  <c r="L87" i="39" s="1"/>
  <c r="K119" i="39"/>
  <c r="L119" i="39" s="1"/>
  <c r="K151" i="39"/>
  <c r="L151" i="39" s="1"/>
  <c r="K183" i="39"/>
  <c r="L183" i="39" s="1"/>
  <c r="K215" i="39"/>
  <c r="L215" i="39" s="1"/>
  <c r="K247" i="39"/>
  <c r="L247" i="39" s="1"/>
  <c r="K34" i="39"/>
  <c r="L34" i="39" s="1"/>
  <c r="K66" i="39"/>
  <c r="L66" i="39" s="1"/>
  <c r="K98" i="39"/>
  <c r="L98" i="39" s="1"/>
  <c r="K130" i="39"/>
  <c r="L130" i="39" s="1"/>
  <c r="K162" i="39"/>
  <c r="L162" i="39" s="1"/>
  <c r="K194" i="39"/>
  <c r="L194" i="39" s="1"/>
  <c r="K226" i="39"/>
  <c r="L226" i="39" s="1"/>
  <c r="K32" i="39"/>
  <c r="L32" i="39" s="1"/>
  <c r="K64" i="39"/>
  <c r="L64" i="39" s="1"/>
  <c r="K96" i="39"/>
  <c r="L96" i="39" s="1"/>
  <c r="K128" i="39"/>
  <c r="L128" i="39" s="1"/>
  <c r="K160" i="39"/>
  <c r="L160" i="39" s="1"/>
  <c r="K192" i="39"/>
  <c r="L192" i="39" s="1"/>
  <c r="K224" i="39"/>
  <c r="L224" i="39" s="1"/>
  <c r="K256" i="39"/>
  <c r="L256" i="39" s="1"/>
  <c r="K46" i="39"/>
  <c r="L46" i="39" s="1"/>
  <c r="K78" i="39"/>
  <c r="L78" i="39" s="1"/>
  <c r="K110" i="39"/>
  <c r="L110" i="39" s="1"/>
  <c r="K142" i="39"/>
  <c r="L142" i="39" s="1"/>
  <c r="K174" i="39"/>
  <c r="L174" i="39" s="1"/>
  <c r="K206" i="39"/>
  <c r="L206" i="39" s="1"/>
  <c r="K238" i="39"/>
  <c r="L238" i="39" s="1"/>
  <c r="K17" i="39"/>
  <c r="L17" i="39" s="1"/>
  <c r="K49" i="39"/>
  <c r="L49" i="39" s="1"/>
  <c r="K81" i="39"/>
  <c r="L81" i="39" s="1"/>
  <c r="K113" i="39"/>
  <c r="L113" i="39" s="1"/>
  <c r="K145" i="39"/>
  <c r="L145" i="39" s="1"/>
  <c r="K177" i="39"/>
  <c r="L177" i="39" s="1"/>
  <c r="K209" i="39"/>
  <c r="L209" i="39" s="1"/>
  <c r="K241" i="39"/>
  <c r="L241" i="39" s="1"/>
  <c r="K29" i="39"/>
  <c r="L29" i="39" s="1"/>
  <c r="K61" i="39"/>
  <c r="L61" i="39" s="1"/>
  <c r="K93" i="39"/>
  <c r="L93" i="39" s="1"/>
  <c r="K125" i="39"/>
  <c r="L125" i="39" s="1"/>
  <c r="K157" i="39"/>
  <c r="L157" i="39" s="1"/>
  <c r="K189" i="39"/>
  <c r="L189" i="39" s="1"/>
  <c r="K221" i="39"/>
  <c r="L221" i="39" s="1"/>
  <c r="K253" i="39"/>
  <c r="L253" i="39" s="1"/>
  <c r="L8" i="39"/>
  <c r="K43" i="39"/>
  <c r="L43" i="39" s="1"/>
  <c r="K75" i="39"/>
  <c r="L75" i="39" s="1"/>
  <c r="K107" i="39"/>
  <c r="L107" i="39" s="1"/>
  <c r="K139" i="39"/>
  <c r="L139" i="39" s="1"/>
  <c r="K171" i="39"/>
  <c r="L171" i="39" s="1"/>
  <c r="K203" i="39"/>
  <c r="L203" i="39" s="1"/>
  <c r="K235" i="39"/>
  <c r="L235" i="39" s="1"/>
  <c r="K28" i="39"/>
  <c r="L28" i="39" s="1"/>
  <c r="K60" i="39"/>
  <c r="L60" i="39" s="1"/>
  <c r="K92" i="39"/>
  <c r="L92" i="39" s="1"/>
  <c r="K124" i="39"/>
  <c r="L124" i="39" s="1"/>
  <c r="K156" i="39"/>
  <c r="L156" i="39" s="1"/>
  <c r="K188" i="39"/>
  <c r="L188" i="39" s="1"/>
  <c r="K220" i="39"/>
  <c r="L220" i="39" s="1"/>
  <c r="K252" i="39"/>
  <c r="L252" i="39" s="1"/>
  <c r="K31" i="39"/>
  <c r="L31" i="39" s="1"/>
  <c r="K63" i="39"/>
  <c r="L63" i="39" s="1"/>
  <c r="K95" i="39"/>
  <c r="L95" i="39" s="1"/>
  <c r="K127" i="39"/>
  <c r="L127" i="39" s="1"/>
  <c r="K159" i="39"/>
  <c r="L159" i="39" s="1"/>
  <c r="K191" i="39"/>
  <c r="L191" i="39" s="1"/>
  <c r="K223" i="39"/>
  <c r="L223" i="39" s="1"/>
  <c r="K255" i="39"/>
  <c r="L255" i="39" s="1"/>
  <c r="K42" i="39"/>
  <c r="L42" i="39" s="1"/>
  <c r="K74" i="39"/>
  <c r="L74" i="39" s="1"/>
  <c r="K106" i="39"/>
  <c r="L106" i="39" s="1"/>
  <c r="K138" i="39"/>
  <c r="L138" i="39" s="1"/>
  <c r="K170" i="39"/>
  <c r="L170" i="39" s="1"/>
  <c r="K202" i="39"/>
  <c r="L202" i="39" s="1"/>
  <c r="K234" i="39"/>
  <c r="L234" i="39" s="1"/>
  <c r="K168" i="39"/>
  <c r="L168" i="39" s="1"/>
  <c r="K182" i="39"/>
  <c r="L182" i="39" s="1"/>
  <c r="K185" i="39"/>
  <c r="L185" i="39" s="1"/>
  <c r="K22" i="39"/>
  <c r="L22" i="39" s="1"/>
  <c r="K72" i="39"/>
  <c r="L72" i="39" s="1"/>
  <c r="K86" i="39"/>
  <c r="L86" i="39" s="1"/>
  <c r="K89" i="39"/>
  <c r="L89" i="39" s="1"/>
  <c r="K232" i="39"/>
  <c r="L232" i="39" s="1"/>
  <c r="K246" i="39"/>
  <c r="L246" i="39" s="1"/>
  <c r="K249" i="39"/>
  <c r="L249" i="39" s="1"/>
  <c r="K136" i="39"/>
  <c r="L136" i="39" s="1"/>
  <c r="K150" i="39"/>
  <c r="L150" i="39" s="1"/>
  <c r="K153" i="39"/>
  <c r="L153" i="39" s="1"/>
  <c r="K40" i="39"/>
  <c r="L40" i="39" s="1"/>
  <c r="K54" i="39"/>
  <c r="L54" i="39" s="1"/>
  <c r="K57" i="39"/>
  <c r="L57" i="39" s="1"/>
  <c r="K200" i="39"/>
  <c r="L200" i="39" s="1"/>
  <c r="K214" i="39"/>
  <c r="L214" i="39" s="1"/>
  <c r="K217" i="39"/>
  <c r="L217" i="39" s="1"/>
  <c r="K25" i="39"/>
  <c r="L25" i="39" s="1"/>
  <c r="K104" i="39"/>
  <c r="L104" i="39" s="1"/>
  <c r="K118" i="39"/>
  <c r="L118" i="39" s="1"/>
  <c r="K121" i="39"/>
  <c r="L121" i="39" s="1"/>
  <c r="W5" i="4"/>
  <c r="Y5" i="4"/>
  <c r="C257" i="4"/>
  <c r="C256" i="4"/>
  <c r="C255" i="4"/>
  <c r="C254" i="4"/>
  <c r="C253" i="4"/>
  <c r="C252" i="4"/>
  <c r="C251" i="4"/>
  <c r="C250" i="4"/>
  <c r="C249" i="4"/>
  <c r="C248" i="4"/>
  <c r="C247" i="4"/>
  <c r="C246" i="4"/>
  <c r="C245" i="4"/>
  <c r="C244" i="4"/>
  <c r="C243" i="4"/>
  <c r="C242" i="4"/>
  <c r="C241" i="4"/>
  <c r="C240" i="4"/>
  <c r="C239" i="4"/>
  <c r="C238" i="4"/>
  <c r="C237" i="4"/>
  <c r="C236" i="4"/>
  <c r="C235" i="4"/>
  <c r="C234" i="4"/>
  <c r="C233" i="4"/>
  <c r="C232" i="4"/>
  <c r="C231" i="4"/>
  <c r="C230" i="4"/>
  <c r="C229" i="4"/>
  <c r="C228" i="4"/>
  <c r="C227" i="4"/>
  <c r="C226" i="4"/>
  <c r="C225" i="4"/>
  <c r="C224" i="4"/>
  <c r="C223" i="4"/>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C143" i="4"/>
  <c r="C142" i="4"/>
  <c r="C141" i="4"/>
  <c r="C140" i="4"/>
  <c r="C139" i="4"/>
  <c r="C138" i="4"/>
  <c r="C137" i="4"/>
  <c r="C136" i="4"/>
  <c r="C135" i="4"/>
  <c r="C134" i="4"/>
  <c r="C133" i="4"/>
  <c r="C132" i="4"/>
  <c r="C131" i="4"/>
  <c r="C130" i="4"/>
  <c r="C129" i="4"/>
  <c r="C128" i="4"/>
  <c r="C127" i="4"/>
  <c r="C126" i="4"/>
  <c r="C125" i="4"/>
  <c r="C124" i="4"/>
  <c r="C123"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5" i="4"/>
  <c r="C94" i="4"/>
  <c r="C93" i="4"/>
  <c r="C92" i="4"/>
  <c r="C91" i="4"/>
  <c r="C90" i="4"/>
  <c r="C89" i="4"/>
  <c r="C88" i="4"/>
  <c r="C87" i="4"/>
  <c r="C86" i="4"/>
  <c r="C85" i="4"/>
  <c r="C84" i="4"/>
  <c r="C83"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40" i="4"/>
  <c r="C39" i="4"/>
  <c r="C38" i="4"/>
  <c r="C37" i="4"/>
  <c r="C36" i="4"/>
  <c r="C35" i="4"/>
  <c r="C34" i="4"/>
  <c r="C33" i="4"/>
  <c r="C32" i="4"/>
  <c r="C31" i="4"/>
  <c r="C30" i="4"/>
  <c r="C29" i="4"/>
  <c r="C28" i="4"/>
  <c r="C27" i="4"/>
  <c r="C26" i="4"/>
  <c r="C25" i="4"/>
  <c r="C24" i="4"/>
  <c r="C23" i="4"/>
  <c r="C22" i="4"/>
  <c r="C21" i="4"/>
  <c r="C20" i="4"/>
  <c r="C19" i="4"/>
  <c r="C18" i="4"/>
  <c r="C17" i="4"/>
  <c r="C16" i="4"/>
  <c r="C15" i="4"/>
  <c r="C14" i="4"/>
  <c r="C13" i="4"/>
  <c r="C12" i="4"/>
  <c r="C11" i="4"/>
  <c r="C10" i="4"/>
  <c r="C9" i="4"/>
  <c r="D28" i="29" l="1"/>
  <c r="D34" i="29" s="1"/>
  <c r="C34" i="29"/>
  <c r="L258" i="39"/>
  <c r="Q11" i="39"/>
  <c r="Q15" i="39"/>
  <c r="Q19" i="39"/>
  <c r="Q23" i="39"/>
  <c r="Q27" i="39"/>
  <c r="Q31" i="39"/>
  <c r="Q35" i="39"/>
  <c r="Q39" i="39"/>
  <c r="Q43" i="39"/>
  <c r="Q47" i="39"/>
  <c r="Q51" i="39"/>
  <c r="Q55" i="39"/>
  <c r="Q59" i="39"/>
  <c r="Q63" i="39"/>
  <c r="Q67" i="39"/>
  <c r="Q71" i="39"/>
  <c r="Q75" i="39"/>
  <c r="Q79" i="39"/>
  <c r="Q83" i="39"/>
  <c r="Q87" i="39"/>
  <c r="Q91" i="39"/>
  <c r="Q95" i="39"/>
  <c r="Q99" i="39"/>
  <c r="Q103" i="39"/>
  <c r="Q107" i="39"/>
  <c r="Q111" i="39"/>
  <c r="Q115" i="39"/>
  <c r="Q119" i="39"/>
  <c r="Q123" i="39"/>
  <c r="Q127" i="39"/>
  <c r="Q131" i="39"/>
  <c r="Q135" i="39"/>
  <c r="Q139" i="39"/>
  <c r="Q143" i="39"/>
  <c r="Q147" i="39"/>
  <c r="Q151" i="39"/>
  <c r="Q155" i="39"/>
  <c r="Q159" i="39"/>
  <c r="Q163" i="39"/>
  <c r="Q167" i="39"/>
  <c r="Q171" i="39"/>
  <c r="Q175" i="39"/>
  <c r="Q179" i="39"/>
  <c r="Q183" i="39"/>
  <c r="Q187" i="39"/>
  <c r="Q191" i="39"/>
  <c r="Q195" i="39"/>
  <c r="Q199" i="39"/>
  <c r="Q203" i="39"/>
  <c r="Q207" i="39"/>
  <c r="Q211" i="39"/>
  <c r="Q215" i="39"/>
  <c r="Q219" i="39"/>
  <c r="Q223" i="39"/>
  <c r="Q227" i="39"/>
  <c r="Q231" i="39"/>
  <c r="Q235" i="39"/>
  <c r="Q239" i="39"/>
  <c r="Q243" i="39"/>
  <c r="Q247" i="39"/>
  <c r="Q251" i="39"/>
  <c r="Q255" i="39"/>
  <c r="P188" i="39"/>
  <c r="P200" i="39"/>
  <c r="P208" i="39"/>
  <c r="P216" i="39"/>
  <c r="P224" i="39"/>
  <c r="P232" i="39"/>
  <c r="P240" i="39"/>
  <c r="P244" i="39"/>
  <c r="P252" i="39"/>
  <c r="Q164" i="39"/>
  <c r="Q180" i="39"/>
  <c r="Q188" i="39"/>
  <c r="Q192" i="39"/>
  <c r="Q204" i="39"/>
  <c r="Q216" i="39"/>
  <c r="Q220" i="39"/>
  <c r="Q232" i="39"/>
  <c r="Q244" i="39"/>
  <c r="Q252" i="39"/>
  <c r="P197" i="39"/>
  <c r="P209" i="39"/>
  <c r="P217" i="39"/>
  <c r="P12" i="39"/>
  <c r="P16" i="39"/>
  <c r="P20" i="39"/>
  <c r="P24" i="39"/>
  <c r="P28" i="39"/>
  <c r="P32" i="39"/>
  <c r="P36" i="39"/>
  <c r="P40" i="39"/>
  <c r="P44" i="39"/>
  <c r="P48" i="39"/>
  <c r="P52" i="39"/>
  <c r="P56" i="39"/>
  <c r="P60" i="39"/>
  <c r="P64" i="39"/>
  <c r="P68" i="39"/>
  <c r="P72" i="39"/>
  <c r="P76" i="39"/>
  <c r="P80" i="39"/>
  <c r="P84" i="39"/>
  <c r="P88" i="39"/>
  <c r="P92" i="39"/>
  <c r="P96" i="39"/>
  <c r="P100" i="39"/>
  <c r="P104" i="39"/>
  <c r="P108" i="39"/>
  <c r="P112" i="39"/>
  <c r="P116" i="39"/>
  <c r="P120" i="39"/>
  <c r="P124" i="39"/>
  <c r="P128" i="39"/>
  <c r="P132" i="39"/>
  <c r="P136" i="39"/>
  <c r="P140" i="39"/>
  <c r="P144" i="39"/>
  <c r="P148" i="39"/>
  <c r="P152" i="39"/>
  <c r="P156" i="39"/>
  <c r="P160" i="39"/>
  <c r="P164" i="39"/>
  <c r="P168" i="39"/>
  <c r="P172" i="39"/>
  <c r="P176" i="39"/>
  <c r="P180" i="39"/>
  <c r="P184" i="39"/>
  <c r="P192" i="39"/>
  <c r="P196" i="39"/>
  <c r="P204" i="39"/>
  <c r="P212" i="39"/>
  <c r="P220" i="39"/>
  <c r="P228" i="39"/>
  <c r="P236" i="39"/>
  <c r="P248" i="39"/>
  <c r="P256" i="39"/>
  <c r="Q172" i="39"/>
  <c r="Q200" i="39"/>
  <c r="Q212" i="39"/>
  <c r="Q228" i="39"/>
  <c r="Q236" i="39"/>
  <c r="Q248" i="39"/>
  <c r="P193" i="39"/>
  <c r="P221" i="39"/>
  <c r="Q12" i="39"/>
  <c r="Q16" i="39"/>
  <c r="Q20" i="39"/>
  <c r="Q24" i="39"/>
  <c r="Q28" i="39"/>
  <c r="Q32" i="39"/>
  <c r="Q36" i="39"/>
  <c r="Q40" i="39"/>
  <c r="Q44" i="39"/>
  <c r="Q48" i="39"/>
  <c r="Q52" i="39"/>
  <c r="Q56" i="39"/>
  <c r="Q60" i="39"/>
  <c r="Q64" i="39"/>
  <c r="Q68" i="39"/>
  <c r="Q72" i="39"/>
  <c r="Q76" i="39"/>
  <c r="Q80" i="39"/>
  <c r="Q84" i="39"/>
  <c r="Q88" i="39"/>
  <c r="Q92" i="39"/>
  <c r="R92" i="39" s="1"/>
  <c r="Q96" i="39"/>
  <c r="R96" i="39" s="1"/>
  <c r="Q100" i="39"/>
  <c r="Q104" i="39"/>
  <c r="Q108" i="39"/>
  <c r="Q112" i="39"/>
  <c r="Q116" i="39"/>
  <c r="Q120" i="39"/>
  <c r="Q124" i="39"/>
  <c r="Q128" i="39"/>
  <c r="Q132" i="39"/>
  <c r="Q136" i="39"/>
  <c r="Q140" i="39"/>
  <c r="Q144" i="39"/>
  <c r="Q148" i="39"/>
  <c r="Q152" i="39"/>
  <c r="Q156" i="39"/>
  <c r="Q160" i="39"/>
  <c r="Q168" i="39"/>
  <c r="Q176" i="39"/>
  <c r="Q184" i="39"/>
  <c r="Q196" i="39"/>
  <c r="Q208" i="39"/>
  <c r="Q224" i="39"/>
  <c r="Q240" i="39"/>
  <c r="Q256" i="39"/>
  <c r="P201" i="39"/>
  <c r="P225" i="39"/>
  <c r="P9" i="39"/>
  <c r="P13" i="39"/>
  <c r="P17" i="39"/>
  <c r="P21" i="39"/>
  <c r="P25" i="39"/>
  <c r="P29" i="39"/>
  <c r="P33" i="39"/>
  <c r="P37" i="39"/>
  <c r="P41" i="39"/>
  <c r="P45" i="39"/>
  <c r="P49" i="39"/>
  <c r="P53" i="39"/>
  <c r="P57" i="39"/>
  <c r="P61" i="39"/>
  <c r="P65" i="39"/>
  <c r="P69" i="39"/>
  <c r="P73" i="39"/>
  <c r="P77" i="39"/>
  <c r="P81" i="39"/>
  <c r="P85" i="39"/>
  <c r="P89" i="39"/>
  <c r="P93" i="39"/>
  <c r="P97" i="39"/>
  <c r="P101" i="39"/>
  <c r="P105" i="39"/>
  <c r="P109" i="39"/>
  <c r="P113" i="39"/>
  <c r="P117" i="39"/>
  <c r="P121" i="39"/>
  <c r="P125" i="39"/>
  <c r="P129" i="39"/>
  <c r="P133" i="39"/>
  <c r="P137" i="39"/>
  <c r="P141" i="39"/>
  <c r="P145" i="39"/>
  <c r="P149" i="39"/>
  <c r="P153" i="39"/>
  <c r="P157" i="39"/>
  <c r="P161" i="39"/>
  <c r="P165" i="39"/>
  <c r="P169" i="39"/>
  <c r="P173" i="39"/>
  <c r="P177" i="39"/>
  <c r="P181" i="39"/>
  <c r="P185" i="39"/>
  <c r="P189" i="39"/>
  <c r="P205" i="39"/>
  <c r="P213" i="39"/>
  <c r="P229" i="39"/>
  <c r="P15" i="39"/>
  <c r="P23" i="39"/>
  <c r="R23" i="39" s="1"/>
  <c r="P31" i="39"/>
  <c r="P39" i="39"/>
  <c r="P47" i="39"/>
  <c r="P55" i="39"/>
  <c r="P63" i="39"/>
  <c r="P71" i="39"/>
  <c r="P79" i="39"/>
  <c r="P87" i="39"/>
  <c r="P95" i="39"/>
  <c r="P103" i="39"/>
  <c r="P111" i="39"/>
  <c r="P119" i="39"/>
  <c r="P127" i="39"/>
  <c r="P135" i="39"/>
  <c r="P143" i="39"/>
  <c r="P151" i="39"/>
  <c r="P159" i="39"/>
  <c r="P167" i="39"/>
  <c r="P175" i="39"/>
  <c r="P183" i="39"/>
  <c r="P191" i="39"/>
  <c r="P199" i="39"/>
  <c r="P207" i="39"/>
  <c r="P215" i="39"/>
  <c r="P223" i="39"/>
  <c r="P231" i="39"/>
  <c r="P238" i="39"/>
  <c r="P245" i="39"/>
  <c r="Q250" i="39"/>
  <c r="Q257" i="39"/>
  <c r="P18" i="39"/>
  <c r="P58" i="39"/>
  <c r="P82" i="39"/>
  <c r="P98" i="39"/>
  <c r="P114" i="39"/>
  <c r="P138" i="39"/>
  <c r="P154" i="39"/>
  <c r="P178" i="39"/>
  <c r="P202" i="39"/>
  <c r="P218" i="39"/>
  <c r="P239" i="39"/>
  <c r="P253" i="39"/>
  <c r="Q82" i="39"/>
  <c r="Q146" i="39"/>
  <c r="Q170" i="39"/>
  <c r="Q218" i="39"/>
  <c r="Q246" i="39"/>
  <c r="P203" i="39"/>
  <c r="Q241" i="39"/>
  <c r="Q181" i="39"/>
  <c r="Q229" i="39"/>
  <c r="P14" i="39"/>
  <c r="P94" i="39"/>
  <c r="P150" i="39"/>
  <c r="P198" i="39"/>
  <c r="P237" i="39"/>
  <c r="Q14" i="39"/>
  <c r="Q78" i="39"/>
  <c r="Q118" i="39"/>
  <c r="Q150" i="39"/>
  <c r="Q198" i="39"/>
  <c r="Q237" i="39"/>
  <c r="P257" i="39"/>
  <c r="Q9" i="39"/>
  <c r="Q17" i="39"/>
  <c r="Q25" i="39"/>
  <c r="Q33" i="39"/>
  <c r="Q41" i="39"/>
  <c r="Q49" i="39"/>
  <c r="Q57" i="39"/>
  <c r="Q65" i="39"/>
  <c r="Q73" i="39"/>
  <c r="Q81" i="39"/>
  <c r="Q89" i="39"/>
  <c r="Q97" i="39"/>
  <c r="Q105" i="39"/>
  <c r="Q113" i="39"/>
  <c r="Q121" i="39"/>
  <c r="Q129" i="39"/>
  <c r="Q137" i="39"/>
  <c r="Q145" i="39"/>
  <c r="Q153" i="39"/>
  <c r="Q161" i="39"/>
  <c r="Q169" i="39"/>
  <c r="Q177" i="39"/>
  <c r="Q185" i="39"/>
  <c r="Q193" i="39"/>
  <c r="Q201" i="39"/>
  <c r="Q209" i="39"/>
  <c r="Q217" i="39"/>
  <c r="Q225" i="39"/>
  <c r="P233" i="39"/>
  <c r="Q238" i="39"/>
  <c r="Q245" i="39"/>
  <c r="P251" i="39"/>
  <c r="P26" i="39"/>
  <c r="P34" i="39"/>
  <c r="P42" i="39"/>
  <c r="P50" i="39"/>
  <c r="P66" i="39"/>
  <c r="P90" i="39"/>
  <c r="P106" i="39"/>
  <c r="P130" i="39"/>
  <c r="P146" i="39"/>
  <c r="P170" i="39"/>
  <c r="P186" i="39"/>
  <c r="P210" i="39"/>
  <c r="P226" i="39"/>
  <c r="P246" i="39"/>
  <c r="P8" i="39"/>
  <c r="Q90" i="39"/>
  <c r="Q154" i="39"/>
  <c r="Q186" i="39"/>
  <c r="Q194" i="39"/>
  <c r="Q226" i="39"/>
  <c r="P234" i="39"/>
  <c r="P195" i="39"/>
  <c r="P247" i="39"/>
  <c r="Q205" i="39"/>
  <c r="P242" i="39"/>
  <c r="P38" i="39"/>
  <c r="P126" i="39"/>
  <c r="P174" i="39"/>
  <c r="P222" i="39"/>
  <c r="Q38" i="39"/>
  <c r="Q126" i="39"/>
  <c r="Q174" i="39"/>
  <c r="Q206" i="39"/>
  <c r="P250" i="39"/>
  <c r="P10" i="39"/>
  <c r="P74" i="39"/>
  <c r="P122" i="39"/>
  <c r="P162" i="39"/>
  <c r="P194" i="39"/>
  <c r="Q233" i="39"/>
  <c r="Q106" i="39"/>
  <c r="Q130" i="39"/>
  <c r="Q162" i="39"/>
  <c r="Q210" i="39"/>
  <c r="Q253" i="39"/>
  <c r="P219" i="39"/>
  <c r="P254" i="39"/>
  <c r="Q221" i="39"/>
  <c r="P235" i="39"/>
  <c r="P22" i="39"/>
  <c r="P102" i="39"/>
  <c r="P142" i="39"/>
  <c r="P190" i="39"/>
  <c r="Q242" i="39"/>
  <c r="Q22" i="39"/>
  <c r="Q94" i="39"/>
  <c r="Q166" i="39"/>
  <c r="Q214" i="39"/>
  <c r="Q10" i="39"/>
  <c r="Q18" i="39"/>
  <c r="Q26" i="39"/>
  <c r="Q34" i="39"/>
  <c r="Q42" i="39"/>
  <c r="Q50" i="39"/>
  <c r="Q58" i="39"/>
  <c r="Q66" i="39"/>
  <c r="Q74" i="39"/>
  <c r="Q98" i="39"/>
  <c r="Q114" i="39"/>
  <c r="Q122" i="39"/>
  <c r="Q138" i="39"/>
  <c r="Q178" i="39"/>
  <c r="Q202" i="39"/>
  <c r="P241" i="39"/>
  <c r="P227" i="39"/>
  <c r="Q197" i="39"/>
  <c r="P249" i="39"/>
  <c r="P46" i="39"/>
  <c r="P70" i="39"/>
  <c r="P86" i="39"/>
  <c r="P134" i="39"/>
  <c r="P182" i="39"/>
  <c r="P230" i="39"/>
  <c r="Q46" i="39"/>
  <c r="Q70" i="39"/>
  <c r="Q110" i="39"/>
  <c r="Q142" i="39"/>
  <c r="Q182" i="39"/>
  <c r="Q230" i="39"/>
  <c r="P11" i="39"/>
  <c r="P19" i="39"/>
  <c r="P27" i="39"/>
  <c r="P35" i="39"/>
  <c r="P43" i="39"/>
  <c r="P51" i="39"/>
  <c r="P59" i="39"/>
  <c r="P67" i="39"/>
  <c r="P75" i="39"/>
  <c r="R75" i="39" s="1"/>
  <c r="P83" i="39"/>
  <c r="R83" i="39" s="1"/>
  <c r="P91" i="39"/>
  <c r="P99" i="39"/>
  <c r="P107" i="39"/>
  <c r="P115" i="39"/>
  <c r="P123" i="39"/>
  <c r="P131" i="39"/>
  <c r="P139" i="39"/>
  <c r="P147" i="39"/>
  <c r="P155" i="39"/>
  <c r="P163" i="39"/>
  <c r="P171" i="39"/>
  <c r="P179" i="39"/>
  <c r="P187" i="39"/>
  <c r="P211" i="39"/>
  <c r="Q234" i="39"/>
  <c r="Q189" i="39"/>
  <c r="Q254" i="39"/>
  <c r="P54" i="39"/>
  <c r="P110" i="39"/>
  <c r="P158" i="39"/>
  <c r="P206" i="39"/>
  <c r="Q249" i="39"/>
  <c r="Q30" i="39"/>
  <c r="Q102" i="39"/>
  <c r="Q158" i="39"/>
  <c r="Q222" i="39"/>
  <c r="Q13" i="39"/>
  <c r="Q21" i="39"/>
  <c r="Q29" i="39"/>
  <c r="Q37" i="39"/>
  <c r="Q45" i="39"/>
  <c r="R45" i="39" s="1"/>
  <c r="Q53" i="39"/>
  <c r="Q61" i="39"/>
  <c r="Q69" i="39"/>
  <c r="Q77" i="39"/>
  <c r="Q85" i="39"/>
  <c r="Q93" i="39"/>
  <c r="Q101" i="39"/>
  <c r="R101" i="39" s="1"/>
  <c r="Q109" i="39"/>
  <c r="Q117" i="39"/>
  <c r="Q125" i="39"/>
  <c r="Q133" i="39"/>
  <c r="Q141" i="39"/>
  <c r="Q149" i="39"/>
  <c r="Q157" i="39"/>
  <c r="Q165" i="39"/>
  <c r="Q173" i="39"/>
  <c r="Q213" i="39"/>
  <c r="P30" i="39"/>
  <c r="P62" i="39"/>
  <c r="P78" i="39"/>
  <c r="P118" i="39"/>
  <c r="P166" i="39"/>
  <c r="P214" i="39"/>
  <c r="P255" i="39"/>
  <c r="Q54" i="39"/>
  <c r="Q62" i="39"/>
  <c r="Q86" i="39"/>
  <c r="Q134" i="39"/>
  <c r="Q190" i="39"/>
  <c r="P243" i="39"/>
  <c r="R76" i="39"/>
  <c r="L15" i="2"/>
  <c r="AI14" i="4" s="1"/>
  <c r="AJ14" i="4" s="1"/>
  <c r="A14" i="4"/>
  <c r="B14" i="4"/>
  <c r="AK14" i="4"/>
  <c r="R249" i="39" l="1"/>
  <c r="R90" i="39"/>
  <c r="R211" i="39"/>
  <c r="R122" i="39"/>
  <c r="R80" i="39"/>
  <c r="R117" i="39"/>
  <c r="R66" i="39"/>
  <c r="R59" i="39"/>
  <c r="R49" i="39"/>
  <c r="R72" i="39"/>
  <c r="R84" i="39"/>
  <c r="R121" i="39"/>
  <c r="R247" i="39"/>
  <c r="R112" i="39"/>
  <c r="R63" i="39"/>
  <c r="R166" i="39"/>
  <c r="R158" i="39"/>
  <c r="R197" i="39"/>
  <c r="R129" i="39"/>
  <c r="R100" i="39"/>
  <c r="R68" i="39"/>
  <c r="R57" i="39"/>
  <c r="R191" i="39"/>
  <c r="R102" i="39"/>
  <c r="R67" i="39"/>
  <c r="R113" i="39"/>
  <c r="P258" i="39"/>
  <c r="R88" i="39"/>
  <c r="R71" i="39"/>
  <c r="R93" i="39"/>
  <c r="R61" i="39"/>
  <c r="R29" i="39"/>
  <c r="R163" i="39"/>
  <c r="R109" i="39"/>
  <c r="R118" i="39"/>
  <c r="R35" i="39"/>
  <c r="R155" i="39"/>
  <c r="R139" i="39"/>
  <c r="R62" i="39"/>
  <c r="R210" i="39"/>
  <c r="R176" i="39"/>
  <c r="R172" i="39"/>
  <c r="R232" i="39"/>
  <c r="R91" i="39"/>
  <c r="R115" i="39"/>
  <c r="R48" i="39"/>
  <c r="R82" i="39"/>
  <c r="R133" i="39"/>
  <c r="R43" i="39"/>
  <c r="R160" i="39"/>
  <c r="R104" i="39"/>
  <c r="R98" i="39"/>
  <c r="R141" i="39"/>
  <c r="R10" i="39"/>
  <c r="R40" i="39"/>
  <c r="R12" i="39"/>
  <c r="R136" i="39"/>
  <c r="R248" i="39"/>
  <c r="R77" i="39"/>
  <c r="R196" i="39"/>
  <c r="R107" i="39"/>
  <c r="R195" i="39"/>
  <c r="R28" i="39"/>
  <c r="R116" i="39"/>
  <c r="R143" i="39"/>
  <c r="R65" i="39"/>
  <c r="R157" i="39"/>
  <c r="R36" i="39"/>
  <c r="R21" i="39"/>
  <c r="R27" i="39"/>
  <c r="R99" i="39"/>
  <c r="R236" i="39"/>
  <c r="R230" i="39"/>
  <c r="R246" i="39"/>
  <c r="R220" i="39"/>
  <c r="R227" i="39"/>
  <c r="R237" i="39"/>
  <c r="R142" i="39"/>
  <c r="R238" i="39"/>
  <c r="R119" i="39"/>
  <c r="R125" i="39"/>
  <c r="R124" i="39"/>
  <c r="R38" i="39"/>
  <c r="R97" i="39"/>
  <c r="R25" i="39"/>
  <c r="R120" i="39"/>
  <c r="R239" i="39"/>
  <c r="R127" i="39"/>
  <c r="R201" i="39"/>
  <c r="R170" i="39"/>
  <c r="R206" i="39"/>
  <c r="R243" i="39"/>
  <c r="R154" i="39"/>
  <c r="R167" i="39"/>
  <c r="R161" i="39"/>
  <c r="R9" i="39"/>
  <c r="R253" i="39"/>
  <c r="R222" i="39"/>
  <c r="R159" i="39"/>
  <c r="R34" i="39"/>
  <c r="R20" i="39"/>
  <c r="R174" i="39"/>
  <c r="R240" i="39"/>
  <c r="R16" i="39"/>
  <c r="R234" i="39"/>
  <c r="R217" i="39"/>
  <c r="R54" i="39"/>
  <c r="R53" i="39"/>
  <c r="R103" i="39"/>
  <c r="R81" i="39"/>
  <c r="R226" i="39"/>
  <c r="R51" i="39"/>
  <c r="R87" i="39"/>
  <c r="R185" i="39"/>
  <c r="R186" i="39"/>
  <c r="R130" i="39"/>
  <c r="R11" i="39"/>
  <c r="R173" i="39"/>
  <c r="R198" i="39"/>
  <c r="R175" i="39"/>
  <c r="R52" i="39"/>
  <c r="R42" i="39"/>
  <c r="R188" i="39"/>
  <c r="R169" i="39"/>
  <c r="R180" i="39"/>
  <c r="R199" i="39"/>
  <c r="R44" i="39"/>
  <c r="R89" i="39"/>
  <c r="R32" i="39"/>
  <c r="R46" i="39"/>
  <c r="R156" i="39"/>
  <c r="R47" i="39"/>
  <c r="R64" i="39"/>
  <c r="R95" i="39"/>
  <c r="R254" i="39"/>
  <c r="R182" i="39"/>
  <c r="R137" i="39"/>
  <c r="R13" i="39"/>
  <c r="R85" i="39"/>
  <c r="R15" i="39"/>
  <c r="R106" i="39"/>
  <c r="R147" i="39"/>
  <c r="R179" i="39"/>
  <c r="R56" i="39"/>
  <c r="R183" i="39"/>
  <c r="R165" i="39"/>
  <c r="R132" i="39"/>
  <c r="R78" i="39"/>
  <c r="R26" i="39"/>
  <c r="R55" i="39"/>
  <c r="R214" i="39"/>
  <c r="R207" i="39"/>
  <c r="R203" i="39"/>
  <c r="R145" i="39"/>
  <c r="R110" i="39"/>
  <c r="R250" i="39"/>
  <c r="R17" i="39"/>
  <c r="R69" i="39"/>
  <c r="R41" i="39"/>
  <c r="R152" i="39"/>
  <c r="R14" i="39"/>
  <c r="R164" i="39"/>
  <c r="R22" i="39"/>
  <c r="R216" i="39"/>
  <c r="R245" i="39"/>
  <c r="R181" i="39"/>
  <c r="R70" i="39"/>
  <c r="R33" i="39"/>
  <c r="R194" i="39"/>
  <c r="R162" i="39"/>
  <c r="R242" i="39"/>
  <c r="R241" i="39"/>
  <c r="R60" i="39"/>
  <c r="R94" i="39"/>
  <c r="R144" i="39"/>
  <c r="R168" i="39"/>
  <c r="R252" i="39"/>
  <c r="R235" i="39"/>
  <c r="R213" i="39"/>
  <c r="R189" i="39"/>
  <c r="R150" i="39"/>
  <c r="R58" i="39"/>
  <c r="R138" i="39"/>
  <c r="R111" i="39"/>
  <c r="R151" i="39"/>
  <c r="R79" i="39"/>
  <c r="R50" i="39"/>
  <c r="R73" i="39"/>
  <c r="R153" i="39"/>
  <c r="R37" i="39"/>
  <c r="R225" i="39"/>
  <c r="R200" i="39"/>
  <c r="R105" i="39"/>
  <c r="R256" i="39"/>
  <c r="R212" i="39"/>
  <c r="R221" i="39"/>
  <c r="R187" i="39"/>
  <c r="R177" i="39"/>
  <c r="R193" i="39"/>
  <c r="R190" i="39"/>
  <c r="R123" i="39"/>
  <c r="R135" i="39"/>
  <c r="R231" i="39"/>
  <c r="R202" i="39"/>
  <c r="R149" i="39"/>
  <c r="R209" i="39"/>
  <c r="R19" i="39"/>
  <c r="R223" i="39"/>
  <c r="R192" i="39"/>
  <c r="R219" i="39"/>
  <c r="R215" i="39"/>
  <c r="R184" i="39"/>
  <c r="R251" i="39"/>
  <c r="R131" i="39"/>
  <c r="R24" i="39"/>
  <c r="R31" i="39"/>
  <c r="R208" i="39"/>
  <c r="R178" i="39"/>
  <c r="R140" i="39"/>
  <c r="R233" i="39"/>
  <c r="R255" i="39"/>
  <c r="R229" i="39"/>
  <c r="R204" i="39"/>
  <c r="R205" i="39"/>
  <c r="R228" i="39"/>
  <c r="R148" i="39"/>
  <c r="R146" i="39"/>
  <c r="R18" i="39"/>
  <c r="R39" i="39"/>
  <c r="R74" i="39"/>
  <c r="R86" i="39"/>
  <c r="R108" i="39"/>
  <c r="R114" i="39"/>
  <c r="R218" i="39"/>
  <c r="R30" i="39"/>
  <c r="R244" i="39"/>
  <c r="R257" i="39"/>
  <c r="R128" i="39"/>
  <c r="R224" i="39"/>
  <c r="R134" i="39"/>
  <c r="R171" i="39"/>
  <c r="R126" i="39"/>
  <c r="G36" i="30" l="1"/>
  <c r="L14" i="2" l="1"/>
  <c r="B257" i="4"/>
  <c r="A257" i="4"/>
  <c r="B256" i="4"/>
  <c r="A256" i="4"/>
  <c r="B255" i="4"/>
  <c r="A255" i="4"/>
  <c r="B254" i="4"/>
  <c r="A254" i="4"/>
  <c r="B253" i="4"/>
  <c r="A253" i="4"/>
  <c r="B252" i="4"/>
  <c r="A252" i="4"/>
  <c r="B251" i="4"/>
  <c r="A251" i="4"/>
  <c r="B250" i="4"/>
  <c r="A250" i="4"/>
  <c r="B249" i="4"/>
  <c r="A249" i="4"/>
  <c r="B248" i="4"/>
  <c r="A248" i="4"/>
  <c r="B247" i="4"/>
  <c r="A247" i="4"/>
  <c r="B246" i="4"/>
  <c r="A246" i="4"/>
  <c r="B245" i="4"/>
  <c r="A245" i="4"/>
  <c r="B244" i="4"/>
  <c r="A244" i="4"/>
  <c r="B243" i="4"/>
  <c r="A243" i="4"/>
  <c r="B242" i="4"/>
  <c r="A242" i="4"/>
  <c r="B241" i="4"/>
  <c r="A241" i="4"/>
  <c r="B240" i="4"/>
  <c r="A240" i="4"/>
  <c r="B239" i="4"/>
  <c r="A239" i="4"/>
  <c r="B238" i="4"/>
  <c r="A238" i="4"/>
  <c r="B237" i="4"/>
  <c r="A237" i="4"/>
  <c r="B236" i="4"/>
  <c r="A236" i="4"/>
  <c r="B235" i="4"/>
  <c r="A235" i="4"/>
  <c r="B234" i="4"/>
  <c r="A234" i="4"/>
  <c r="B233" i="4"/>
  <c r="A233" i="4"/>
  <c r="B232" i="4"/>
  <c r="A232" i="4"/>
  <c r="B231" i="4"/>
  <c r="A231" i="4"/>
  <c r="B230" i="4"/>
  <c r="A230" i="4"/>
  <c r="B229" i="4"/>
  <c r="A229" i="4"/>
  <c r="B228" i="4"/>
  <c r="A228" i="4"/>
  <c r="B227" i="4"/>
  <c r="A227" i="4"/>
  <c r="B226" i="4"/>
  <c r="A226" i="4"/>
  <c r="B225" i="4"/>
  <c r="A225" i="4"/>
  <c r="B224" i="4"/>
  <c r="A224" i="4"/>
  <c r="B223" i="4"/>
  <c r="A223" i="4"/>
  <c r="B222" i="4"/>
  <c r="A222" i="4"/>
  <c r="B221" i="4"/>
  <c r="A221" i="4"/>
  <c r="B220" i="4"/>
  <c r="A220" i="4"/>
  <c r="B219" i="4"/>
  <c r="A219" i="4"/>
  <c r="B218" i="4"/>
  <c r="A218" i="4"/>
  <c r="B217" i="4"/>
  <c r="A217" i="4"/>
  <c r="B216" i="4"/>
  <c r="A216" i="4"/>
  <c r="B215" i="4"/>
  <c r="A215" i="4"/>
  <c r="B214" i="4"/>
  <c r="A214" i="4"/>
  <c r="B213" i="4"/>
  <c r="A213" i="4"/>
  <c r="B212" i="4"/>
  <c r="A212" i="4"/>
  <c r="B211" i="4"/>
  <c r="A211" i="4"/>
  <c r="B210" i="4"/>
  <c r="A210" i="4"/>
  <c r="B209" i="4"/>
  <c r="A209" i="4"/>
  <c r="B208" i="4"/>
  <c r="A208" i="4"/>
  <c r="B207" i="4"/>
  <c r="A207" i="4"/>
  <c r="B206" i="4"/>
  <c r="A206" i="4"/>
  <c r="B205" i="4"/>
  <c r="A205" i="4"/>
  <c r="B204" i="4"/>
  <c r="A204" i="4"/>
  <c r="B203" i="4"/>
  <c r="A203" i="4"/>
  <c r="B202" i="4"/>
  <c r="A202" i="4"/>
  <c r="B201" i="4"/>
  <c r="A201" i="4"/>
  <c r="B200" i="4"/>
  <c r="A200" i="4"/>
  <c r="B199" i="4"/>
  <c r="A199" i="4"/>
  <c r="B198" i="4"/>
  <c r="A198" i="4"/>
  <c r="B197" i="4"/>
  <c r="A197" i="4"/>
  <c r="B196" i="4"/>
  <c r="A196" i="4"/>
  <c r="B195" i="4"/>
  <c r="A195" i="4"/>
  <c r="B194" i="4"/>
  <c r="A194" i="4"/>
  <c r="B193" i="4"/>
  <c r="A193" i="4"/>
  <c r="B192" i="4"/>
  <c r="A192" i="4"/>
  <c r="B191" i="4"/>
  <c r="A191" i="4"/>
  <c r="B190" i="4"/>
  <c r="A190" i="4"/>
  <c r="B189" i="4"/>
  <c r="A189" i="4"/>
  <c r="B188" i="4"/>
  <c r="A188" i="4"/>
  <c r="B187" i="4"/>
  <c r="A187" i="4"/>
  <c r="B186" i="4"/>
  <c r="A186" i="4"/>
  <c r="B185" i="4"/>
  <c r="A185" i="4"/>
  <c r="B184" i="4"/>
  <c r="A184" i="4"/>
  <c r="B183" i="4"/>
  <c r="A183" i="4"/>
  <c r="B182" i="4"/>
  <c r="A182" i="4"/>
  <c r="B181" i="4"/>
  <c r="A181" i="4"/>
  <c r="B180" i="4"/>
  <c r="A180" i="4"/>
  <c r="B179" i="4"/>
  <c r="A179" i="4"/>
  <c r="B178" i="4"/>
  <c r="A178" i="4"/>
  <c r="B177" i="4"/>
  <c r="A177" i="4"/>
  <c r="B176" i="4"/>
  <c r="A176" i="4"/>
  <c r="B175" i="4"/>
  <c r="A175" i="4"/>
  <c r="B174" i="4"/>
  <c r="A174" i="4"/>
  <c r="B173" i="4"/>
  <c r="A173" i="4"/>
  <c r="B172" i="4"/>
  <c r="A172" i="4"/>
  <c r="B171" i="4"/>
  <c r="A171" i="4"/>
  <c r="B170" i="4"/>
  <c r="A170" i="4"/>
  <c r="B169" i="4"/>
  <c r="A169" i="4"/>
  <c r="B168" i="4"/>
  <c r="A168" i="4"/>
  <c r="B167" i="4"/>
  <c r="A167" i="4"/>
  <c r="B166" i="4"/>
  <c r="A166" i="4"/>
  <c r="B165" i="4"/>
  <c r="A165" i="4"/>
  <c r="B164" i="4"/>
  <c r="A164" i="4"/>
  <c r="B163" i="4"/>
  <c r="A163" i="4"/>
  <c r="B162" i="4"/>
  <c r="A162" i="4"/>
  <c r="B161" i="4"/>
  <c r="A161" i="4"/>
  <c r="B160" i="4"/>
  <c r="A160" i="4"/>
  <c r="B159" i="4"/>
  <c r="A159" i="4"/>
  <c r="B158" i="4"/>
  <c r="A158" i="4"/>
  <c r="B157" i="4"/>
  <c r="A157" i="4"/>
  <c r="B156" i="4"/>
  <c r="A156" i="4"/>
  <c r="B155" i="4"/>
  <c r="A155" i="4"/>
  <c r="B154" i="4"/>
  <c r="A154" i="4"/>
  <c r="B153" i="4"/>
  <c r="A153" i="4"/>
  <c r="B152" i="4"/>
  <c r="A152" i="4"/>
  <c r="B151" i="4"/>
  <c r="A151" i="4"/>
  <c r="B150" i="4"/>
  <c r="A150" i="4"/>
  <c r="B149" i="4"/>
  <c r="A149" i="4"/>
  <c r="B148" i="4"/>
  <c r="A148" i="4"/>
  <c r="B147" i="4"/>
  <c r="A147" i="4"/>
  <c r="B146" i="4"/>
  <c r="A146" i="4"/>
  <c r="B145" i="4"/>
  <c r="A145" i="4"/>
  <c r="B144" i="4"/>
  <c r="A144" i="4"/>
  <c r="B143" i="4"/>
  <c r="A143" i="4"/>
  <c r="B142" i="4"/>
  <c r="A142" i="4"/>
  <c r="B141" i="4"/>
  <c r="A141" i="4"/>
  <c r="B140" i="4"/>
  <c r="A140" i="4"/>
  <c r="B139" i="4"/>
  <c r="A139" i="4"/>
  <c r="B138" i="4"/>
  <c r="A138" i="4"/>
  <c r="B137" i="4"/>
  <c r="A137" i="4"/>
  <c r="B136" i="4"/>
  <c r="A136" i="4"/>
  <c r="B135" i="4"/>
  <c r="A135" i="4"/>
  <c r="B134" i="4"/>
  <c r="A134" i="4"/>
  <c r="B133" i="4"/>
  <c r="A133" i="4"/>
  <c r="B132" i="4"/>
  <c r="A132" i="4"/>
  <c r="B131" i="4"/>
  <c r="A131" i="4"/>
  <c r="B130" i="4"/>
  <c r="A130" i="4"/>
  <c r="B129" i="4"/>
  <c r="A129" i="4"/>
  <c r="B128" i="4"/>
  <c r="A128" i="4"/>
  <c r="B127" i="4"/>
  <c r="A127" i="4"/>
  <c r="B126" i="4"/>
  <c r="A126" i="4"/>
  <c r="B125" i="4"/>
  <c r="A125" i="4"/>
  <c r="B124" i="4"/>
  <c r="A124" i="4"/>
  <c r="B123" i="4"/>
  <c r="A123" i="4"/>
  <c r="B122" i="4"/>
  <c r="A122" i="4"/>
  <c r="B121" i="4"/>
  <c r="A121" i="4"/>
  <c r="B120" i="4"/>
  <c r="A120" i="4"/>
  <c r="B119" i="4"/>
  <c r="A119" i="4"/>
  <c r="B118" i="4"/>
  <c r="A118" i="4"/>
  <c r="B117" i="4"/>
  <c r="A117" i="4"/>
  <c r="B116" i="4"/>
  <c r="A116" i="4"/>
  <c r="B115" i="4"/>
  <c r="A115" i="4"/>
  <c r="B114" i="4"/>
  <c r="A114" i="4"/>
  <c r="B113" i="4"/>
  <c r="A113" i="4"/>
  <c r="B112" i="4"/>
  <c r="A112" i="4"/>
  <c r="B111" i="4"/>
  <c r="A111" i="4"/>
  <c r="B110" i="4"/>
  <c r="A110" i="4"/>
  <c r="B109" i="4"/>
  <c r="A109" i="4"/>
  <c r="B108" i="4"/>
  <c r="A108" i="4"/>
  <c r="B107" i="4"/>
  <c r="A107" i="4"/>
  <c r="B106" i="4"/>
  <c r="A106" i="4"/>
  <c r="B105" i="4"/>
  <c r="A105" i="4"/>
  <c r="B104" i="4"/>
  <c r="A104" i="4"/>
  <c r="B103" i="4"/>
  <c r="A103" i="4"/>
  <c r="B102" i="4"/>
  <c r="A102" i="4"/>
  <c r="B101" i="4"/>
  <c r="A101" i="4"/>
  <c r="B100" i="4"/>
  <c r="A100" i="4"/>
  <c r="B99" i="4"/>
  <c r="A99" i="4"/>
  <c r="B98" i="4"/>
  <c r="A98" i="4"/>
  <c r="B97" i="4"/>
  <c r="A97" i="4"/>
  <c r="B96" i="4"/>
  <c r="A96" i="4"/>
  <c r="B95" i="4"/>
  <c r="A95" i="4"/>
  <c r="B94" i="4"/>
  <c r="A94" i="4"/>
  <c r="B93" i="4"/>
  <c r="A93" i="4"/>
  <c r="B92" i="4"/>
  <c r="A92" i="4"/>
  <c r="B91" i="4"/>
  <c r="A91" i="4"/>
  <c r="B90" i="4"/>
  <c r="A90" i="4"/>
  <c r="B89" i="4"/>
  <c r="A89" i="4"/>
  <c r="B88" i="4"/>
  <c r="A88" i="4"/>
  <c r="B87" i="4"/>
  <c r="A87" i="4"/>
  <c r="B86" i="4"/>
  <c r="A86" i="4"/>
  <c r="B85" i="4"/>
  <c r="A85" i="4"/>
  <c r="B84" i="4"/>
  <c r="A84" i="4"/>
  <c r="B83" i="4"/>
  <c r="A83" i="4"/>
  <c r="B82" i="4"/>
  <c r="A82" i="4"/>
  <c r="B81" i="4"/>
  <c r="A81" i="4"/>
  <c r="B80" i="4"/>
  <c r="A80" i="4"/>
  <c r="B79" i="4"/>
  <c r="A79" i="4"/>
  <c r="B78" i="4"/>
  <c r="A78" i="4"/>
  <c r="B77" i="4"/>
  <c r="A77" i="4"/>
  <c r="B76" i="4"/>
  <c r="A76" i="4"/>
  <c r="B75" i="4"/>
  <c r="A75" i="4"/>
  <c r="B74" i="4"/>
  <c r="A74" i="4"/>
  <c r="B73" i="4"/>
  <c r="A73" i="4"/>
  <c r="B72" i="4"/>
  <c r="A72" i="4"/>
  <c r="B71" i="4"/>
  <c r="A71" i="4"/>
  <c r="B70" i="4"/>
  <c r="A70" i="4"/>
  <c r="B69" i="4"/>
  <c r="A69" i="4"/>
  <c r="B68" i="4"/>
  <c r="A68" i="4"/>
  <c r="B67" i="4"/>
  <c r="A67" i="4"/>
  <c r="B66" i="4"/>
  <c r="A66" i="4"/>
  <c r="B65" i="4"/>
  <c r="A65" i="4"/>
  <c r="B64" i="4"/>
  <c r="A64" i="4"/>
  <c r="B63" i="4"/>
  <c r="A63" i="4"/>
  <c r="B62" i="4"/>
  <c r="A62" i="4"/>
  <c r="B61" i="4"/>
  <c r="A61" i="4"/>
  <c r="B60" i="4"/>
  <c r="A60" i="4"/>
  <c r="B59" i="4"/>
  <c r="A59" i="4"/>
  <c r="B58" i="4"/>
  <c r="A58" i="4"/>
  <c r="B57" i="4"/>
  <c r="A57" i="4"/>
  <c r="B56" i="4"/>
  <c r="A56" i="4"/>
  <c r="B55" i="4"/>
  <c r="A55" i="4"/>
  <c r="B54" i="4"/>
  <c r="A54" i="4"/>
  <c r="B53" i="4"/>
  <c r="A53" i="4"/>
  <c r="B52" i="4"/>
  <c r="A52" i="4"/>
  <c r="B51" i="4"/>
  <c r="A51" i="4"/>
  <c r="B50" i="4"/>
  <c r="A50" i="4"/>
  <c r="B49" i="4"/>
  <c r="A49" i="4"/>
  <c r="B48" i="4"/>
  <c r="A48" i="4"/>
  <c r="B47" i="4"/>
  <c r="A47" i="4"/>
  <c r="B46" i="4"/>
  <c r="A46" i="4"/>
  <c r="B45" i="4"/>
  <c r="A45" i="4"/>
  <c r="B44" i="4"/>
  <c r="A44" i="4"/>
  <c r="B43" i="4"/>
  <c r="A43" i="4"/>
  <c r="B42" i="4"/>
  <c r="A42" i="4"/>
  <c r="B41" i="4"/>
  <c r="A41" i="4"/>
  <c r="B40" i="4"/>
  <c r="A40" i="4"/>
  <c r="B39" i="4"/>
  <c r="A39" i="4"/>
  <c r="B38" i="4"/>
  <c r="A38" i="4"/>
  <c r="B37" i="4"/>
  <c r="A37" i="4"/>
  <c r="B36" i="4"/>
  <c r="A36" i="4"/>
  <c r="B35" i="4"/>
  <c r="A35" i="4"/>
  <c r="B34" i="4"/>
  <c r="A34" i="4"/>
  <c r="B33" i="4"/>
  <c r="A33" i="4"/>
  <c r="B32" i="4"/>
  <c r="A32" i="4"/>
  <c r="B31" i="4"/>
  <c r="A31" i="4"/>
  <c r="B30" i="4"/>
  <c r="A30" i="4"/>
  <c r="B29" i="4"/>
  <c r="A29" i="4"/>
  <c r="B28" i="4"/>
  <c r="A28" i="4"/>
  <c r="B27" i="4"/>
  <c r="A27" i="4"/>
  <c r="B26" i="4"/>
  <c r="A26" i="4"/>
  <c r="B25" i="4"/>
  <c r="A25" i="4"/>
  <c r="B24" i="4"/>
  <c r="A24" i="4"/>
  <c r="B23" i="4"/>
  <c r="A23" i="4"/>
  <c r="B22" i="4"/>
  <c r="A22" i="4"/>
  <c r="B21" i="4"/>
  <c r="A21" i="4"/>
  <c r="B20" i="4"/>
  <c r="A20" i="4"/>
  <c r="B19" i="4"/>
  <c r="A19" i="4"/>
  <c r="B18" i="4"/>
  <c r="A18" i="4"/>
  <c r="B17" i="4"/>
  <c r="A17" i="4"/>
  <c r="B16" i="4"/>
  <c r="A16" i="4"/>
  <c r="B15" i="4"/>
  <c r="A15" i="4"/>
  <c r="AI13" i="4"/>
  <c r="B13" i="4"/>
  <c r="A13" i="4"/>
  <c r="B12" i="4"/>
  <c r="A12" i="4"/>
  <c r="B11" i="4"/>
  <c r="A11" i="4"/>
  <c r="B10" i="4"/>
  <c r="A10" i="4"/>
  <c r="B9" i="4"/>
  <c r="A9" i="4"/>
  <c r="B8" i="4"/>
  <c r="A8" i="4"/>
  <c r="AI7" i="4"/>
  <c r="B7" i="4"/>
  <c r="AA257" i="4" l="1"/>
  <c r="AH257" i="4" s="1"/>
  <c r="Z257" i="4"/>
  <c r="AA256" i="4"/>
  <c r="AH256" i="4" s="1"/>
  <c r="Z256" i="4"/>
  <c r="AA255" i="4"/>
  <c r="AH255" i="4" s="1"/>
  <c r="Z255" i="4"/>
  <c r="AA254" i="4"/>
  <c r="AH254" i="4" s="1"/>
  <c r="Z254" i="4"/>
  <c r="AA253" i="4"/>
  <c r="AH253" i="4" s="1"/>
  <c r="Z253" i="4"/>
  <c r="AA252" i="4"/>
  <c r="AH252" i="4" s="1"/>
  <c r="Z252" i="4"/>
  <c r="AA251" i="4"/>
  <c r="AH251" i="4" s="1"/>
  <c r="Z251" i="4"/>
  <c r="AA250" i="4"/>
  <c r="AH250" i="4" s="1"/>
  <c r="Z250" i="4"/>
  <c r="AA249" i="4"/>
  <c r="AH249" i="4" s="1"/>
  <c r="Z249" i="4"/>
  <c r="AA248" i="4"/>
  <c r="AH248" i="4" s="1"/>
  <c r="Z248" i="4"/>
  <c r="AA247" i="4"/>
  <c r="AH247" i="4" s="1"/>
  <c r="Z247" i="4"/>
  <c r="AA246" i="4"/>
  <c r="AH246" i="4" s="1"/>
  <c r="Z246" i="4"/>
  <c r="AA245" i="4"/>
  <c r="AH245" i="4" s="1"/>
  <c r="Z245" i="4"/>
  <c r="AA244" i="4"/>
  <c r="AH244" i="4" s="1"/>
  <c r="Z244" i="4"/>
  <c r="AA243" i="4"/>
  <c r="AH243" i="4" s="1"/>
  <c r="Z243" i="4"/>
  <c r="AA242" i="4"/>
  <c r="AH242" i="4" s="1"/>
  <c r="Z242" i="4"/>
  <c r="AA241" i="4"/>
  <c r="AH241" i="4" s="1"/>
  <c r="Z241" i="4"/>
  <c r="AA240" i="4"/>
  <c r="AH240" i="4" s="1"/>
  <c r="Z240" i="4"/>
  <c r="AA239" i="4"/>
  <c r="AH239" i="4" s="1"/>
  <c r="Z239" i="4"/>
  <c r="AA238" i="4"/>
  <c r="AH238" i="4" s="1"/>
  <c r="Z238" i="4"/>
  <c r="AA237" i="4"/>
  <c r="AH237" i="4" s="1"/>
  <c r="Z237" i="4"/>
  <c r="AA236" i="4"/>
  <c r="AH236" i="4" s="1"/>
  <c r="Z236" i="4"/>
  <c r="AA235" i="4"/>
  <c r="AH235" i="4" s="1"/>
  <c r="Z235" i="4"/>
  <c r="AA234" i="4"/>
  <c r="AH234" i="4" s="1"/>
  <c r="Z234" i="4"/>
  <c r="AA233" i="4"/>
  <c r="AH233" i="4" s="1"/>
  <c r="Z233" i="4"/>
  <c r="AA232" i="4"/>
  <c r="AH232" i="4" s="1"/>
  <c r="Z232" i="4"/>
  <c r="AA231" i="4"/>
  <c r="AH231" i="4" s="1"/>
  <c r="Z231" i="4"/>
  <c r="AA230" i="4"/>
  <c r="AH230" i="4" s="1"/>
  <c r="Z230" i="4"/>
  <c r="AA229" i="4"/>
  <c r="AH229" i="4" s="1"/>
  <c r="Z229" i="4"/>
  <c r="AA228" i="4"/>
  <c r="AH228" i="4" s="1"/>
  <c r="Z228" i="4"/>
  <c r="AA227" i="4"/>
  <c r="AH227" i="4" s="1"/>
  <c r="Z227" i="4"/>
  <c r="AA226" i="4"/>
  <c r="AH226" i="4" s="1"/>
  <c r="Z226" i="4"/>
  <c r="AA225" i="4"/>
  <c r="AH225" i="4" s="1"/>
  <c r="Z225" i="4"/>
  <c r="AA224" i="4"/>
  <c r="AH224" i="4" s="1"/>
  <c r="Z224" i="4"/>
  <c r="AA223" i="4"/>
  <c r="AH223" i="4" s="1"/>
  <c r="Z223" i="4"/>
  <c r="AA222" i="4"/>
  <c r="AH222" i="4" s="1"/>
  <c r="Z222" i="4"/>
  <c r="AA221" i="4"/>
  <c r="AH221" i="4" s="1"/>
  <c r="Z221" i="4"/>
  <c r="AA220" i="4"/>
  <c r="AH220" i="4" s="1"/>
  <c r="Z220" i="4"/>
  <c r="AA219" i="4"/>
  <c r="AH219" i="4" s="1"/>
  <c r="Z219" i="4"/>
  <c r="AA218" i="4"/>
  <c r="AH218" i="4" s="1"/>
  <c r="Z218" i="4"/>
  <c r="AA217" i="4"/>
  <c r="AH217" i="4" s="1"/>
  <c r="Z217" i="4"/>
  <c r="AA216" i="4"/>
  <c r="AH216" i="4" s="1"/>
  <c r="Z216" i="4"/>
  <c r="AA215" i="4"/>
  <c r="AH215" i="4" s="1"/>
  <c r="Z215" i="4"/>
  <c r="AA214" i="4"/>
  <c r="AH214" i="4" s="1"/>
  <c r="Z214" i="4"/>
  <c r="AA213" i="4"/>
  <c r="AH213" i="4" s="1"/>
  <c r="Z213" i="4"/>
  <c r="AA212" i="4"/>
  <c r="AH212" i="4" s="1"/>
  <c r="Z212" i="4"/>
  <c r="AA211" i="4"/>
  <c r="AH211" i="4" s="1"/>
  <c r="Z211" i="4"/>
  <c r="AA210" i="4"/>
  <c r="AH210" i="4" s="1"/>
  <c r="Z210" i="4"/>
  <c r="AA209" i="4"/>
  <c r="AH209" i="4" s="1"/>
  <c r="Z209" i="4"/>
  <c r="AA208" i="4"/>
  <c r="AH208" i="4" s="1"/>
  <c r="Z208" i="4"/>
  <c r="AA207" i="4"/>
  <c r="AH207" i="4" s="1"/>
  <c r="Z207" i="4"/>
  <c r="AA206" i="4"/>
  <c r="AH206" i="4" s="1"/>
  <c r="Z206" i="4"/>
  <c r="AA205" i="4"/>
  <c r="AH205" i="4" s="1"/>
  <c r="Z205" i="4"/>
  <c r="AA204" i="4"/>
  <c r="AH204" i="4" s="1"/>
  <c r="Z204" i="4"/>
  <c r="AA203" i="4"/>
  <c r="AH203" i="4" s="1"/>
  <c r="Z203" i="4"/>
  <c r="AA202" i="4"/>
  <c r="AH202" i="4" s="1"/>
  <c r="Z202" i="4"/>
  <c r="AA201" i="4"/>
  <c r="AH201" i="4" s="1"/>
  <c r="Z201" i="4"/>
  <c r="AA200" i="4"/>
  <c r="AH200" i="4" s="1"/>
  <c r="Z200" i="4"/>
  <c r="AA199" i="4"/>
  <c r="AH199" i="4" s="1"/>
  <c r="Z199" i="4"/>
  <c r="AA198" i="4"/>
  <c r="AH198" i="4" s="1"/>
  <c r="Z198" i="4"/>
  <c r="AA197" i="4"/>
  <c r="AH197" i="4" s="1"/>
  <c r="Z197" i="4"/>
  <c r="AA196" i="4"/>
  <c r="AH196" i="4" s="1"/>
  <c r="Z196" i="4"/>
  <c r="AA195" i="4"/>
  <c r="AH195" i="4" s="1"/>
  <c r="Z195" i="4"/>
  <c r="AA194" i="4"/>
  <c r="AH194" i="4" s="1"/>
  <c r="Z194" i="4"/>
  <c r="AA193" i="4"/>
  <c r="AH193" i="4" s="1"/>
  <c r="Z193" i="4"/>
  <c r="AA192" i="4"/>
  <c r="AH192" i="4" s="1"/>
  <c r="Z192" i="4"/>
  <c r="AA191" i="4"/>
  <c r="AH191" i="4" s="1"/>
  <c r="Z191" i="4"/>
  <c r="AA190" i="4"/>
  <c r="AH190" i="4" s="1"/>
  <c r="Z190" i="4"/>
  <c r="AA189" i="4"/>
  <c r="AH189" i="4" s="1"/>
  <c r="Z189" i="4"/>
  <c r="AA188" i="4"/>
  <c r="AH188" i="4" s="1"/>
  <c r="Z188" i="4"/>
  <c r="AA187" i="4"/>
  <c r="AH187" i="4" s="1"/>
  <c r="Z187" i="4"/>
  <c r="AA186" i="4"/>
  <c r="AH186" i="4" s="1"/>
  <c r="Z186" i="4"/>
  <c r="AA185" i="4"/>
  <c r="AH185" i="4" s="1"/>
  <c r="Z185" i="4"/>
  <c r="AA184" i="4"/>
  <c r="AH184" i="4" s="1"/>
  <c r="Z184" i="4"/>
  <c r="AA183" i="4"/>
  <c r="AH183" i="4" s="1"/>
  <c r="Z183" i="4"/>
  <c r="AA182" i="4"/>
  <c r="AH182" i="4" s="1"/>
  <c r="Z182" i="4"/>
  <c r="AA181" i="4"/>
  <c r="AH181" i="4" s="1"/>
  <c r="Z181" i="4"/>
  <c r="AA180" i="4"/>
  <c r="AH180" i="4" s="1"/>
  <c r="Z180" i="4"/>
  <c r="AA179" i="4"/>
  <c r="AH179" i="4" s="1"/>
  <c r="Z179" i="4"/>
  <c r="AA178" i="4"/>
  <c r="AH178" i="4" s="1"/>
  <c r="Z178" i="4"/>
  <c r="AA177" i="4"/>
  <c r="AH177" i="4" s="1"/>
  <c r="Z177" i="4"/>
  <c r="AA176" i="4"/>
  <c r="AH176" i="4" s="1"/>
  <c r="Z176" i="4"/>
  <c r="AA175" i="4"/>
  <c r="AH175" i="4" s="1"/>
  <c r="Z175" i="4"/>
  <c r="AA174" i="4"/>
  <c r="AH174" i="4" s="1"/>
  <c r="Z174" i="4"/>
  <c r="AA173" i="4"/>
  <c r="AH173" i="4" s="1"/>
  <c r="Z173" i="4"/>
  <c r="AA172" i="4"/>
  <c r="AH172" i="4" s="1"/>
  <c r="Z172" i="4"/>
  <c r="AA171" i="4"/>
  <c r="AH171" i="4" s="1"/>
  <c r="Z171" i="4"/>
  <c r="AA170" i="4"/>
  <c r="AH170" i="4" s="1"/>
  <c r="Z170" i="4"/>
  <c r="AA169" i="4"/>
  <c r="AH169" i="4" s="1"/>
  <c r="Z169" i="4"/>
  <c r="AA168" i="4"/>
  <c r="AH168" i="4" s="1"/>
  <c r="Z168" i="4"/>
  <c r="AA167" i="4"/>
  <c r="AH167" i="4" s="1"/>
  <c r="Z167" i="4"/>
  <c r="AA166" i="4"/>
  <c r="AH166" i="4" s="1"/>
  <c r="Z166" i="4"/>
  <c r="AA165" i="4"/>
  <c r="AH165" i="4" s="1"/>
  <c r="Z165" i="4"/>
  <c r="AA164" i="4"/>
  <c r="AH164" i="4" s="1"/>
  <c r="Z164" i="4"/>
  <c r="AA163" i="4"/>
  <c r="AH163" i="4" s="1"/>
  <c r="Z163" i="4"/>
  <c r="AA162" i="4"/>
  <c r="AH162" i="4" s="1"/>
  <c r="Z162" i="4"/>
  <c r="AA161" i="4"/>
  <c r="AH161" i="4" s="1"/>
  <c r="Z161" i="4"/>
  <c r="AA160" i="4"/>
  <c r="AH160" i="4" s="1"/>
  <c r="Z160" i="4"/>
  <c r="AA159" i="4"/>
  <c r="AH159" i="4" s="1"/>
  <c r="Z159" i="4"/>
  <c r="AA158" i="4"/>
  <c r="AH158" i="4" s="1"/>
  <c r="Z158" i="4"/>
  <c r="AA157" i="4"/>
  <c r="AH157" i="4" s="1"/>
  <c r="Z157" i="4"/>
  <c r="AA156" i="4"/>
  <c r="AH156" i="4" s="1"/>
  <c r="Z156" i="4"/>
  <c r="AA155" i="4"/>
  <c r="AH155" i="4" s="1"/>
  <c r="Z155" i="4"/>
  <c r="AA154" i="4"/>
  <c r="AH154" i="4" s="1"/>
  <c r="Z154" i="4"/>
  <c r="AA153" i="4"/>
  <c r="AH153" i="4" s="1"/>
  <c r="Z153" i="4"/>
  <c r="AA152" i="4"/>
  <c r="AH152" i="4" s="1"/>
  <c r="Z152" i="4"/>
  <c r="AA151" i="4"/>
  <c r="AH151" i="4" s="1"/>
  <c r="Z151" i="4"/>
  <c r="AA150" i="4"/>
  <c r="AH150" i="4" s="1"/>
  <c r="Z150" i="4"/>
  <c r="AA149" i="4"/>
  <c r="AH149" i="4" s="1"/>
  <c r="Z149" i="4"/>
  <c r="AA148" i="4"/>
  <c r="AH148" i="4" s="1"/>
  <c r="Z148" i="4"/>
  <c r="AA147" i="4"/>
  <c r="AH147" i="4" s="1"/>
  <c r="Z147" i="4"/>
  <c r="AA146" i="4"/>
  <c r="AH146" i="4" s="1"/>
  <c r="Z146" i="4"/>
  <c r="AA145" i="4"/>
  <c r="AH145" i="4" s="1"/>
  <c r="Z145" i="4"/>
  <c r="AA144" i="4"/>
  <c r="AH144" i="4" s="1"/>
  <c r="Z144" i="4"/>
  <c r="AA143" i="4"/>
  <c r="AH143" i="4" s="1"/>
  <c r="Z143" i="4"/>
  <c r="AA142" i="4"/>
  <c r="AH142" i="4" s="1"/>
  <c r="Z142" i="4"/>
  <c r="AA141" i="4"/>
  <c r="AH141" i="4" s="1"/>
  <c r="Z141" i="4"/>
  <c r="AA140" i="4"/>
  <c r="AH140" i="4" s="1"/>
  <c r="Z140" i="4"/>
  <c r="AA139" i="4"/>
  <c r="AH139" i="4" s="1"/>
  <c r="Z139" i="4"/>
  <c r="AA138" i="4"/>
  <c r="AH138" i="4" s="1"/>
  <c r="Z138" i="4"/>
  <c r="AA137" i="4"/>
  <c r="AH137" i="4" s="1"/>
  <c r="Z137" i="4"/>
  <c r="AA136" i="4"/>
  <c r="AH136" i="4" s="1"/>
  <c r="Z136" i="4"/>
  <c r="AA135" i="4"/>
  <c r="AH135" i="4" s="1"/>
  <c r="Z135" i="4"/>
  <c r="AA134" i="4"/>
  <c r="AH134" i="4" s="1"/>
  <c r="Z134" i="4"/>
  <c r="AA133" i="4"/>
  <c r="AH133" i="4" s="1"/>
  <c r="Z133" i="4"/>
  <c r="AA132" i="4"/>
  <c r="AH132" i="4" s="1"/>
  <c r="Z132" i="4"/>
  <c r="AA131" i="4"/>
  <c r="AH131" i="4" s="1"/>
  <c r="Z131" i="4"/>
  <c r="AA130" i="4"/>
  <c r="AH130" i="4" s="1"/>
  <c r="Z130" i="4"/>
  <c r="AA129" i="4"/>
  <c r="AH129" i="4" s="1"/>
  <c r="Z129" i="4"/>
  <c r="AA128" i="4"/>
  <c r="AH128" i="4" s="1"/>
  <c r="Z128" i="4"/>
  <c r="AA127" i="4"/>
  <c r="AH127" i="4" s="1"/>
  <c r="Z127" i="4"/>
  <c r="AA126" i="4"/>
  <c r="AH126" i="4" s="1"/>
  <c r="Z126" i="4"/>
  <c r="AA125" i="4"/>
  <c r="AH125" i="4" s="1"/>
  <c r="Z125" i="4"/>
  <c r="AA124" i="4"/>
  <c r="AH124" i="4" s="1"/>
  <c r="Z124" i="4"/>
  <c r="AA123" i="4"/>
  <c r="AH123" i="4" s="1"/>
  <c r="Z123" i="4"/>
  <c r="AA122" i="4"/>
  <c r="AH122" i="4" s="1"/>
  <c r="Z122" i="4"/>
  <c r="AA121" i="4"/>
  <c r="AH121" i="4" s="1"/>
  <c r="Z121" i="4"/>
  <c r="AA120" i="4"/>
  <c r="AH120" i="4" s="1"/>
  <c r="Z120" i="4"/>
  <c r="AA119" i="4"/>
  <c r="AH119" i="4" s="1"/>
  <c r="Z119" i="4"/>
  <c r="AA118" i="4"/>
  <c r="AH118" i="4" s="1"/>
  <c r="Z118" i="4"/>
  <c r="AA117" i="4"/>
  <c r="AH117" i="4" s="1"/>
  <c r="Z117" i="4"/>
  <c r="AA116" i="4"/>
  <c r="AH116" i="4" s="1"/>
  <c r="Z116" i="4"/>
  <c r="AA115" i="4"/>
  <c r="AH115" i="4" s="1"/>
  <c r="Z115" i="4"/>
  <c r="AA114" i="4"/>
  <c r="AH114" i="4" s="1"/>
  <c r="Z114" i="4"/>
  <c r="AA113" i="4"/>
  <c r="AH113" i="4" s="1"/>
  <c r="Z113" i="4"/>
  <c r="AA112" i="4"/>
  <c r="AH112" i="4" s="1"/>
  <c r="Z112" i="4"/>
  <c r="AA111" i="4"/>
  <c r="AH111" i="4" s="1"/>
  <c r="Z111" i="4"/>
  <c r="AA110" i="4"/>
  <c r="AH110" i="4" s="1"/>
  <c r="Z110" i="4"/>
  <c r="AA109" i="4"/>
  <c r="AH109" i="4" s="1"/>
  <c r="Z109" i="4"/>
  <c r="AA108" i="4"/>
  <c r="AH108" i="4" s="1"/>
  <c r="Z108" i="4"/>
  <c r="AA107" i="4"/>
  <c r="AH107" i="4" s="1"/>
  <c r="Z107" i="4"/>
  <c r="AA106" i="4"/>
  <c r="AH106" i="4" s="1"/>
  <c r="Z106" i="4"/>
  <c r="AA105" i="4"/>
  <c r="AH105" i="4" s="1"/>
  <c r="Z105" i="4"/>
  <c r="AA104" i="4"/>
  <c r="AH104" i="4" s="1"/>
  <c r="Z104" i="4"/>
  <c r="AA103" i="4"/>
  <c r="AH103" i="4" s="1"/>
  <c r="Z103" i="4"/>
  <c r="AA102" i="4"/>
  <c r="AH102" i="4" s="1"/>
  <c r="Z102" i="4"/>
  <c r="AA101" i="4"/>
  <c r="AH101" i="4" s="1"/>
  <c r="Z101" i="4"/>
  <c r="AA100" i="4"/>
  <c r="AH100" i="4" s="1"/>
  <c r="Z100" i="4"/>
  <c r="AA99" i="4"/>
  <c r="AH99" i="4" s="1"/>
  <c r="Z99" i="4"/>
  <c r="AA98" i="4"/>
  <c r="AH98" i="4" s="1"/>
  <c r="Z98" i="4"/>
  <c r="AA97" i="4"/>
  <c r="AH97" i="4" s="1"/>
  <c r="Z97" i="4"/>
  <c r="AA96" i="4"/>
  <c r="AH96" i="4" s="1"/>
  <c r="Z96" i="4"/>
  <c r="AA95" i="4"/>
  <c r="AH95" i="4" s="1"/>
  <c r="Z95" i="4"/>
  <c r="AA94" i="4"/>
  <c r="AH94" i="4" s="1"/>
  <c r="Z94" i="4"/>
  <c r="AA93" i="4"/>
  <c r="AH93" i="4" s="1"/>
  <c r="Z93" i="4"/>
  <c r="AA92" i="4"/>
  <c r="AH92" i="4" s="1"/>
  <c r="Z92" i="4"/>
  <c r="AA91" i="4"/>
  <c r="AH91" i="4" s="1"/>
  <c r="Z91" i="4"/>
  <c r="AA90" i="4"/>
  <c r="AH90" i="4" s="1"/>
  <c r="Z90" i="4"/>
  <c r="AA89" i="4"/>
  <c r="AH89" i="4" s="1"/>
  <c r="Z89" i="4"/>
  <c r="AA88" i="4"/>
  <c r="AH88" i="4" s="1"/>
  <c r="Z88" i="4"/>
  <c r="AA87" i="4"/>
  <c r="AH87" i="4" s="1"/>
  <c r="Z87" i="4"/>
  <c r="AA86" i="4"/>
  <c r="AH86" i="4" s="1"/>
  <c r="Z86" i="4"/>
  <c r="AA85" i="4"/>
  <c r="AH85" i="4" s="1"/>
  <c r="Z85" i="4"/>
  <c r="AA84" i="4"/>
  <c r="AH84" i="4" s="1"/>
  <c r="Z84" i="4"/>
  <c r="AA83" i="4"/>
  <c r="AH83" i="4" s="1"/>
  <c r="Z83" i="4"/>
  <c r="AA82" i="4"/>
  <c r="AH82" i="4" s="1"/>
  <c r="Z82" i="4"/>
  <c r="AA81" i="4"/>
  <c r="AH81" i="4" s="1"/>
  <c r="Z81" i="4"/>
  <c r="AA80" i="4"/>
  <c r="AH80" i="4" s="1"/>
  <c r="Z80" i="4"/>
  <c r="AA79" i="4"/>
  <c r="AH79" i="4" s="1"/>
  <c r="Z79" i="4"/>
  <c r="AA78" i="4"/>
  <c r="AH78" i="4" s="1"/>
  <c r="Z78" i="4"/>
  <c r="AA77" i="4"/>
  <c r="AH77" i="4" s="1"/>
  <c r="Z77" i="4"/>
  <c r="AA76" i="4"/>
  <c r="AH76" i="4" s="1"/>
  <c r="Z76" i="4"/>
  <c r="AA75" i="4"/>
  <c r="AH75" i="4" s="1"/>
  <c r="Z75" i="4"/>
  <c r="AA74" i="4"/>
  <c r="AH74" i="4" s="1"/>
  <c r="Z74" i="4"/>
  <c r="AA73" i="4"/>
  <c r="AH73" i="4" s="1"/>
  <c r="Z73" i="4"/>
  <c r="AA72" i="4"/>
  <c r="AH72" i="4" s="1"/>
  <c r="Z72" i="4"/>
  <c r="AA71" i="4"/>
  <c r="AH71" i="4" s="1"/>
  <c r="Z71" i="4"/>
  <c r="AA70" i="4"/>
  <c r="AH70" i="4" s="1"/>
  <c r="Z70" i="4"/>
  <c r="AA69" i="4"/>
  <c r="AH69" i="4" s="1"/>
  <c r="Z69" i="4"/>
  <c r="AA68" i="4"/>
  <c r="AH68" i="4" s="1"/>
  <c r="Z68" i="4"/>
  <c r="AA67" i="4"/>
  <c r="AH67" i="4" s="1"/>
  <c r="Z67" i="4"/>
  <c r="AA66" i="4"/>
  <c r="AH66" i="4" s="1"/>
  <c r="Z66" i="4"/>
  <c r="AA65" i="4"/>
  <c r="AH65" i="4" s="1"/>
  <c r="Z65" i="4"/>
  <c r="AA64" i="4"/>
  <c r="AH64" i="4" s="1"/>
  <c r="Z64" i="4"/>
  <c r="AA63" i="4"/>
  <c r="AH63" i="4" s="1"/>
  <c r="Z63" i="4"/>
  <c r="AA62" i="4"/>
  <c r="AH62" i="4" s="1"/>
  <c r="Z62" i="4"/>
  <c r="AA61" i="4"/>
  <c r="AH61" i="4" s="1"/>
  <c r="Z61" i="4"/>
  <c r="AA60" i="4"/>
  <c r="AH60" i="4" s="1"/>
  <c r="Z60" i="4"/>
  <c r="AA59" i="4"/>
  <c r="AH59" i="4" s="1"/>
  <c r="Z59" i="4"/>
  <c r="AA58" i="4"/>
  <c r="AH58" i="4" s="1"/>
  <c r="Z58" i="4"/>
  <c r="AA57" i="4"/>
  <c r="AH57" i="4" s="1"/>
  <c r="Z57" i="4"/>
  <c r="AA56" i="4"/>
  <c r="AH56" i="4" s="1"/>
  <c r="Z56" i="4"/>
  <c r="AA55" i="4"/>
  <c r="AH55" i="4" s="1"/>
  <c r="Z55" i="4"/>
  <c r="AA54" i="4"/>
  <c r="AH54" i="4" s="1"/>
  <c r="Z54" i="4"/>
  <c r="AA53" i="4"/>
  <c r="AH53" i="4" s="1"/>
  <c r="Z53" i="4"/>
  <c r="AA52" i="4"/>
  <c r="AH52" i="4" s="1"/>
  <c r="Z52" i="4"/>
  <c r="AA51" i="4"/>
  <c r="AH51" i="4" s="1"/>
  <c r="Z51" i="4"/>
  <c r="AA50" i="4"/>
  <c r="AH50" i="4" s="1"/>
  <c r="Z50" i="4"/>
  <c r="AA49" i="4"/>
  <c r="AH49" i="4" s="1"/>
  <c r="Z49" i="4"/>
  <c r="AA48" i="4"/>
  <c r="AH48" i="4" s="1"/>
  <c r="Z48" i="4"/>
  <c r="AA47" i="4"/>
  <c r="AH47" i="4" s="1"/>
  <c r="Z47" i="4"/>
  <c r="AA46" i="4"/>
  <c r="AH46" i="4" s="1"/>
  <c r="Z46" i="4"/>
  <c r="AA45" i="4"/>
  <c r="AH45" i="4" s="1"/>
  <c r="Z45" i="4"/>
  <c r="AA44" i="4"/>
  <c r="AH44" i="4" s="1"/>
  <c r="Z44" i="4"/>
  <c r="AA43" i="4"/>
  <c r="AH43" i="4" s="1"/>
  <c r="Z43" i="4"/>
  <c r="AA42" i="4"/>
  <c r="AH42" i="4" s="1"/>
  <c r="Z42" i="4"/>
  <c r="AA41" i="4"/>
  <c r="AH41" i="4" s="1"/>
  <c r="Z41" i="4"/>
  <c r="AA40" i="4"/>
  <c r="AH40" i="4" s="1"/>
  <c r="Z40" i="4"/>
  <c r="AA39" i="4"/>
  <c r="AH39" i="4" s="1"/>
  <c r="Z39" i="4"/>
  <c r="AA38" i="4"/>
  <c r="AH38" i="4" s="1"/>
  <c r="Z38" i="4"/>
  <c r="AA37" i="4"/>
  <c r="AH37" i="4" s="1"/>
  <c r="Z37" i="4"/>
  <c r="AA36" i="4"/>
  <c r="AH36" i="4" s="1"/>
  <c r="Z36" i="4"/>
  <c r="AA35" i="4"/>
  <c r="AH35" i="4" s="1"/>
  <c r="Z35" i="4"/>
  <c r="AA34" i="4"/>
  <c r="AH34" i="4" s="1"/>
  <c r="Z34" i="4"/>
  <c r="AA33" i="4"/>
  <c r="AH33" i="4" s="1"/>
  <c r="Z33" i="4"/>
  <c r="AA32" i="4"/>
  <c r="AH32" i="4" s="1"/>
  <c r="Z32" i="4"/>
  <c r="AA31" i="4"/>
  <c r="AH31" i="4" s="1"/>
  <c r="Z31" i="4"/>
  <c r="AA30" i="4"/>
  <c r="AH30" i="4" s="1"/>
  <c r="Z30" i="4"/>
  <c r="AA29" i="4"/>
  <c r="AH29" i="4" s="1"/>
  <c r="Z29" i="4"/>
  <c r="AA28" i="4"/>
  <c r="AH28" i="4" s="1"/>
  <c r="Z28" i="4"/>
  <c r="AA27" i="4"/>
  <c r="AH27" i="4" s="1"/>
  <c r="Z27" i="4"/>
  <c r="AA26" i="4"/>
  <c r="AH26" i="4" s="1"/>
  <c r="Z26" i="4"/>
  <c r="AA25" i="4"/>
  <c r="AH25" i="4" s="1"/>
  <c r="Z25" i="4"/>
  <c r="AA24" i="4"/>
  <c r="AH24" i="4" s="1"/>
  <c r="Z24" i="4"/>
  <c r="AA23" i="4"/>
  <c r="AH23" i="4" s="1"/>
  <c r="Z23" i="4"/>
  <c r="AA22" i="4"/>
  <c r="AH22" i="4" s="1"/>
  <c r="Z22" i="4"/>
  <c r="AA21" i="4"/>
  <c r="AH21" i="4" s="1"/>
  <c r="Z21" i="4"/>
  <c r="AA20" i="4"/>
  <c r="AH20" i="4" s="1"/>
  <c r="Z20" i="4"/>
  <c r="AA19" i="4"/>
  <c r="AH19" i="4" s="1"/>
  <c r="Z19" i="4"/>
  <c r="AA18" i="4"/>
  <c r="AH18" i="4" s="1"/>
  <c r="AA17" i="4"/>
  <c r="AH17" i="4" s="1"/>
  <c r="AA16" i="4"/>
  <c r="AH16" i="4" s="1"/>
  <c r="AA15" i="4"/>
  <c r="AH15" i="4" s="1"/>
  <c r="AA13" i="4"/>
  <c r="AH13" i="4" s="1"/>
  <c r="AA10" i="4"/>
  <c r="AH10" i="4" s="1"/>
  <c r="AA9" i="4"/>
  <c r="L258" i="2"/>
  <c r="AI257" i="4" s="1"/>
  <c r="AJ257" i="4" s="1"/>
  <c r="L257" i="2"/>
  <c r="AI256" i="4" s="1"/>
  <c r="AJ256" i="4" s="1"/>
  <c r="L256" i="2"/>
  <c r="AI255" i="4" s="1"/>
  <c r="AJ255" i="4" s="1"/>
  <c r="L255" i="2"/>
  <c r="AI254" i="4" s="1"/>
  <c r="AJ254" i="4" s="1"/>
  <c r="L254" i="2"/>
  <c r="AI253" i="4" s="1"/>
  <c r="AJ253" i="4" s="1"/>
  <c r="L253" i="2"/>
  <c r="AI252" i="4" s="1"/>
  <c r="AJ252" i="4" s="1"/>
  <c r="L252" i="2"/>
  <c r="AI251" i="4" s="1"/>
  <c r="AJ251" i="4" s="1"/>
  <c r="L251" i="2"/>
  <c r="AI250" i="4" s="1"/>
  <c r="AJ250" i="4" s="1"/>
  <c r="L250" i="2"/>
  <c r="AI249" i="4" s="1"/>
  <c r="AJ249" i="4" s="1"/>
  <c r="L249" i="2"/>
  <c r="AI248" i="4" s="1"/>
  <c r="AJ248" i="4" s="1"/>
  <c r="L248" i="2"/>
  <c r="AI247" i="4" s="1"/>
  <c r="AJ247" i="4" s="1"/>
  <c r="L247" i="2"/>
  <c r="AI246" i="4" s="1"/>
  <c r="AJ246" i="4" s="1"/>
  <c r="L246" i="2"/>
  <c r="AI245" i="4" s="1"/>
  <c r="AJ245" i="4" s="1"/>
  <c r="L245" i="2"/>
  <c r="AI244" i="4" s="1"/>
  <c r="AJ244" i="4" s="1"/>
  <c r="L244" i="2"/>
  <c r="AI243" i="4" s="1"/>
  <c r="AJ243" i="4" s="1"/>
  <c r="L243" i="2"/>
  <c r="AI242" i="4" s="1"/>
  <c r="AJ242" i="4" s="1"/>
  <c r="L242" i="2"/>
  <c r="AI241" i="4" s="1"/>
  <c r="AJ241" i="4" s="1"/>
  <c r="L241" i="2"/>
  <c r="AI240" i="4" s="1"/>
  <c r="AJ240" i="4" s="1"/>
  <c r="L240" i="2"/>
  <c r="AI239" i="4" s="1"/>
  <c r="AJ239" i="4" s="1"/>
  <c r="L239" i="2"/>
  <c r="AI238" i="4" s="1"/>
  <c r="AJ238" i="4" s="1"/>
  <c r="L238" i="2"/>
  <c r="AI237" i="4" s="1"/>
  <c r="AJ237" i="4" s="1"/>
  <c r="L237" i="2"/>
  <c r="AI236" i="4" s="1"/>
  <c r="AJ236" i="4" s="1"/>
  <c r="L236" i="2"/>
  <c r="AI235" i="4" s="1"/>
  <c r="AJ235" i="4" s="1"/>
  <c r="L235" i="2"/>
  <c r="AI234" i="4" s="1"/>
  <c r="AJ234" i="4" s="1"/>
  <c r="L234" i="2"/>
  <c r="AI233" i="4" s="1"/>
  <c r="AJ233" i="4" s="1"/>
  <c r="L233" i="2"/>
  <c r="AI232" i="4" s="1"/>
  <c r="AJ232" i="4" s="1"/>
  <c r="L232" i="2"/>
  <c r="AI231" i="4" s="1"/>
  <c r="AJ231" i="4" s="1"/>
  <c r="L231" i="2"/>
  <c r="AI230" i="4" s="1"/>
  <c r="AJ230" i="4" s="1"/>
  <c r="L230" i="2"/>
  <c r="AI229" i="4" s="1"/>
  <c r="AJ229" i="4" s="1"/>
  <c r="L229" i="2"/>
  <c r="AI228" i="4" s="1"/>
  <c r="AJ228" i="4" s="1"/>
  <c r="L228" i="2"/>
  <c r="AI227" i="4" s="1"/>
  <c r="AJ227" i="4" s="1"/>
  <c r="L227" i="2"/>
  <c r="AI226" i="4" s="1"/>
  <c r="AJ226" i="4" s="1"/>
  <c r="L226" i="2"/>
  <c r="AI225" i="4" s="1"/>
  <c r="AJ225" i="4" s="1"/>
  <c r="L225" i="2"/>
  <c r="AI224" i="4" s="1"/>
  <c r="AJ224" i="4" s="1"/>
  <c r="L224" i="2"/>
  <c r="AI223" i="4" s="1"/>
  <c r="AJ223" i="4" s="1"/>
  <c r="L223" i="2"/>
  <c r="AI222" i="4" s="1"/>
  <c r="AJ222" i="4" s="1"/>
  <c r="L222" i="2"/>
  <c r="AI221" i="4" s="1"/>
  <c r="AJ221" i="4" s="1"/>
  <c r="L221" i="2"/>
  <c r="AI220" i="4" s="1"/>
  <c r="AJ220" i="4" s="1"/>
  <c r="L220" i="2"/>
  <c r="AI219" i="4" s="1"/>
  <c r="AJ219" i="4" s="1"/>
  <c r="L219" i="2"/>
  <c r="AI218" i="4" s="1"/>
  <c r="AJ218" i="4" s="1"/>
  <c r="L218" i="2"/>
  <c r="AI217" i="4" s="1"/>
  <c r="AJ217" i="4" s="1"/>
  <c r="L217" i="2"/>
  <c r="AI216" i="4" s="1"/>
  <c r="AJ216" i="4" s="1"/>
  <c r="L216" i="2"/>
  <c r="AI215" i="4" s="1"/>
  <c r="AJ215" i="4" s="1"/>
  <c r="L215" i="2"/>
  <c r="AI214" i="4" s="1"/>
  <c r="AJ214" i="4" s="1"/>
  <c r="L214" i="2"/>
  <c r="AI213" i="4" s="1"/>
  <c r="AJ213" i="4" s="1"/>
  <c r="L213" i="2"/>
  <c r="AI212" i="4" s="1"/>
  <c r="AJ212" i="4" s="1"/>
  <c r="L212" i="2"/>
  <c r="AI211" i="4" s="1"/>
  <c r="AJ211" i="4" s="1"/>
  <c r="L211" i="2"/>
  <c r="AI210" i="4" s="1"/>
  <c r="AJ210" i="4" s="1"/>
  <c r="L210" i="2"/>
  <c r="AI209" i="4" s="1"/>
  <c r="AJ209" i="4" s="1"/>
  <c r="L209" i="2"/>
  <c r="AI208" i="4" s="1"/>
  <c r="AJ208" i="4" s="1"/>
  <c r="L208" i="2"/>
  <c r="AI207" i="4" s="1"/>
  <c r="AJ207" i="4" s="1"/>
  <c r="L207" i="2"/>
  <c r="AI206" i="4" s="1"/>
  <c r="AJ206" i="4" s="1"/>
  <c r="L206" i="2"/>
  <c r="AI205" i="4" s="1"/>
  <c r="AJ205" i="4" s="1"/>
  <c r="L205" i="2"/>
  <c r="AI204" i="4" s="1"/>
  <c r="AJ204" i="4" s="1"/>
  <c r="L204" i="2"/>
  <c r="AI203" i="4" s="1"/>
  <c r="AJ203" i="4" s="1"/>
  <c r="L203" i="2"/>
  <c r="AI202" i="4" s="1"/>
  <c r="AJ202" i="4" s="1"/>
  <c r="L202" i="2"/>
  <c r="AI201" i="4" s="1"/>
  <c r="AJ201" i="4" s="1"/>
  <c r="L201" i="2"/>
  <c r="AI200" i="4" s="1"/>
  <c r="AJ200" i="4" s="1"/>
  <c r="L200" i="2"/>
  <c r="AI199" i="4" s="1"/>
  <c r="AJ199" i="4" s="1"/>
  <c r="L199" i="2"/>
  <c r="AI198" i="4" s="1"/>
  <c r="AJ198" i="4" s="1"/>
  <c r="L198" i="2"/>
  <c r="AI197" i="4" s="1"/>
  <c r="AJ197" i="4" s="1"/>
  <c r="L197" i="2"/>
  <c r="AI196" i="4" s="1"/>
  <c r="AJ196" i="4" s="1"/>
  <c r="L196" i="2"/>
  <c r="AI195" i="4" s="1"/>
  <c r="AJ195" i="4" s="1"/>
  <c r="L195" i="2"/>
  <c r="AI194" i="4" s="1"/>
  <c r="AJ194" i="4" s="1"/>
  <c r="L194" i="2"/>
  <c r="AI193" i="4" s="1"/>
  <c r="AJ193" i="4" s="1"/>
  <c r="L193" i="2"/>
  <c r="AI192" i="4" s="1"/>
  <c r="AJ192" i="4" s="1"/>
  <c r="L192" i="2"/>
  <c r="AI191" i="4" s="1"/>
  <c r="AJ191" i="4" s="1"/>
  <c r="L191" i="2"/>
  <c r="AI190" i="4" s="1"/>
  <c r="AJ190" i="4" s="1"/>
  <c r="L190" i="2"/>
  <c r="AI189" i="4" s="1"/>
  <c r="AJ189" i="4" s="1"/>
  <c r="L189" i="2"/>
  <c r="AI188" i="4" s="1"/>
  <c r="AJ188" i="4" s="1"/>
  <c r="L188" i="2"/>
  <c r="AI187" i="4" s="1"/>
  <c r="AJ187" i="4" s="1"/>
  <c r="L187" i="2"/>
  <c r="AI186" i="4" s="1"/>
  <c r="AJ186" i="4" s="1"/>
  <c r="L186" i="2"/>
  <c r="AI185" i="4" s="1"/>
  <c r="AJ185" i="4" s="1"/>
  <c r="L185" i="2"/>
  <c r="AI184" i="4" s="1"/>
  <c r="AJ184" i="4" s="1"/>
  <c r="L184" i="2"/>
  <c r="AI183" i="4" s="1"/>
  <c r="AJ183" i="4" s="1"/>
  <c r="L183" i="2"/>
  <c r="AI182" i="4" s="1"/>
  <c r="AJ182" i="4" s="1"/>
  <c r="L182" i="2"/>
  <c r="AI181" i="4" s="1"/>
  <c r="AJ181" i="4" s="1"/>
  <c r="L181" i="2"/>
  <c r="AI180" i="4" s="1"/>
  <c r="AJ180" i="4" s="1"/>
  <c r="L180" i="2"/>
  <c r="AI179" i="4" s="1"/>
  <c r="AJ179" i="4" s="1"/>
  <c r="L179" i="2"/>
  <c r="AI178" i="4" s="1"/>
  <c r="AJ178" i="4" s="1"/>
  <c r="L178" i="2"/>
  <c r="AI177" i="4" s="1"/>
  <c r="AJ177" i="4" s="1"/>
  <c r="L177" i="2"/>
  <c r="AI176" i="4" s="1"/>
  <c r="AJ176" i="4" s="1"/>
  <c r="L176" i="2"/>
  <c r="AI175" i="4" s="1"/>
  <c r="AJ175" i="4" s="1"/>
  <c r="L175" i="2"/>
  <c r="AI174" i="4" s="1"/>
  <c r="AJ174" i="4" s="1"/>
  <c r="L174" i="2"/>
  <c r="AI173" i="4" s="1"/>
  <c r="AJ173" i="4" s="1"/>
  <c r="L173" i="2"/>
  <c r="AI172" i="4" s="1"/>
  <c r="AJ172" i="4" s="1"/>
  <c r="L172" i="2"/>
  <c r="AI171" i="4" s="1"/>
  <c r="AJ171" i="4" s="1"/>
  <c r="L171" i="2"/>
  <c r="AI170" i="4" s="1"/>
  <c r="AJ170" i="4" s="1"/>
  <c r="L170" i="2"/>
  <c r="AI169" i="4" s="1"/>
  <c r="AJ169" i="4" s="1"/>
  <c r="L169" i="2"/>
  <c r="AI168" i="4" s="1"/>
  <c r="AJ168" i="4" s="1"/>
  <c r="L168" i="2"/>
  <c r="AI167" i="4" s="1"/>
  <c r="AJ167" i="4" s="1"/>
  <c r="L167" i="2"/>
  <c r="AI166" i="4" s="1"/>
  <c r="AJ166" i="4" s="1"/>
  <c r="L166" i="2"/>
  <c r="AI165" i="4" s="1"/>
  <c r="AJ165" i="4" s="1"/>
  <c r="L165" i="2"/>
  <c r="AI164" i="4" s="1"/>
  <c r="AJ164" i="4" s="1"/>
  <c r="L164" i="2"/>
  <c r="AI163" i="4" s="1"/>
  <c r="AJ163" i="4" s="1"/>
  <c r="L163" i="2"/>
  <c r="AI162" i="4" s="1"/>
  <c r="AJ162" i="4" s="1"/>
  <c r="L162" i="2"/>
  <c r="AI161" i="4" s="1"/>
  <c r="AJ161" i="4" s="1"/>
  <c r="L161" i="2"/>
  <c r="AI160" i="4" s="1"/>
  <c r="AJ160" i="4" s="1"/>
  <c r="L160" i="2"/>
  <c r="AI159" i="4" s="1"/>
  <c r="AJ159" i="4" s="1"/>
  <c r="L159" i="2"/>
  <c r="AI158" i="4" s="1"/>
  <c r="AJ158" i="4" s="1"/>
  <c r="L158" i="2"/>
  <c r="AI157" i="4" s="1"/>
  <c r="AJ157" i="4" s="1"/>
  <c r="L157" i="2"/>
  <c r="AI156" i="4" s="1"/>
  <c r="AJ156" i="4" s="1"/>
  <c r="L156" i="2"/>
  <c r="AI155" i="4" s="1"/>
  <c r="AJ155" i="4" s="1"/>
  <c r="L155" i="2"/>
  <c r="AI154" i="4" s="1"/>
  <c r="AJ154" i="4" s="1"/>
  <c r="L154" i="2"/>
  <c r="AI153" i="4" s="1"/>
  <c r="AJ153" i="4" s="1"/>
  <c r="L153" i="2"/>
  <c r="AI152" i="4" s="1"/>
  <c r="AJ152" i="4" s="1"/>
  <c r="L152" i="2"/>
  <c r="AI151" i="4" s="1"/>
  <c r="AJ151" i="4" s="1"/>
  <c r="L151" i="2"/>
  <c r="AI150" i="4" s="1"/>
  <c r="AJ150" i="4" s="1"/>
  <c r="L150" i="2"/>
  <c r="AI149" i="4" s="1"/>
  <c r="AJ149" i="4" s="1"/>
  <c r="L149" i="2"/>
  <c r="AI148" i="4" s="1"/>
  <c r="AJ148" i="4" s="1"/>
  <c r="L148" i="2"/>
  <c r="AI147" i="4" s="1"/>
  <c r="AJ147" i="4" s="1"/>
  <c r="L147" i="2"/>
  <c r="AI146" i="4" s="1"/>
  <c r="AJ146" i="4" s="1"/>
  <c r="L146" i="2"/>
  <c r="AI145" i="4" s="1"/>
  <c r="AJ145" i="4" s="1"/>
  <c r="L145" i="2"/>
  <c r="AI144" i="4" s="1"/>
  <c r="AJ144" i="4" s="1"/>
  <c r="L144" i="2"/>
  <c r="AI143" i="4" s="1"/>
  <c r="AJ143" i="4" s="1"/>
  <c r="L143" i="2"/>
  <c r="AI142" i="4" s="1"/>
  <c r="AJ142" i="4" s="1"/>
  <c r="L142" i="2"/>
  <c r="AI141" i="4" s="1"/>
  <c r="AJ141" i="4" s="1"/>
  <c r="L141" i="2"/>
  <c r="AI140" i="4" s="1"/>
  <c r="AJ140" i="4" s="1"/>
  <c r="L140" i="2"/>
  <c r="AI139" i="4" s="1"/>
  <c r="AJ139" i="4" s="1"/>
  <c r="L139" i="2"/>
  <c r="AI138" i="4" s="1"/>
  <c r="AJ138" i="4" s="1"/>
  <c r="L138" i="2"/>
  <c r="AI137" i="4" s="1"/>
  <c r="AJ137" i="4" s="1"/>
  <c r="L137" i="2"/>
  <c r="AI136" i="4" s="1"/>
  <c r="AJ136" i="4" s="1"/>
  <c r="L136" i="2"/>
  <c r="AI135" i="4" s="1"/>
  <c r="AJ135" i="4" s="1"/>
  <c r="L135" i="2"/>
  <c r="AI134" i="4" s="1"/>
  <c r="AJ134" i="4" s="1"/>
  <c r="L134" i="2"/>
  <c r="AI133" i="4" s="1"/>
  <c r="AJ133" i="4" s="1"/>
  <c r="L133" i="2"/>
  <c r="AI132" i="4" s="1"/>
  <c r="AJ132" i="4" s="1"/>
  <c r="L132" i="2"/>
  <c r="AI131" i="4" s="1"/>
  <c r="AJ131" i="4" s="1"/>
  <c r="L131" i="2"/>
  <c r="AI130" i="4" s="1"/>
  <c r="AJ130" i="4" s="1"/>
  <c r="L130" i="2"/>
  <c r="AI129" i="4" s="1"/>
  <c r="AJ129" i="4" s="1"/>
  <c r="L129" i="2"/>
  <c r="AI128" i="4" s="1"/>
  <c r="AJ128" i="4" s="1"/>
  <c r="L128" i="2"/>
  <c r="AI127" i="4" s="1"/>
  <c r="AJ127" i="4" s="1"/>
  <c r="L127" i="2"/>
  <c r="AI126" i="4" s="1"/>
  <c r="AJ126" i="4" s="1"/>
  <c r="L126" i="2"/>
  <c r="AI125" i="4" s="1"/>
  <c r="AJ125" i="4" s="1"/>
  <c r="L125" i="2"/>
  <c r="AI124" i="4" s="1"/>
  <c r="AJ124" i="4" s="1"/>
  <c r="L124" i="2"/>
  <c r="AI123" i="4" s="1"/>
  <c r="AJ123" i="4" s="1"/>
  <c r="L123" i="2"/>
  <c r="AI122" i="4" s="1"/>
  <c r="AJ122" i="4" s="1"/>
  <c r="L122" i="2"/>
  <c r="AI121" i="4" s="1"/>
  <c r="AJ121" i="4" s="1"/>
  <c r="L121" i="2"/>
  <c r="AI120" i="4" s="1"/>
  <c r="AJ120" i="4" s="1"/>
  <c r="L120" i="2"/>
  <c r="AI119" i="4" s="1"/>
  <c r="AJ119" i="4" s="1"/>
  <c r="L119" i="2"/>
  <c r="AI118" i="4" s="1"/>
  <c r="AJ118" i="4" s="1"/>
  <c r="L118" i="2"/>
  <c r="AI117" i="4" s="1"/>
  <c r="AJ117" i="4" s="1"/>
  <c r="L117" i="2"/>
  <c r="AI116" i="4" s="1"/>
  <c r="AJ116" i="4" s="1"/>
  <c r="L116" i="2"/>
  <c r="AI115" i="4" s="1"/>
  <c r="AJ115" i="4" s="1"/>
  <c r="L115" i="2"/>
  <c r="AI114" i="4" s="1"/>
  <c r="AJ114" i="4" s="1"/>
  <c r="L114" i="2"/>
  <c r="AI113" i="4" s="1"/>
  <c r="AJ113" i="4" s="1"/>
  <c r="L113" i="2"/>
  <c r="AI112" i="4" s="1"/>
  <c r="AJ112" i="4" s="1"/>
  <c r="L112" i="2"/>
  <c r="AI111" i="4" s="1"/>
  <c r="AJ111" i="4" s="1"/>
  <c r="L111" i="2"/>
  <c r="AI110" i="4" s="1"/>
  <c r="AJ110" i="4" s="1"/>
  <c r="L110" i="2"/>
  <c r="AI109" i="4" s="1"/>
  <c r="AJ109" i="4" s="1"/>
  <c r="L109" i="2"/>
  <c r="AI108" i="4" s="1"/>
  <c r="AJ108" i="4" s="1"/>
  <c r="L108" i="2"/>
  <c r="AI107" i="4" s="1"/>
  <c r="AJ107" i="4" s="1"/>
  <c r="L107" i="2"/>
  <c r="AI106" i="4" s="1"/>
  <c r="AJ106" i="4" s="1"/>
  <c r="L106" i="2"/>
  <c r="AI105" i="4" s="1"/>
  <c r="AJ105" i="4" s="1"/>
  <c r="L105" i="2"/>
  <c r="AI104" i="4" s="1"/>
  <c r="AJ104" i="4" s="1"/>
  <c r="L104" i="2"/>
  <c r="AI103" i="4" s="1"/>
  <c r="AJ103" i="4" s="1"/>
  <c r="L103" i="2"/>
  <c r="AI102" i="4" s="1"/>
  <c r="AJ102" i="4" s="1"/>
  <c r="L102" i="2"/>
  <c r="AI101" i="4" s="1"/>
  <c r="AJ101" i="4" s="1"/>
  <c r="L101" i="2"/>
  <c r="AI100" i="4" s="1"/>
  <c r="AJ100" i="4" s="1"/>
  <c r="L100" i="2"/>
  <c r="AI99" i="4" s="1"/>
  <c r="AJ99" i="4" s="1"/>
  <c r="L99" i="2"/>
  <c r="AI98" i="4" s="1"/>
  <c r="AJ98" i="4" s="1"/>
  <c r="L98" i="2"/>
  <c r="AI97" i="4" s="1"/>
  <c r="AJ97" i="4" s="1"/>
  <c r="L97" i="2"/>
  <c r="AI96" i="4" s="1"/>
  <c r="AJ96" i="4" s="1"/>
  <c r="L96" i="2"/>
  <c r="AI95" i="4" s="1"/>
  <c r="AJ95" i="4" s="1"/>
  <c r="L95" i="2"/>
  <c r="AI94" i="4" s="1"/>
  <c r="AJ94" i="4" s="1"/>
  <c r="L94" i="2"/>
  <c r="AI93" i="4" s="1"/>
  <c r="AJ93" i="4" s="1"/>
  <c r="L93" i="2"/>
  <c r="AI92" i="4" s="1"/>
  <c r="AJ92" i="4" s="1"/>
  <c r="L92" i="2"/>
  <c r="AI91" i="4" s="1"/>
  <c r="AJ91" i="4" s="1"/>
  <c r="L91" i="2"/>
  <c r="AI90" i="4" s="1"/>
  <c r="AJ90" i="4" s="1"/>
  <c r="L90" i="2"/>
  <c r="AI89" i="4" s="1"/>
  <c r="AJ89" i="4" s="1"/>
  <c r="L89" i="2"/>
  <c r="AI88" i="4" s="1"/>
  <c r="AJ88" i="4" s="1"/>
  <c r="L88" i="2"/>
  <c r="AI87" i="4" s="1"/>
  <c r="AJ87" i="4" s="1"/>
  <c r="L87" i="2"/>
  <c r="AI86" i="4" s="1"/>
  <c r="AJ86" i="4" s="1"/>
  <c r="L86" i="2"/>
  <c r="AI85" i="4" s="1"/>
  <c r="AJ85" i="4" s="1"/>
  <c r="L85" i="2"/>
  <c r="AI84" i="4" s="1"/>
  <c r="AJ84" i="4" s="1"/>
  <c r="L84" i="2"/>
  <c r="AI83" i="4" s="1"/>
  <c r="AJ83" i="4" s="1"/>
  <c r="L83" i="2"/>
  <c r="AI82" i="4" s="1"/>
  <c r="AJ82" i="4" s="1"/>
  <c r="L82" i="2"/>
  <c r="AI81" i="4" s="1"/>
  <c r="AJ81" i="4" s="1"/>
  <c r="L81" i="2"/>
  <c r="AI80" i="4" s="1"/>
  <c r="AJ80" i="4" s="1"/>
  <c r="L80" i="2"/>
  <c r="AI79" i="4" s="1"/>
  <c r="AJ79" i="4" s="1"/>
  <c r="L79" i="2"/>
  <c r="AI78" i="4" s="1"/>
  <c r="AJ78" i="4" s="1"/>
  <c r="L78" i="2"/>
  <c r="AI77" i="4" s="1"/>
  <c r="AJ77" i="4" s="1"/>
  <c r="L77" i="2"/>
  <c r="AI76" i="4" s="1"/>
  <c r="AJ76" i="4" s="1"/>
  <c r="L76" i="2"/>
  <c r="AI75" i="4" s="1"/>
  <c r="AJ75" i="4" s="1"/>
  <c r="L75" i="2"/>
  <c r="AI74" i="4" s="1"/>
  <c r="AJ74" i="4" s="1"/>
  <c r="L74" i="2"/>
  <c r="AI73" i="4" s="1"/>
  <c r="AJ73" i="4" s="1"/>
  <c r="L73" i="2"/>
  <c r="AI72" i="4" s="1"/>
  <c r="AJ72" i="4" s="1"/>
  <c r="L72" i="2"/>
  <c r="AI71" i="4" s="1"/>
  <c r="AJ71" i="4" s="1"/>
  <c r="L71" i="2"/>
  <c r="AI70" i="4" s="1"/>
  <c r="AJ70" i="4" s="1"/>
  <c r="L70" i="2"/>
  <c r="AI69" i="4" s="1"/>
  <c r="AJ69" i="4" s="1"/>
  <c r="L69" i="2"/>
  <c r="AI68" i="4" s="1"/>
  <c r="AJ68" i="4" s="1"/>
  <c r="L68" i="2"/>
  <c r="AI67" i="4" s="1"/>
  <c r="AJ67" i="4" s="1"/>
  <c r="L67" i="2"/>
  <c r="AI66" i="4" s="1"/>
  <c r="AJ66" i="4" s="1"/>
  <c r="L66" i="2"/>
  <c r="AI65" i="4" s="1"/>
  <c r="AJ65" i="4" s="1"/>
  <c r="L65" i="2"/>
  <c r="AI64" i="4" s="1"/>
  <c r="AJ64" i="4" s="1"/>
  <c r="L64" i="2"/>
  <c r="AI63" i="4" s="1"/>
  <c r="AJ63" i="4" s="1"/>
  <c r="L63" i="2"/>
  <c r="AI62" i="4" s="1"/>
  <c r="AJ62" i="4" s="1"/>
  <c r="L62" i="2"/>
  <c r="AI61" i="4" s="1"/>
  <c r="AJ61" i="4" s="1"/>
  <c r="L61" i="2"/>
  <c r="AI60" i="4" s="1"/>
  <c r="AJ60" i="4" s="1"/>
  <c r="L60" i="2"/>
  <c r="AI59" i="4" s="1"/>
  <c r="AJ59" i="4" s="1"/>
  <c r="L59" i="2"/>
  <c r="AI58" i="4" s="1"/>
  <c r="AJ58" i="4" s="1"/>
  <c r="L58" i="2"/>
  <c r="AI57" i="4" s="1"/>
  <c r="AJ57" i="4" s="1"/>
  <c r="L57" i="2"/>
  <c r="AI56" i="4" s="1"/>
  <c r="AJ56" i="4" s="1"/>
  <c r="L56" i="2"/>
  <c r="AI55" i="4" s="1"/>
  <c r="AJ55" i="4" s="1"/>
  <c r="L55" i="2"/>
  <c r="AI54" i="4" s="1"/>
  <c r="AJ54" i="4" s="1"/>
  <c r="L54" i="2"/>
  <c r="AI53" i="4" s="1"/>
  <c r="AJ53" i="4" s="1"/>
  <c r="L53" i="2"/>
  <c r="AI52" i="4" s="1"/>
  <c r="AJ52" i="4" s="1"/>
  <c r="L52" i="2"/>
  <c r="AI51" i="4" s="1"/>
  <c r="AJ51" i="4" s="1"/>
  <c r="L51" i="2"/>
  <c r="AI50" i="4" s="1"/>
  <c r="AJ50" i="4" s="1"/>
  <c r="L50" i="2"/>
  <c r="AI49" i="4" s="1"/>
  <c r="AJ49" i="4" s="1"/>
  <c r="L49" i="2"/>
  <c r="AI48" i="4" s="1"/>
  <c r="AJ48" i="4" s="1"/>
  <c r="L48" i="2"/>
  <c r="AI47" i="4" s="1"/>
  <c r="AJ47" i="4" s="1"/>
  <c r="L47" i="2"/>
  <c r="AI46" i="4" s="1"/>
  <c r="AJ46" i="4" s="1"/>
  <c r="L46" i="2"/>
  <c r="AI45" i="4" s="1"/>
  <c r="AJ45" i="4" s="1"/>
  <c r="L45" i="2"/>
  <c r="AI44" i="4" s="1"/>
  <c r="AJ44" i="4" s="1"/>
  <c r="L44" i="2"/>
  <c r="AI43" i="4" s="1"/>
  <c r="AJ43" i="4" s="1"/>
  <c r="L43" i="2"/>
  <c r="AI42" i="4" s="1"/>
  <c r="AJ42" i="4" s="1"/>
  <c r="L42" i="2"/>
  <c r="AI41" i="4" s="1"/>
  <c r="AJ41" i="4" s="1"/>
  <c r="L41" i="2"/>
  <c r="AI40" i="4" s="1"/>
  <c r="AJ40" i="4" s="1"/>
  <c r="L40" i="2"/>
  <c r="AI39" i="4" s="1"/>
  <c r="AJ39" i="4" s="1"/>
  <c r="L39" i="2"/>
  <c r="AI38" i="4" s="1"/>
  <c r="AJ38" i="4" s="1"/>
  <c r="L38" i="2"/>
  <c r="AI37" i="4" s="1"/>
  <c r="AJ37" i="4" s="1"/>
  <c r="L37" i="2"/>
  <c r="AI36" i="4" s="1"/>
  <c r="AJ36" i="4" s="1"/>
  <c r="L36" i="2"/>
  <c r="AI35" i="4" s="1"/>
  <c r="L35" i="2"/>
  <c r="AI34" i="4" s="1"/>
  <c r="AJ34" i="4" s="1"/>
  <c r="L34" i="2"/>
  <c r="AI33" i="4" s="1"/>
  <c r="AJ33" i="4" s="1"/>
  <c r="L33" i="2"/>
  <c r="AI32" i="4" s="1"/>
  <c r="AJ32" i="4" s="1"/>
  <c r="L32" i="2"/>
  <c r="AI31" i="4" s="1"/>
  <c r="AJ31" i="4" s="1"/>
  <c r="L31" i="2"/>
  <c r="AI30" i="4" s="1"/>
  <c r="AJ30" i="4" s="1"/>
  <c r="L30" i="2"/>
  <c r="AI29" i="4" s="1"/>
  <c r="AJ29" i="4" s="1"/>
  <c r="L29" i="2"/>
  <c r="AI28" i="4" s="1"/>
  <c r="AJ28" i="4" s="1"/>
  <c r="L28" i="2"/>
  <c r="AI27" i="4" s="1"/>
  <c r="AJ27" i="4" s="1"/>
  <c r="L27" i="2"/>
  <c r="AI26" i="4" s="1"/>
  <c r="AJ26" i="4" s="1"/>
  <c r="L26" i="2"/>
  <c r="AI25" i="4" s="1"/>
  <c r="AJ25" i="4" s="1"/>
  <c r="L25" i="2"/>
  <c r="AI24" i="4" s="1"/>
  <c r="AJ24" i="4" s="1"/>
  <c r="L24" i="2"/>
  <c r="AI23" i="4" s="1"/>
  <c r="AJ23" i="4" s="1"/>
  <c r="L23" i="2"/>
  <c r="AI22" i="4" s="1"/>
  <c r="AJ22" i="4" s="1"/>
  <c r="L22" i="2"/>
  <c r="AI21" i="4" s="1"/>
  <c r="AJ21" i="4" s="1"/>
  <c r="L21" i="2"/>
  <c r="AI20" i="4" s="1"/>
  <c r="AJ20" i="4" s="1"/>
  <c r="L20" i="2"/>
  <c r="AI19" i="4" s="1"/>
  <c r="AJ19" i="4" s="1"/>
  <c r="L19" i="2"/>
  <c r="AI18" i="4" s="1"/>
  <c r="AJ18" i="4" s="1"/>
  <c r="L18" i="2"/>
  <c r="AI17" i="4" s="1"/>
  <c r="AJ17" i="4" s="1"/>
  <c r="L17" i="2"/>
  <c r="AI16" i="4" s="1"/>
  <c r="AJ16" i="4" s="1"/>
  <c r="L16" i="2"/>
  <c r="AI15" i="4" s="1"/>
  <c r="AJ15" i="4" s="1"/>
  <c r="L13" i="2"/>
  <c r="AI12" i="4" s="1"/>
  <c r="L12" i="2"/>
  <c r="AI11" i="4" s="1"/>
  <c r="L11" i="2"/>
  <c r="AI10" i="4" s="1"/>
  <c r="E33" i="28"/>
  <c r="AB22" i="35" s="1"/>
  <c r="E32" i="28"/>
  <c r="AA22" i="35" s="1"/>
  <c r="E31" i="28"/>
  <c r="Z22" i="35" s="1"/>
  <c r="E30" i="28"/>
  <c r="Y22" i="35" s="1"/>
  <c r="E29" i="28"/>
  <c r="X22" i="35" s="1"/>
  <c r="AH9" i="4" l="1"/>
  <c r="AA258" i="4"/>
  <c r="Z258" i="4"/>
  <c r="AJ35" i="4"/>
  <c r="AH8" i="4"/>
  <c r="AI8" i="4"/>
  <c r="AJ13" i="4"/>
  <c r="AJ11" i="4"/>
  <c r="AJ12" i="4"/>
  <c r="AJ10" i="4"/>
  <c r="L10" i="2"/>
  <c r="AI9" i="4" s="1"/>
  <c r="AJ9" i="4" s="1"/>
  <c r="AH258" i="4" l="1"/>
  <c r="L259" i="2"/>
  <c r="G35" i="30"/>
  <c r="AJ8" i="4"/>
  <c r="E9" i="28"/>
  <c r="E10" i="28"/>
  <c r="E22" i="35" s="1"/>
  <c r="D22" i="35" l="1"/>
  <c r="G26" i="30"/>
  <c r="AI258" i="4"/>
  <c r="AJ258" i="4" s="1"/>
  <c r="E11" i="28"/>
  <c r="F22" i="35" s="1"/>
  <c r="E12" i="28" l="1"/>
  <c r="G22" i="35" s="1"/>
  <c r="E13" i="28" l="1"/>
  <c r="H22" i="35" s="1"/>
  <c r="F18" i="19"/>
  <c r="F17" i="19"/>
  <c r="AK8" i="4"/>
  <c r="AK9" i="4"/>
  <c r="AK11" i="4"/>
  <c r="AK12" i="4"/>
  <c r="AK13" i="4"/>
  <c r="AK15" i="4"/>
  <c r="AK16" i="4"/>
  <c r="AK17" i="4"/>
  <c r="AK18" i="4"/>
  <c r="AK19" i="4"/>
  <c r="AK20" i="4"/>
  <c r="AK21" i="4"/>
  <c r="AK22" i="4"/>
  <c r="AK23" i="4"/>
  <c r="AK24" i="4"/>
  <c r="AK25" i="4"/>
  <c r="AK26" i="4"/>
  <c r="AK27" i="4"/>
  <c r="AK28" i="4"/>
  <c r="AK29" i="4"/>
  <c r="AK30" i="4"/>
  <c r="AK31" i="4"/>
  <c r="AK32" i="4"/>
  <c r="AK33" i="4"/>
  <c r="AK34" i="4"/>
  <c r="AK35" i="4"/>
  <c r="AK36" i="4"/>
  <c r="AK37" i="4"/>
  <c r="AK38" i="4"/>
  <c r="AK39" i="4"/>
  <c r="AK40" i="4"/>
  <c r="AK41" i="4"/>
  <c r="AK42" i="4"/>
  <c r="AK43" i="4"/>
  <c r="AK44" i="4"/>
  <c r="AK45" i="4"/>
  <c r="AK46" i="4"/>
  <c r="AK47" i="4"/>
  <c r="AK48" i="4"/>
  <c r="AK49" i="4"/>
  <c r="AK50" i="4"/>
  <c r="AK51" i="4"/>
  <c r="AK52" i="4"/>
  <c r="AK53" i="4"/>
  <c r="AK54" i="4"/>
  <c r="AK55" i="4"/>
  <c r="AK56" i="4"/>
  <c r="AK57" i="4"/>
  <c r="AK58" i="4"/>
  <c r="AK59" i="4"/>
  <c r="AK60" i="4"/>
  <c r="AK61" i="4"/>
  <c r="AK62" i="4"/>
  <c r="AK63" i="4"/>
  <c r="AK64" i="4"/>
  <c r="AK65" i="4"/>
  <c r="AK66" i="4"/>
  <c r="AK67" i="4"/>
  <c r="AK68" i="4"/>
  <c r="AK69" i="4"/>
  <c r="AK70" i="4"/>
  <c r="AK71" i="4"/>
  <c r="AK72" i="4"/>
  <c r="AK73" i="4"/>
  <c r="AK74" i="4"/>
  <c r="AK75" i="4"/>
  <c r="AK76" i="4"/>
  <c r="AK77" i="4"/>
  <c r="AK78" i="4"/>
  <c r="AK79" i="4"/>
  <c r="AK80" i="4"/>
  <c r="AK81" i="4"/>
  <c r="AK82" i="4"/>
  <c r="AK83" i="4"/>
  <c r="AK84" i="4"/>
  <c r="AK85" i="4"/>
  <c r="AK86" i="4"/>
  <c r="AK87" i="4"/>
  <c r="AK88" i="4"/>
  <c r="AK89" i="4"/>
  <c r="AK90" i="4"/>
  <c r="AK91" i="4"/>
  <c r="AK92" i="4"/>
  <c r="AK93" i="4"/>
  <c r="AK94" i="4"/>
  <c r="AK95" i="4"/>
  <c r="AK96" i="4"/>
  <c r="AK97" i="4"/>
  <c r="AK98" i="4"/>
  <c r="AK99" i="4"/>
  <c r="AK100" i="4"/>
  <c r="AK101" i="4"/>
  <c r="AK102" i="4"/>
  <c r="AK103" i="4"/>
  <c r="AK104" i="4"/>
  <c r="AK105" i="4"/>
  <c r="AK106" i="4"/>
  <c r="AK107" i="4"/>
  <c r="AK108" i="4"/>
  <c r="AK109" i="4"/>
  <c r="AK110" i="4"/>
  <c r="AK111" i="4"/>
  <c r="AK112" i="4"/>
  <c r="AK113" i="4"/>
  <c r="AK114" i="4"/>
  <c r="AK115" i="4"/>
  <c r="AK116" i="4"/>
  <c r="AK117" i="4"/>
  <c r="AK118" i="4"/>
  <c r="AK119" i="4"/>
  <c r="AK120" i="4"/>
  <c r="AK121" i="4"/>
  <c r="AK122" i="4"/>
  <c r="AK123" i="4"/>
  <c r="AK124" i="4"/>
  <c r="AK125" i="4"/>
  <c r="AK126" i="4"/>
  <c r="AK127" i="4"/>
  <c r="AK128" i="4"/>
  <c r="AK129" i="4"/>
  <c r="AK130" i="4"/>
  <c r="AK131" i="4"/>
  <c r="AK132" i="4"/>
  <c r="AK133" i="4"/>
  <c r="AK134" i="4"/>
  <c r="AK135" i="4"/>
  <c r="AK136" i="4"/>
  <c r="AK137" i="4"/>
  <c r="AK138" i="4"/>
  <c r="AK139" i="4"/>
  <c r="AK140" i="4"/>
  <c r="AK141" i="4"/>
  <c r="AK142" i="4"/>
  <c r="AK143" i="4"/>
  <c r="AK144" i="4"/>
  <c r="AK145" i="4"/>
  <c r="AK146" i="4"/>
  <c r="AK147" i="4"/>
  <c r="AK148" i="4"/>
  <c r="AK149" i="4"/>
  <c r="AK150" i="4"/>
  <c r="AK151" i="4"/>
  <c r="AK152" i="4"/>
  <c r="AK153" i="4"/>
  <c r="AK154" i="4"/>
  <c r="AK155" i="4"/>
  <c r="AK156" i="4"/>
  <c r="AK157" i="4"/>
  <c r="AK158" i="4"/>
  <c r="AK159" i="4"/>
  <c r="AK160" i="4"/>
  <c r="AK161" i="4"/>
  <c r="AK162" i="4"/>
  <c r="AK163" i="4"/>
  <c r="AK164" i="4"/>
  <c r="AK165" i="4"/>
  <c r="AK166" i="4"/>
  <c r="AK167" i="4"/>
  <c r="AK168" i="4"/>
  <c r="AK169" i="4"/>
  <c r="AK170" i="4"/>
  <c r="AK171" i="4"/>
  <c r="AK172" i="4"/>
  <c r="AK173" i="4"/>
  <c r="AK174" i="4"/>
  <c r="AK175" i="4"/>
  <c r="AK176" i="4"/>
  <c r="AK177" i="4"/>
  <c r="AK178" i="4"/>
  <c r="AK179" i="4"/>
  <c r="AK180" i="4"/>
  <c r="AK181" i="4"/>
  <c r="AK182" i="4"/>
  <c r="AK183" i="4"/>
  <c r="AK184" i="4"/>
  <c r="AK185" i="4"/>
  <c r="AK186" i="4"/>
  <c r="AK187" i="4"/>
  <c r="AK188" i="4"/>
  <c r="AK189" i="4"/>
  <c r="AK190" i="4"/>
  <c r="AK191" i="4"/>
  <c r="AK192" i="4"/>
  <c r="AK193" i="4"/>
  <c r="AK194" i="4"/>
  <c r="AK195" i="4"/>
  <c r="AK196" i="4"/>
  <c r="AK197" i="4"/>
  <c r="AK198" i="4"/>
  <c r="AK199" i="4"/>
  <c r="AK200" i="4"/>
  <c r="AK201" i="4"/>
  <c r="AK202" i="4"/>
  <c r="AK203" i="4"/>
  <c r="AK204" i="4"/>
  <c r="AK205" i="4"/>
  <c r="AK206" i="4"/>
  <c r="AK207" i="4"/>
  <c r="AK208" i="4"/>
  <c r="AK209" i="4"/>
  <c r="AK210" i="4"/>
  <c r="AK211" i="4"/>
  <c r="AK212" i="4"/>
  <c r="AK213" i="4"/>
  <c r="AK214" i="4"/>
  <c r="AK215" i="4"/>
  <c r="AK216" i="4"/>
  <c r="AK217" i="4"/>
  <c r="AK218" i="4"/>
  <c r="AK219" i="4"/>
  <c r="AK220" i="4"/>
  <c r="AK221" i="4"/>
  <c r="AK222" i="4"/>
  <c r="AK223" i="4"/>
  <c r="AK224" i="4"/>
  <c r="AK225" i="4"/>
  <c r="AK226" i="4"/>
  <c r="AK227" i="4"/>
  <c r="AK228" i="4"/>
  <c r="AK229" i="4"/>
  <c r="AK230" i="4"/>
  <c r="AK231" i="4"/>
  <c r="AK232" i="4"/>
  <c r="AK233" i="4"/>
  <c r="AK234" i="4"/>
  <c r="AK235" i="4"/>
  <c r="AK236" i="4"/>
  <c r="AK237" i="4"/>
  <c r="AK238" i="4"/>
  <c r="AK239" i="4"/>
  <c r="AK240" i="4"/>
  <c r="AK241" i="4"/>
  <c r="AK242" i="4"/>
  <c r="AK243" i="4"/>
  <c r="AK244" i="4"/>
  <c r="AK245" i="4"/>
  <c r="AK246" i="4"/>
  <c r="AK247" i="4"/>
  <c r="AK248" i="4"/>
  <c r="AK249" i="4"/>
  <c r="AK250" i="4"/>
  <c r="AK251" i="4"/>
  <c r="AK252" i="4"/>
  <c r="AK253" i="4"/>
  <c r="AK254" i="4"/>
  <c r="AK255" i="4"/>
  <c r="AK256" i="4"/>
  <c r="AK257" i="4"/>
  <c r="E14" i="28" l="1"/>
  <c r="I22" i="35" s="1"/>
  <c r="F16" i="19" l="1"/>
  <c r="E16" i="19" s="1"/>
  <c r="E15" i="28"/>
  <c r="J22" i="35" s="1"/>
  <c r="F19" i="19" l="1"/>
  <c r="E16" i="28"/>
  <c r="K22" i="35" s="1"/>
  <c r="E17" i="28" l="1"/>
  <c r="L22" i="35" s="1"/>
  <c r="E18" i="28" l="1"/>
  <c r="M22" i="35" s="1"/>
  <c r="E19" i="28" l="1"/>
  <c r="N22" i="35" s="1"/>
  <c r="E20" i="28" l="1"/>
  <c r="O22" i="35" s="1"/>
  <c r="E21" i="28" l="1"/>
  <c r="P22" i="35" s="1"/>
  <c r="E22" i="28" l="1"/>
  <c r="Q22" i="35" s="1"/>
  <c r="E23" i="28" l="1"/>
  <c r="R22" i="35" s="1"/>
  <c r="E24" i="28" l="1"/>
  <c r="S22" i="35" s="1"/>
  <c r="E25" i="28" l="1"/>
  <c r="T22" i="35" s="1"/>
  <c r="E26" i="28" l="1"/>
  <c r="U22" i="35" s="1"/>
  <c r="E27" i="28" l="1"/>
  <c r="V22" i="35" s="1"/>
  <c r="E28" i="28" l="1"/>
  <c r="W22" i="35" s="1"/>
  <c r="E34" i="28"/>
  <c r="E49" i="28" l="1"/>
  <c r="D52" i="21"/>
  <c r="C52" i="21"/>
  <c r="G37" i="30"/>
  <c r="E49" i="21" l="1"/>
  <c r="C52" i="28"/>
  <c r="G38" i="30" s="1"/>
  <c r="D52" i="28" l="1"/>
  <c r="G39" i="30" s="1"/>
  <c r="F8" i="39" l="1"/>
  <c r="Q8" i="39"/>
  <c r="R8" i="39" s="1"/>
  <c r="Q258" i="39" l="1"/>
  <c r="R258" i="3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LMI</author>
  </authors>
  <commentList>
    <comment ref="E6" authorId="0" shapeId="0" xr:uid="{EE2416F2-79DE-2343-A166-1DDF2BC16E14}">
      <text>
        <r>
          <rPr>
            <sz val="8"/>
            <color indexed="81"/>
            <rFont val="Tahoma"/>
            <family val="2"/>
          </rPr>
          <t xml:space="preserve">
HHV value is sourced from EPA MRR.  
EPA MRR Biogas HHV value = 0.000841 MMBtu / scf
0.0423 = lb. CH4/scf (at 520R or 60F) or (1/0.0423) 23.641 scf / lb. CH4
2.20462 lbs./kg
1000 kg / MT
This emission factor was checked against those found in the WRI GHG Protocol and found to be consistent with the range WRI biogas HHV = 0.0123214 MMBtu / kg</t>
        </r>
      </text>
    </comment>
    <comment ref="E7" authorId="0" shapeId="0" xr:uid="{2A159634-8F90-734D-A083-DC24DE9DED7F}">
      <text>
        <r>
          <rPr>
            <sz val="8"/>
            <color rgb="FF000000"/>
            <rFont val="Tahoma"/>
            <family val="2"/>
          </rPr>
          <t xml:space="preserve">
</t>
        </r>
        <r>
          <rPr>
            <sz val="8"/>
            <color rgb="FF000000"/>
            <rFont val="Tahoma"/>
            <family val="2"/>
          </rPr>
          <t xml:space="preserve">HHV value is sourced from EPA MRR.  
</t>
        </r>
        <r>
          <rPr>
            <sz val="8"/>
            <color rgb="FF000000"/>
            <rFont val="Tahoma"/>
            <family val="2"/>
          </rPr>
          <t xml:space="preserve">EPA MRR Biogas HHV value = 0.000841 MMBtu / scf
</t>
        </r>
        <r>
          <rPr>
            <sz val="8"/>
            <color rgb="FF000000"/>
            <rFont val="Tahoma"/>
            <family val="2"/>
          </rPr>
          <t xml:space="preserve">0.0423 = lb. CH4/scf (at 520R or 60F) or (1/0.0423) 23.641 scf / lb. CH4
</t>
        </r>
        <r>
          <rPr>
            <sz val="8"/>
            <color rgb="FF000000"/>
            <rFont val="Tahoma"/>
            <family val="2"/>
          </rPr>
          <t xml:space="preserve">2.20462 lbs./kg
</t>
        </r>
        <r>
          <rPr>
            <sz val="8"/>
            <color rgb="FF000000"/>
            <rFont val="Tahoma"/>
            <family val="2"/>
          </rPr>
          <t>This emission factor was checked against those found in the WRI GHG Protocol and found to be consistent with the range WRI biogas HHV = 0.0123214 MMBtu / kg</t>
        </r>
      </text>
    </comment>
  </commentList>
</comments>
</file>

<file path=xl/sharedStrings.xml><?xml version="1.0" encoding="utf-8"?>
<sst xmlns="http://schemas.openxmlformats.org/spreadsheetml/2006/main" count="1443" uniqueCount="546">
  <si>
    <t>(a)</t>
  </si>
  <si>
    <t>(b)</t>
  </si>
  <si>
    <t>(c)</t>
  </si>
  <si>
    <t>(d)</t>
  </si>
  <si>
    <t>(e)</t>
  </si>
  <si>
    <t>(f)</t>
  </si>
  <si>
    <t>Total Guaranteed Cost Savings (b+e)</t>
  </si>
  <si>
    <t>IMPLEMENTATION PRICE BY ENERGY CONSERVATION MEASURE</t>
  </si>
  <si>
    <t>ECM No.</t>
  </si>
  <si>
    <t>ECM Size</t>
  </si>
  <si>
    <t>($)</t>
  </si>
  <si>
    <t>Management/Administration</t>
  </si>
  <si>
    <t>Maintenance</t>
  </si>
  <si>
    <t>Repair and Replacement</t>
  </si>
  <si>
    <t>Totals</t>
  </si>
  <si>
    <t>IMPORTANT INFORMATION:</t>
  </si>
  <si>
    <t>ECM</t>
  </si>
  <si>
    <t>(kWh/yr)</t>
  </si>
  <si>
    <t>($/yr)</t>
  </si>
  <si>
    <t>Water savings</t>
  </si>
  <si>
    <t>ECM Number</t>
  </si>
  <si>
    <t>Simple Payback</t>
  </si>
  <si>
    <t>(Kgal/yr)</t>
  </si>
  <si>
    <t>Total Implementation &amp; Performance Period</t>
  </si>
  <si>
    <t>Performance Period Expenses</t>
  </si>
  <si>
    <t>Annual Cash Flow (Performance Period)</t>
  </si>
  <si>
    <t>Applied Incentives</t>
  </si>
  <si>
    <t>c1</t>
  </si>
  <si>
    <t>c2</t>
  </si>
  <si>
    <t>d1</t>
  </si>
  <si>
    <t>d2</t>
  </si>
  <si>
    <t>h</t>
  </si>
  <si>
    <t>i</t>
  </si>
  <si>
    <t>j</t>
  </si>
  <si>
    <t>b2</t>
  </si>
  <si>
    <t>b1</t>
  </si>
  <si>
    <t>Short Description</t>
  </si>
  <si>
    <t>Estimated Annual Cost Savings</t>
  </si>
  <si>
    <t>Natural Gas</t>
  </si>
  <si>
    <t>Water</t>
  </si>
  <si>
    <t>O&amp;M</t>
  </si>
  <si>
    <t>Operation</t>
  </si>
  <si>
    <t>e1a</t>
  </si>
  <si>
    <t>e2a</t>
  </si>
  <si>
    <t>e1b</t>
  </si>
  <si>
    <t>e2b</t>
  </si>
  <si>
    <t>g = b2+c2+d2+e2a+e2b</t>
  </si>
  <si>
    <t>(MMBtu/yr)</t>
  </si>
  <si>
    <t>Electric Energy</t>
  </si>
  <si>
    <t>Electric Demand</t>
  </si>
  <si>
    <t>ECM Coverage (%)</t>
  </si>
  <si>
    <t xml:space="preserve">IMPORTANT INFORMATION:  </t>
  </si>
  <si>
    <t>(kW/mo)</t>
  </si>
  <si>
    <t>Total Performance Period:</t>
  </si>
  <si>
    <t>TOTALS:</t>
  </si>
  <si>
    <t>BASIC PROJECT INFORMATION</t>
  </si>
  <si>
    <t>(kGal/yr)</t>
  </si>
  <si>
    <t>k</t>
  </si>
  <si>
    <t>m</t>
  </si>
  <si>
    <t>n = m/l</t>
  </si>
  <si>
    <t>(years)</t>
  </si>
  <si>
    <t>Baseline Energy and Non-energy Consumption</t>
  </si>
  <si>
    <t>PERFORMANCE PERIOD CASH FLOW</t>
  </si>
  <si>
    <t>Project Contact Information</t>
  </si>
  <si>
    <t>Other Information</t>
  </si>
  <si>
    <t>Project Identification &amp; Characteristics</t>
  </si>
  <si>
    <t>SCHEDULE #1</t>
  </si>
  <si>
    <t>SCHEDULE #4</t>
  </si>
  <si>
    <t>SCHEDULE #5</t>
  </si>
  <si>
    <t>Performance Period (year)</t>
  </si>
  <si>
    <t>ANNUAL DOLLAR SAVINGS ESCALATION RATES</t>
  </si>
  <si>
    <t>( a )</t>
  </si>
  <si>
    <t>( c )</t>
  </si>
  <si>
    <t>( d )</t>
  </si>
  <si>
    <t>CANCELLATION CEILINGS</t>
  </si>
  <si>
    <t>Guaranteed Annual Cost Savings</t>
  </si>
  <si>
    <t xml:space="preserve">IMPORTANT INFORMATION:   </t>
  </si>
  <si>
    <t> End of Performance Period (Year)</t>
  </si>
  <si>
    <t>(3) Please select other savings types from dropdown menu provided above, if applicable.</t>
  </si>
  <si>
    <t>FIRST YEAR ESTIMATED COST SAVINGS BY ENERGY CONSERVATION MEASURE</t>
  </si>
  <si>
    <t>Primary Electric Utility</t>
  </si>
  <si>
    <t>Primary Natural Gas Utility</t>
  </si>
  <si>
    <t>Primary Water Utility</t>
  </si>
  <si>
    <t>Average Annual Energy Consumption of Affected Buildings (MMBtu/yr)</t>
  </si>
  <si>
    <t>Contract #</t>
  </si>
  <si>
    <t>Other Savings Type 1: Other</t>
  </si>
  <si>
    <t>Other Savings Type 2: Other</t>
  </si>
  <si>
    <t>Federal Contract Type</t>
  </si>
  <si>
    <t>Implementation start through first year</t>
  </si>
  <si>
    <t>(2) All estimated cost savings numbers reported in Schedule 4 ("First year estimated cost savings by ECM") are assumed to have already incorporated the "Implementation start through first year" escalation rates reported above.</t>
  </si>
  <si>
    <t>Annual Dollar Savings Retained by Customer</t>
  </si>
  <si>
    <t>ECM Category</t>
  </si>
  <si>
    <t xml:space="preserve">(1)  This schedule is not to be altered or changed in any way.  </t>
  </si>
  <si>
    <t>(1) "Implementation start through first year" reflects cumulative escalation occurring during the length of the implementation period through the first year of savings.  This may represent an annual escalation figure that is compounded or another formulation (e.g., actual forecasts from utility companies).</t>
  </si>
  <si>
    <t>Annual Payments</t>
  </si>
  <si>
    <t>Total Payments (c+f)</t>
  </si>
  <si>
    <t>COST SAVINGS AND PAYMENTS</t>
  </si>
  <si>
    <t>(g)</t>
  </si>
  <si>
    <t>Implementation Period (Year 0)</t>
  </si>
  <si>
    <t>Boiler Plant Improvements</t>
  </si>
  <si>
    <t>Chiller Plant Improvements</t>
  </si>
  <si>
    <t>Lighting Improvements</t>
  </si>
  <si>
    <t>Building Envelope Modifications</t>
  </si>
  <si>
    <t>Chilled Water, Hot Water, and Steam Distribution Systems</t>
  </si>
  <si>
    <t>Electric Motors and Drives</t>
  </si>
  <si>
    <t>Refrigeration</t>
  </si>
  <si>
    <t>Distributed Generation</t>
  </si>
  <si>
    <t>Renewable Energy Systems</t>
  </si>
  <si>
    <t>Energy/Utility Distribution Systems</t>
  </si>
  <si>
    <t>Water and Sewer Conservation Systems</t>
  </si>
  <si>
    <t>Electrical Peak Shaving/Load Shifting</t>
  </si>
  <si>
    <t>Energy Related Process Improvements</t>
  </si>
  <si>
    <t>Appliance/Plug load reductions</t>
  </si>
  <si>
    <t>ADDITIONAL NOTES:</t>
  </si>
  <si>
    <t>Other Savings Type 1</t>
  </si>
  <si>
    <t>Other Savings Type 1: Coal</t>
  </si>
  <si>
    <t>Other Savings Type 1: Diesel</t>
  </si>
  <si>
    <t>Other Savings Type 1: Gasoline</t>
  </si>
  <si>
    <t>Other Savings Type 1: Heating Oil</t>
  </si>
  <si>
    <t>Other Savings Type 1: Jet Fuel</t>
  </si>
  <si>
    <t>Other Savings Type 1: Purchased Steam</t>
  </si>
  <si>
    <t>Other Savings Type 1: Chilled Water</t>
  </si>
  <si>
    <t>Other Savings Type 2</t>
  </si>
  <si>
    <t>Other Savings Type 2: Coal</t>
  </si>
  <si>
    <t>Other Savings Type 2: Diesel</t>
  </si>
  <si>
    <t>Other Savings Type 2: Gasoline</t>
  </si>
  <si>
    <t>Other Savings Type 2: Heating Oil</t>
  </si>
  <si>
    <t>Other Savings Type 2: Jet Fuel</t>
  </si>
  <si>
    <t>Other Savings Type 2: Purchased Steam</t>
  </si>
  <si>
    <t>Other Savings Type 2: Chilled Water</t>
  </si>
  <si>
    <t>Other Savings Type 1: Propane</t>
  </si>
  <si>
    <t>Other Savings Type 2: Propane</t>
  </si>
  <si>
    <t xml:space="preserve">Total Estimated Cost Savings </t>
  </si>
  <si>
    <t xml:space="preserve">Annual Estimated Energy Savings (MMBtu) </t>
  </si>
  <si>
    <t xml:space="preserve">Annual Estimated Water Savings (kGal) </t>
  </si>
  <si>
    <t xml:space="preserve">Sub Agency Name/Region </t>
  </si>
  <si>
    <t>Task/Purchase Order #</t>
  </si>
  <si>
    <t xml:space="preserve"> </t>
  </si>
  <si>
    <t>(3) The total of annual payments represents the contract price and should be supported by information submitted.</t>
  </si>
  <si>
    <t>Resource Enumerations</t>
  </si>
  <si>
    <t>(1) This schedule should only be completed if required by the contract.</t>
  </si>
  <si>
    <t xml:space="preserve">(2) Cancellation ceilings for each time period specified below establish the maximum termination liability for that time period, and include the remaining unamortized principal of the total amount financed for each time period specified above plus any prepayment charges.  Actual total termination costs will be negotiated.             </t>
  </si>
  <si>
    <t>Project Acceptance</t>
  </si>
  <si>
    <t>Project Name</t>
  </si>
  <si>
    <t>Primary Project Location-City</t>
  </si>
  <si>
    <t>Primary Project Location-State</t>
  </si>
  <si>
    <t>Primary Project Location-Zipcode</t>
  </si>
  <si>
    <t>Market Segment</t>
  </si>
  <si>
    <t>List of Sites in Project (separated by commas)</t>
  </si>
  <si>
    <t>Number of Buildings in Project</t>
  </si>
  <si>
    <t>Project ID #</t>
  </si>
  <si>
    <t>Template Errors/Warnings</t>
  </si>
  <si>
    <t>Role</t>
  </si>
  <si>
    <t>Institution</t>
  </si>
  <si>
    <t>Name</t>
  </si>
  <si>
    <t>Title</t>
  </si>
  <si>
    <t>Email</t>
  </si>
  <si>
    <t>Phone</t>
  </si>
  <si>
    <t>Project Identification</t>
  </si>
  <si>
    <t>Project Characteristics</t>
  </si>
  <si>
    <t>Project Financial Summary</t>
  </si>
  <si>
    <t>Performance Period (Year)</t>
  </si>
  <si>
    <t xml:space="preserve">Term (year)        </t>
  </si>
  <si>
    <t>Project Implementation Pricing Worksheet</t>
  </si>
  <si>
    <t>a</t>
  </si>
  <si>
    <t>b</t>
  </si>
  <si>
    <t>c</t>
  </si>
  <si>
    <t>d</t>
  </si>
  <si>
    <t>e</t>
  </si>
  <si>
    <t>f</t>
  </si>
  <si>
    <t>Design</t>
  </si>
  <si>
    <t>g</t>
  </si>
  <si>
    <t>Project Management</t>
  </si>
  <si>
    <t>l</t>
  </si>
  <si>
    <t>n</t>
  </si>
  <si>
    <t>q</t>
  </si>
  <si>
    <t>o</t>
  </si>
  <si>
    <t>Sum (f to l)</t>
  </si>
  <si>
    <t>Sum
(e+m+n-q)</t>
  </si>
  <si>
    <t>Sum 
(a+b+c+d)</t>
  </si>
  <si>
    <t>Total Implementation Price</t>
  </si>
  <si>
    <t>SCHEDULE #2b</t>
  </si>
  <si>
    <t>SCHEDULE #2a</t>
  </si>
  <si>
    <t>Price/Cost</t>
  </si>
  <si>
    <t>SCHEDULE #3</t>
  </si>
  <si>
    <t>Implementation Price</t>
  </si>
  <si>
    <t>M&amp;V Equipment Installed During Construction</t>
  </si>
  <si>
    <t>Self-Performed Work</t>
  </si>
  <si>
    <t xml:space="preserve">A fixed-price bid received in response to a Request for Proposals issued by an ESCO for a specific scope of work, exclusive of the cost to install M&amp;V equipment. </t>
  </si>
  <si>
    <t xml:space="preserve">A fixed price cost for a specific scope of work performed by an ESCO.  </t>
  </si>
  <si>
    <t>Description</t>
  </si>
  <si>
    <t>Cost Item</t>
  </si>
  <si>
    <t xml:space="preserve">All ESCOs are required to bond the performance and payment of all work by a reputable surety approved for such work.  The cost of the performance and payment bond shall be included in this category for the anticipated amount of work to be completed.  </t>
  </si>
  <si>
    <t>(5)  ECM coverage (%) represents the percentage share of the total project floor area (see Summary Schedule) affected by the ECM.</t>
  </si>
  <si>
    <t>Commissioning and Training</t>
  </si>
  <si>
    <t>Measurement and Verification</t>
  </si>
  <si>
    <t>(4) If applicable, prior to the performance period, implementation period energy savings and payments are one-time amounts only.</t>
  </si>
  <si>
    <t>(5) If applicable, the guaranteed cost savings during the implementation and performance periods must exceed the payments.</t>
  </si>
  <si>
    <t xml:space="preserve">(6) Escalation rates (see Annual Escalation Rates) apply to the estimated annual cost savings in column (d). </t>
  </si>
  <si>
    <t>f = 0.003412*b1+d1+e1a+e1b</t>
  </si>
  <si>
    <t>Advanced Metering Systems</t>
  </si>
  <si>
    <t xml:space="preserve">Commissioning </t>
  </si>
  <si>
    <t>Energy Cost Reduction Through Rate Adjustments</t>
  </si>
  <si>
    <t>Future/Other ECMs</t>
  </si>
  <si>
    <t xml:space="preserve">(3) End of the year annual cancellation ceiling costs should be shown in month 12 (column N). </t>
  </si>
  <si>
    <t>(4) In the event of TO cancellation, specify the cancellation ceiling as a percentage of remaining principal balance in "Additional Notes" below.</t>
  </si>
  <si>
    <t>(3)  Contractor shall attach adequate supporting information detailing total implementation price.</t>
  </si>
  <si>
    <t>Subcontractor Costs (Contractor Costs To ESCO) exclusive of M&amp;V equipment</t>
  </si>
  <si>
    <t>Percent of Cost of Goods and Services (Base Construction)</t>
  </si>
  <si>
    <t>The cost of equipment installed during construction which is integral to performance of M&amp;V activities in the performance period.</t>
  </si>
  <si>
    <t>In some cases the ESCO may purchase equipment directly to be installed under scopes of work as described in items (a) and (c) above.  This amount (d) represents the purchase price of all such equipment.</t>
  </si>
  <si>
    <t>Cost of Goods and Services (Base Construction)</t>
  </si>
  <si>
    <t xml:space="preserve">Design costs include all professional architecture and engineering costs required to design and specify projects to be installed as part of the work, appropriately burdended for overhead and profit as determined by the ESCO. </t>
  </si>
  <si>
    <t>The cost of administering and managing the project, appropriately burdened for overhead and profit as determined by the ESCO.</t>
  </si>
  <si>
    <t>Performance and Payment Bonds</t>
  </si>
  <si>
    <t xml:space="preserve">At the completion of construction, the ESCO completes the M&amp;V of installed equipment to verify post-retrofit energy and water efficiency, operation, and prepares a Post-Installation M&amp;V report.  This effort is necessary to ensure systems will meet the guaranteed energy savings and start the M&amp;V Services phase.  If completed by ESCO staff, this cost shall be appropriately burdened (overhead and profit) as determined by the ESCO.  If completed by an external M&amp;V firm, this cost includes the turnkey cost to provide necessary M&amp;V services.  </t>
  </si>
  <si>
    <t>Overhead Percent</t>
  </si>
  <si>
    <t>Profit Percent</t>
  </si>
  <si>
    <t>The indirect costs or fixed expenses of operating the ESCO’s business, applied to the Cost of Goods and Service.</t>
  </si>
  <si>
    <t xml:space="preserve">The anticipated, but not guaranteed, gross profit associated with the project, applied to the Cost of Goods and Service. </t>
  </si>
  <si>
    <t xml:space="preserve">(1) The Implementation delivery percentage shall not exceed the maximum delivery percentage, if applicable. </t>
  </si>
  <si>
    <t>TOTAL Performance Period Price (b)</t>
  </si>
  <si>
    <t>Other Direct Purchases Of Equipment, Material, Supplies (Supplier Costs To ESCO)  exclusive of M&amp;V equipment</t>
  </si>
  <si>
    <t>PDC + [a+b] - c</t>
  </si>
  <si>
    <t>Implementation Delivery Percentage/Charge</t>
  </si>
  <si>
    <t>(2) The guaranteed annual cost savings are pursuant to the description in the M&amp;V plan proposed for the project.</t>
  </si>
  <si>
    <t>(4)  For the following ECMs, enter under ECM Size the total installed capacity of new equipment in the units specified; chillers and packaged units in tons (e.g., for a chiller - 250 tons), VFDs in hp, boilers and furnaces in input Btu/hr, BAS/EMCS in number of points, transformers in kVA, generators in kW.  For lighting ECMs, specify baseline kW treated.</t>
  </si>
  <si>
    <t>(3) User should enter an average monthly kW reduction figure. Demand savings can (and usually do) vary by season and in their conversion rate to dollar savings.</t>
  </si>
  <si>
    <t>Other PP Expense 1: Other</t>
  </si>
  <si>
    <t>Other PP Expense 2: Other</t>
  </si>
  <si>
    <t>Implementation Price PDP + [a+b] - c</t>
  </si>
  <si>
    <t>Project Development Price (PDP)-Technical Energy Audit and Project Proposal</t>
  </si>
  <si>
    <t>Heating, Ventilating, and Air Conditioning</t>
  </si>
  <si>
    <t>M&amp;V</t>
  </si>
  <si>
    <t>RCx</t>
  </si>
  <si>
    <t>O&amp;M and RCx</t>
  </si>
  <si>
    <t>Other</t>
  </si>
  <si>
    <t>Option A</t>
  </si>
  <si>
    <t>Option B</t>
  </si>
  <si>
    <t>Option C</t>
  </si>
  <si>
    <t>Option D</t>
  </si>
  <si>
    <t>Unknown</t>
  </si>
  <si>
    <t>SCHEDULE #1(u)- UESC</t>
  </si>
  <si>
    <t>1. Project Contact Information</t>
  </si>
  <si>
    <t>2. Project Identification &amp; Characteristics</t>
  </si>
  <si>
    <t>3. Project Costs and Financials</t>
  </si>
  <si>
    <t>4. Project Capitalization</t>
  </si>
  <si>
    <t>5. Other</t>
  </si>
  <si>
    <t>Annual Escalation Rates</t>
  </si>
  <si>
    <r>
      <t>2.</t>
    </r>
    <r>
      <rPr>
        <sz val="7"/>
        <color rgb="FF000000"/>
        <rFont val="Century Gothic"/>
        <family val="1"/>
      </rPr>
      <t xml:space="preserve">     </t>
    </r>
    <r>
      <rPr>
        <sz val="12"/>
        <color rgb="FF000000"/>
        <rFont val="Century Gothic"/>
        <family val="1"/>
      </rPr>
      <t xml:space="preserve">Performance Period Expenses: The post-acceptance performance period section pertains to the total expenses associated with the services the contractor supplies to manage the project, maintain and verify ECM performance during the post-acceptance performance period, and any other applicable expenses. </t>
    </r>
  </si>
  <si>
    <t>Sch1-Ann Cost Sav &amp; Pymts</t>
  </si>
  <si>
    <t>Sch1u-Ann Cost Sav &amp; Pymts-UESC</t>
  </si>
  <si>
    <t>Sch2a-Imp Price by ECM</t>
  </si>
  <si>
    <t>Sch3-Perf Period Cash Flow</t>
  </si>
  <si>
    <t>Sheet</t>
  </si>
  <si>
    <t>Project Type</t>
  </si>
  <si>
    <t>All</t>
  </si>
  <si>
    <t>(2) The total of annual payments represents the contract price and should be supported by information submitted.</t>
  </si>
  <si>
    <t>(3) If applicable, prior to the performance period, implementation period energy savings and payments are one-time amounts only.</t>
  </si>
  <si>
    <t xml:space="preserve">(4) Escalation rates (see Annual Escalation Rates) apply to the estimated annual cost savings in column (d). </t>
  </si>
  <si>
    <r>
      <rPr>
        <b/>
        <sz val="12"/>
        <rFont val="Century Gothic"/>
        <family val="2"/>
      </rPr>
      <t>IMPORTANT INFORMATION</t>
    </r>
    <r>
      <rPr>
        <sz val="12"/>
        <rFont val="Century Gothic"/>
        <family val="2"/>
      </rPr>
      <t>: See the ePB Data Template User Guide on the</t>
    </r>
    <r>
      <rPr>
        <u/>
        <sz val="12"/>
        <color theme="10"/>
        <rFont val="Century Gothic"/>
        <family val="2"/>
      </rPr>
      <t xml:space="preserve"> Help &amp; Documentation Page</t>
    </r>
    <r>
      <rPr>
        <sz val="12"/>
        <rFont val="Century Gothic"/>
        <family val="2"/>
      </rPr>
      <t xml:space="preserve"> for additional information on completing the data template.</t>
    </r>
  </si>
  <si>
    <t>Summary Schedule</t>
  </si>
  <si>
    <t>Sch2b-Project Imp Pricing</t>
  </si>
  <si>
    <t>Sch4-Cost Savings by ECM</t>
  </si>
  <si>
    <t>Sch5-Cancellation Ceilings</t>
  </si>
  <si>
    <t>Federal projects only</t>
  </si>
  <si>
    <t>The Summary Schedule is intended to capture high-level information about the overall project. The information on the Summary sheet is divided into 5 broad categories:</t>
  </si>
  <si>
    <t>(1) Implementation period savings can represent two things: a) construction period savings (where savings from some ECMs start accruing before construction is complete on the greater project), and b) customer buydown amounts.  Customer buydowns are counted as savings because they constitute offsets to capital expenses in the project.  Implementation period savings should not include up-front project incentives (e.g., equipment rebates) because those are entered in Schedule 2a.</t>
  </si>
  <si>
    <t>(1) Implementation period savings (both estimated and guaranteed) can represent two things: a) construction period savings (where savings from some ECMs start accruing before construction is complete on the greater project), and b) customer buydown amounts.  Customer buydowns are counted as savings because they constitute offsets to capital expenses in the project.  Implementation period savings should not include up-front project incentives (e.g., equipment rebates) because those are entered in Schedule 2a.</t>
  </si>
  <si>
    <t>Other Non-Energy Savings</t>
  </si>
  <si>
    <t>Agreement Type</t>
  </si>
  <si>
    <t>Select "UESC" on Summary Schedule C4</t>
  </si>
  <si>
    <t>Annual Escalation Rates are intended to capture the rates that are used to calculate the year-over-year energy savings for each of the different savings streams - both utility and non-utility. The first year savings reported on Sch4-Cost Savings by ECM will be escalated using the appropriate escalation rates to calculate Estimated Annual Cost Savings for subsequent years.</t>
  </si>
  <si>
    <t xml:space="preserve">This schedule presents the total implementation cost for each of the ECMs included in the project. It includes fields to characterize the ECM: technology category, number and description. It also includes other fields intended to capture the size and scope of the measure. </t>
  </si>
  <si>
    <t>Schedule 2b is optional for all users except those under the 2017 FEMP IDIQ contract. Schedule 2b itemizes project-level pricing, which is broken down into two major categories: (1) Cost of Goods &amp; Services, and (2) Implementation Delivery Percentage/Charge.</t>
  </si>
  <si>
    <t>This schedule presents the project's overall proposed cash flow. This schedule is divided into two sections:</t>
  </si>
  <si>
    <r>
      <t>1.</t>
    </r>
    <r>
      <rPr>
        <sz val="7"/>
        <color rgb="FF000000"/>
        <rFont val="Century Gothic"/>
        <family val="1"/>
      </rPr>
      <t xml:space="preserve">     </t>
    </r>
    <r>
      <rPr>
        <sz val="12"/>
        <color rgb="FF000000"/>
        <rFont val="Century Gothic"/>
        <family val="1"/>
      </rPr>
      <t>Debt Service/Performance Period Payments: The total implementation price less any one-time savings and/or ECM cost savings during the implementation period (Sch2a-Imp Price by ECM) is amortized based on the financing terms shown on Summary Sheet to calculate the overall debt service payment after excluding any financial or tax incentives or revenues, thereby reducing principal repayment or interest.</t>
    </r>
  </si>
  <si>
    <t xml:space="preserve">A summary of the proposed estimated first year cost savings that will be achieved following the installation of the ECMs included in the project. The annual cost savings shown for each ECM are broken down into energy, demand, water and non-energy cost savings. The energy baseline and savings shall be presented in the energy type consumed by the equipment and also converted to MMBTUs. </t>
  </si>
  <si>
    <t xml:space="preserve">A presentation of annual cancellation ceilings to establish the maximum termination liability in the event of contract cancellation or termination. </t>
  </si>
  <si>
    <t>The calculated estimated Annual Cost Savings for different years along with the related Annual Payment are shown on this schedule. The only user-entered fields on this schedule are Estimated Cost Savings and Payments for the implementation period. Only applicable for UESC projects.</t>
  </si>
  <si>
    <t xml:space="preserve">All except UESC </t>
  </si>
  <si>
    <t>All except UESC</t>
  </si>
  <si>
    <t>(2) At least one of the savings fields is required to compute the contract term.</t>
  </si>
  <si>
    <t xml:space="preserve">(4) All estimated cost savings numbers reported in this schedule are assumed to have already incorporated the "Implementation start through first year" escalation rates reported in the Annual Escalation Rates schedule.   </t>
  </si>
  <si>
    <t xml:space="preserve">BRIEF DESCRIPTION OF VARIOUS SCHEDULES </t>
  </si>
  <si>
    <t>The calculated Estimated Annual Cost Savings for each performance year along with the Guaranteed Annual Cost Savings and the related "Annual Payment" are shown on this schedule. The only user-entered fields on this schedule are Estimated Cost Savings, Guaranteed Cost Savings, and Payments for the implementation period.</t>
  </si>
  <si>
    <t>SCHEDULE #1(ee)-ESA &amp; ESPC</t>
  </si>
  <si>
    <t>(h)</t>
  </si>
  <si>
    <t>Total Annual Payments</t>
  </si>
  <si>
    <t>ESA Payments</t>
  </si>
  <si>
    <t>ESPC Payments</t>
  </si>
  <si>
    <t>(1) Implementation period savings (both estimated and guaranteed) can represent two things: 1) construction period savings (where savings from some ECMs start accruing before construction is complete on the greater project), and 2) customer buydown amounts.  Customer buydowns are counted as savings because they constitute offsets to capital expenses in the project.  Implementation period savings should not include up-front project incentives (e.g., equipment rebates) because those are entered in Schedule 2a.</t>
  </si>
  <si>
    <t>SCHEDULE #1(esa)-ESA</t>
  </si>
  <si>
    <t>ESA COSTS AND PAYMENTS</t>
  </si>
  <si>
    <t>Annual ESA
Price ($/kWh)</t>
  </si>
  <si>
    <t>Guaranteed Annual
Production (kWh)</t>
  </si>
  <si>
    <t>M&amp;V Expense ($)</t>
  </si>
  <si>
    <t>Sch1ee-Ann Cost Sav &amp; Pymts</t>
  </si>
  <si>
    <t>Sch1esa-ESA Pymts</t>
  </si>
  <si>
    <t>(f) = (g) + (h)</t>
  </si>
  <si>
    <t>The calculated Estimated Annual Cost Savings for each performance year along with the Guaranteed Annual Cost Savings and the related "Annual Payment" are shown on this schedule. The Total Annual Payments are broken out into ESA Payments and ESPC Payments. The only user-entered fields on this schedule are Estimated Cost Savings, Guaranteed Cost Savings, and Payments for the implementation period</t>
  </si>
  <si>
    <t>The ESA costs and payments are shown in this schedule. These include the annual ESA Price/rate and Guaranteed Annual Production. The ESA payments are broken out into "Escrow for FMV Purchase" and "Net ESA Payment to ESCO After Escrow. The only user-entered fields on this schedule are Year 1 ESA Price ($/kWh), Guarantee %, Energy Degradation and Escrow $/kWh.</t>
  </si>
  <si>
    <t>Year 1 ESA Price ($/kWh)*</t>
  </si>
  <si>
    <t>Guarantee %*</t>
  </si>
  <si>
    <t>ESA Payment (a)*(b)
(Guaranteed)</t>
  </si>
  <si>
    <t>Reserve Account for Fair Market Value (FMV) Purchase</t>
  </si>
  <si>
    <t>1) The "year 1 ESA price ($/kWh)" represents a blended price, inclusive of both kWh and kW production, and thus may be higher than the customer's current kWh-only price.</t>
  </si>
  <si>
    <t>2) "Energy degradation" is the estimated percentage decrease in electrical output (kWh) per year.</t>
  </si>
  <si>
    <t>3) Electricity prices shown in column (a) are escalated per the escalation rates for "electric energy" shown in the Annual Escalation Rates schedule.</t>
  </si>
  <si>
    <t>4) The year 1 "guaranteed annual production (kWh)" in column (b) represents the "electric energy savings" from the renewable energy ECM, as shown on Schedule 4, Cost Savings by ECM.</t>
  </si>
  <si>
    <t>5) ESA payment shown in column (c) includes the reserve account amount shown in (d).</t>
  </si>
  <si>
    <t>Select "ESA" on Summary Schedule C4</t>
  </si>
  <si>
    <t>ECM - Technology Category</t>
  </si>
  <si>
    <t>ECM Description – Title</t>
  </si>
  <si>
    <t>Project Agreement Type (choose from list)</t>
  </si>
  <si>
    <t>=</t>
  </si>
  <si>
    <t>List of Buildings in Project (separated by comma if more than one)</t>
  </si>
  <si>
    <t>Total Floor Area Affected by Project (Square Feet)</t>
  </si>
  <si>
    <t>Agency Name</t>
  </si>
  <si>
    <t>Implementation Period (months)</t>
  </si>
  <si>
    <t>Project Award Date (mm/dd/yyyy)</t>
  </si>
  <si>
    <t>Estimated Cost Savings</t>
  </si>
  <si>
    <t>Payments</t>
  </si>
  <si>
    <t>Guaranteed Cost Savings</t>
  </si>
  <si>
    <t>Project Facilitator</t>
  </si>
  <si>
    <t xml:space="preserve">Customer </t>
  </si>
  <si>
    <t>Primary Financier</t>
  </si>
  <si>
    <t>(6)  At least one ECM must be marked with a "Yes" in the "Energy Sales Agreement" column if you chose "ESA" as the Project Agreement Type on the Summary Schedule.  Note that any ECM marked with a "Yes" in this column will not have any of its figures included in the project-level cost and price totals (Costs of Goods and Services - Base Construction, Project Implementation Delivery Charge, Applied Incentives, Implementation Price).  The ECM-level figures entered on this schedule for an ESA ECM represent equivalent investment values, and are provided for the purposes of agency reporting only</t>
  </si>
  <si>
    <t>SCHEDULE #4g</t>
  </si>
  <si>
    <t>kg CO2e/Mmbtu</t>
  </si>
  <si>
    <t>Electric GHG</t>
  </si>
  <si>
    <t>kg CO2e/MMBtu</t>
  </si>
  <si>
    <t>kg CO2e</t>
  </si>
  <si>
    <t>Select Region</t>
  </si>
  <si>
    <t>Unique Key HHV</t>
  </si>
  <si>
    <t>Scope</t>
  </si>
  <si>
    <t>Category</t>
  </si>
  <si>
    <t>Fuel Type</t>
  </si>
  <si>
    <t>Default high heat value</t>
  </si>
  <si>
    <t>HHV Units</t>
  </si>
  <si>
    <t>Default CO2 EF</t>
  </si>
  <si>
    <t>CO2 UOM</t>
  </si>
  <si>
    <t>Default CH4 EF</t>
  </si>
  <si>
    <t>CH4 UOM</t>
  </si>
  <si>
    <t>Default N2O EF</t>
  </si>
  <si>
    <t>N2O UOM</t>
  </si>
  <si>
    <t>Reference</t>
  </si>
  <si>
    <t>Reference URL</t>
  </si>
  <si>
    <t>Scope All</t>
  </si>
  <si>
    <t>Fuels</t>
  </si>
  <si>
    <t>Asphalt and road oil</t>
  </si>
  <si>
    <t>MMBtu/gallon</t>
  </si>
  <si>
    <t>kg CO2/MMBtu</t>
  </si>
  <si>
    <t>kg CH4/MMBtu</t>
  </si>
  <si>
    <t>kg N2O/MMBtu</t>
  </si>
  <si>
    <t>U.S. EPA Greenhouse Gas Reporting Program, Federal Register / Vol. 74, No. 209 / Friday, October 30, 2009 / Rules and Regulations, Table C-1 to Subpart C of Part 98 &amp; Table C-2 to Subpart C of Part 98.</t>
  </si>
  <si>
    <t>http://www.epa.gov/climateleadership/documents/emission-factors.pdf</t>
  </si>
  <si>
    <t>Aviation gasoline</t>
  </si>
  <si>
    <t>Biodiesel - B100</t>
  </si>
  <si>
    <t>http://www.epa.gov/ghgreporting/documents/pdf/2009/GHG-MRR-FinalRule.pdf</t>
  </si>
  <si>
    <t>Biogas - captured methane</t>
  </si>
  <si>
    <t>MMBtu/scf</t>
  </si>
  <si>
    <t>Biogas - LandGEM</t>
  </si>
  <si>
    <t>MMBtu/MT CH4</t>
  </si>
  <si>
    <t>MT CO2/MMBtu</t>
  </si>
  <si>
    <t>MT CH4/MMBtu</t>
  </si>
  <si>
    <t>MT N2O/MMBtu</t>
  </si>
  <si>
    <t>U.S. EPA Greenhouse Gas Reporting Program, Federal Register / Vol. 74, No. 209 / Friday, October 30, 2009 / Rules and Regulations, Table C-1 to Subpart C of Part 98 &amp; Table C-2 to Subpart C of Part 98. &amp; U.S. EPA Climate Leaders, Offset Project Methodology for Project Type: Landfill Methane Collection and Combustion, August 2008.</t>
  </si>
  <si>
    <t>http://www.epa.gov/ghgreporting/documents/pdf/2009/GHG-MRR-FinalRule.pdf &amp; http://www.epa.gov/stateply/documents/resources/draft_landfill_offset_protocol.pdf</t>
  </si>
  <si>
    <t>Biogas - WWTP</t>
  </si>
  <si>
    <t>MMBtu/Kg CH4</t>
  </si>
  <si>
    <t>Biomass - Agricultural byproducts</t>
  </si>
  <si>
    <t>MMBtu/short ton</t>
  </si>
  <si>
    <t>Biomass - Peat</t>
  </si>
  <si>
    <t>Biomass - Solid byproducts</t>
  </si>
  <si>
    <t>Biomass - Wood and wood residuals</t>
  </si>
  <si>
    <t>Blast furnace gas - Fossil-derived</t>
  </si>
  <si>
    <t>Butane</t>
  </si>
  <si>
    <t>Butylene</t>
  </si>
  <si>
    <t>Coal - Anthracite</t>
  </si>
  <si>
    <t>Coal - Bituminous</t>
  </si>
  <si>
    <t>Coal - Coke</t>
  </si>
  <si>
    <t>Coal - Lignite</t>
  </si>
  <si>
    <t>Coal - Mixed (Commercial sector)</t>
  </si>
  <si>
    <t>Coal - Mixed (Electric Power sector)</t>
  </si>
  <si>
    <t>Coal - Mixed (Industrial coking)</t>
  </si>
  <si>
    <t>Coal - Mixed (Industrial sector)</t>
  </si>
  <si>
    <t>Coal - Subbituminous</t>
  </si>
  <si>
    <t>Coke oven gas - Fossil-derived</t>
  </si>
  <si>
    <t>Crude oil</t>
  </si>
  <si>
    <t>Distillate Fuel Oil No. 1</t>
  </si>
  <si>
    <t>Distillate Fuel Oil No. 2</t>
  </si>
  <si>
    <t>Distillate Fuel Oil No. 4</t>
  </si>
  <si>
    <t>Ethane</t>
  </si>
  <si>
    <t>Ethanol - E100</t>
  </si>
  <si>
    <t>Ethylene</t>
  </si>
  <si>
    <t>Heavy gas oils</t>
  </si>
  <si>
    <t>Isobutene</t>
  </si>
  <si>
    <t>Isobutylene</t>
  </si>
  <si>
    <t>Kerosene</t>
  </si>
  <si>
    <t>Kerosene-type jet fuel</t>
  </si>
  <si>
    <t>Liquefied petroleum gases (LPG)</t>
  </si>
  <si>
    <t>Lubricants</t>
  </si>
  <si>
    <t>Motor gasoline</t>
  </si>
  <si>
    <t>Municipal solid waste - Fossil-derived</t>
  </si>
  <si>
    <t>Naphtha - &lt;401 degrees F</t>
  </si>
  <si>
    <t>Natural gasoline</t>
  </si>
  <si>
    <t>Other oil (&gt;401 degrees F)</t>
  </si>
  <si>
    <t>Pentanes plus</t>
  </si>
  <si>
    <t>Petrochemical feedstocks</t>
  </si>
  <si>
    <t>Petroleum coke</t>
  </si>
  <si>
    <t>Propane</t>
  </si>
  <si>
    <t>Propylene</t>
  </si>
  <si>
    <t>Rendered animal fat</t>
  </si>
  <si>
    <t>Residual  Fuel Oil No. 6</t>
  </si>
  <si>
    <t>Residual Fuel Oil No. 5</t>
  </si>
  <si>
    <t>Special naphtha</t>
  </si>
  <si>
    <t>Still gas</t>
  </si>
  <si>
    <t>Tires - Fossil-derived</t>
  </si>
  <si>
    <t>Unfinished oils</t>
  </si>
  <si>
    <t>Vegetable oil</t>
  </si>
  <si>
    <t>Chilled Water</t>
  </si>
  <si>
    <t>Electric Driven Chiller, US National Average</t>
  </si>
  <si>
    <t>Purchased Steam</t>
  </si>
  <si>
    <t>Hot Water</t>
  </si>
  <si>
    <t>For Custom Fuel Types, enter EMFACs</t>
  </si>
  <si>
    <t>MMBtu/mmbtu</t>
  </si>
  <si>
    <t>eGRID subregion name</t>
  </si>
  <si>
    <t>eGRID subregion acronym</t>
  </si>
  <si>
    <t>Subregion annual CO2 output emission rate (lb/MWh)</t>
  </si>
  <si>
    <t>Subregion annual CH4 output emission rate (lb/MWh)</t>
  </si>
  <si>
    <t>Subregion annual N2O output emission rate (lb/MWh)</t>
  </si>
  <si>
    <t>Baseload Combined Rate (kgs per mmbtu)</t>
  </si>
  <si>
    <t>Non-Baseload Combined Rate (kgs per mmbtu)</t>
  </si>
  <si>
    <t>ASCC Alaska Grid</t>
  </si>
  <si>
    <t>AKGD</t>
  </si>
  <si>
    <t>CH4</t>
  </si>
  <si>
    <t>100 year GWP</t>
  </si>
  <si>
    <t>ASCC Miscellaneous</t>
  </si>
  <si>
    <t>AKMS</t>
  </si>
  <si>
    <t>N20</t>
  </si>
  <si>
    <t>WECC Southwest</t>
  </si>
  <si>
    <t>AZNM</t>
  </si>
  <si>
    <t>lbs to kg</t>
  </si>
  <si>
    <t>WECC California</t>
  </si>
  <si>
    <t>CAMX</t>
  </si>
  <si>
    <t>btu to watts</t>
  </si>
  <si>
    <t>ERCOT All</t>
  </si>
  <si>
    <t>ERCT</t>
  </si>
  <si>
    <t>FRCC All</t>
  </si>
  <si>
    <t>FRCC</t>
  </si>
  <si>
    <t>HICC Miscellaneous</t>
  </si>
  <si>
    <t>HIMS</t>
  </si>
  <si>
    <t>HICC Oahu</t>
  </si>
  <si>
    <t>HIOA</t>
  </si>
  <si>
    <t>MRO East</t>
  </si>
  <si>
    <t>MROE</t>
  </si>
  <si>
    <t>MRO West</t>
  </si>
  <si>
    <t>MROW</t>
  </si>
  <si>
    <t>NPCC New England</t>
  </si>
  <si>
    <t>NEWE</t>
  </si>
  <si>
    <t>WECC Northwest</t>
  </si>
  <si>
    <t>NWPP</t>
  </si>
  <si>
    <t>NPCC NYC/Westchester</t>
  </si>
  <si>
    <t>NYCW</t>
  </si>
  <si>
    <t>NPCC Long Island</t>
  </si>
  <si>
    <t>NYLI</t>
  </si>
  <si>
    <t>NPCC Upstate NY</t>
  </si>
  <si>
    <t>NYUP</t>
  </si>
  <si>
    <t>Puerto Rico Miscellaneous</t>
  </si>
  <si>
    <t>PRMS</t>
  </si>
  <si>
    <t>RFC East</t>
  </si>
  <si>
    <t>RFCE</t>
  </si>
  <si>
    <t>RFC Michigan</t>
  </si>
  <si>
    <t>RFCM</t>
  </si>
  <si>
    <t>RFC West</t>
  </si>
  <si>
    <t>RFCW</t>
  </si>
  <si>
    <t>WECC Rockies</t>
  </si>
  <si>
    <t>RMPA</t>
  </si>
  <si>
    <t>SPP North</t>
  </si>
  <si>
    <t>SPNO</t>
  </si>
  <si>
    <t>SPP South</t>
  </si>
  <si>
    <t>SPSO</t>
  </si>
  <si>
    <t>SERC Mississippi Valley</t>
  </si>
  <si>
    <t>SRMV</t>
  </si>
  <si>
    <t>SERC Midwest</t>
  </si>
  <si>
    <t>SRMW</t>
  </si>
  <si>
    <t>SERC South</t>
  </si>
  <si>
    <t>SRSO</t>
  </si>
  <si>
    <t>SERC Tennessee Valley</t>
  </si>
  <si>
    <t>SRTV</t>
  </si>
  <si>
    <t>SERC Virginia/Carolina</t>
  </si>
  <si>
    <t>SRVC</t>
  </si>
  <si>
    <t>U.S. Default</t>
  </si>
  <si>
    <t>U.S.</t>
  </si>
  <si>
    <t>Master Non-Baseload Egrid Factors, eGRID 2021, (2019) Data, Table 1 Summary Tables</t>
  </si>
  <si>
    <t>Sch4g-GHG</t>
  </si>
  <si>
    <t>A summary of the proposed estimated first year GHG reductions (Scope 1 and Scope 2) that will be achieved following the installation of the ECMs included in the project. These reductions are based on the energy savings entered on Sch4-Cost Savings by ECM and EPA’s Emission Factors for GHG Inventories</t>
  </si>
  <si>
    <t>https://www.epa.gov/system/files/documents/2022-04/ghg_emission_factors_hub.pdf</t>
  </si>
  <si>
    <t>Federal M&amp;V Version</t>
  </si>
  <si>
    <t>Location/ Facility ID</t>
  </si>
  <si>
    <t>Building Automation Systems/Energy Management Control Systems</t>
  </si>
  <si>
    <t>Annual Scope 1 CO2e Reductions</t>
  </si>
  <si>
    <t>Annual Scope 2 CO2e Reductions</t>
  </si>
  <si>
    <t>Annual Total CO2e Reductions</t>
  </si>
  <si>
    <t>Wastewater/Sewage</t>
  </si>
  <si>
    <t>h1</t>
  </si>
  <si>
    <t>i1</t>
  </si>
  <si>
    <t>h2</t>
  </si>
  <si>
    <t>i2</t>
  </si>
  <si>
    <t>l = g+i1+i2+j+k</t>
  </si>
  <si>
    <t xml:space="preserve">Source: https://www.epa.gov/sites/default/files/2015-11/documents/emission-factors_2011.pdf																	</t>
  </si>
  <si>
    <t>Natural Gas Savings</t>
  </si>
  <si>
    <t>Natural Gas GHG</t>
  </si>
  <si>
    <t>Electric Energy Savings</t>
  </si>
  <si>
    <t>Baseline Electricity Use</t>
  </si>
  <si>
    <t>Baseline Electricity Demand</t>
  </si>
  <si>
    <t>Baseline Natural Gas Use</t>
  </si>
  <si>
    <t>Baseline Water Use</t>
  </si>
  <si>
    <t>Baseline Wastewater/ Sewage</t>
  </si>
  <si>
    <t>Baseline Energy and Resource Costs</t>
  </si>
  <si>
    <t>Baseline O&amp;M Costs</t>
  </si>
  <si>
    <t>Baseline Other Non-energy Costs</t>
  </si>
  <si>
    <t xml:space="preserve"> Type of Other Non-energy Costs</t>
  </si>
  <si>
    <t>Electric Demand Savings</t>
  </si>
  <si>
    <t>Total Energy Savings</t>
  </si>
  <si>
    <t>Total Energy Cost Savings</t>
  </si>
  <si>
    <t>Water Savings</t>
  </si>
  <si>
    <t>Wastewater/ Sewage Savings</t>
  </si>
  <si>
    <t>O&amp;M Cost Savings</t>
  </si>
  <si>
    <t>Other Non-energy Cost Savings</t>
  </si>
  <si>
    <t>(1) GHG emissions are reported in units of carbon dioxide equivalent (CO2e). Gases are converted to CO2e by multiplying by 100-year gas' global warming potential (CH4 -25, and N2O - 298).</t>
  </si>
  <si>
    <t>(2) Emission factors for GHG emissions are based on the IPCC Fourth Assessment Report (AR4), 2007.</t>
  </si>
  <si>
    <t>(3) Electricity GHG emissions are based on the Master Baseload eGRID Factors from EPA eGRID 2020.</t>
  </si>
  <si>
    <t>(4) The default eGRID electricity emissions factors are set to the US average.</t>
  </si>
  <si>
    <t>(1) Energy conversion factors for MMBtu:  MMBtu = 1,000,000 Btu; 1 kWh of Electricity = 0.003412 MMBtu; 1 therm of Natural Gas = 0.1 MMBtu; 1 gal of #2 Heating Oil = 0.13859 MMBtu; 1 gal of Gasoline = 0.12048 MMBtu; 1 gal of Diesel = 0.13738 MMBtu; 1 short ton of Coal (2,000 pounds) = 19.548 MMBtu; 1 gal of Propane = 0.091333 MMBtu.</t>
  </si>
  <si>
    <t>At the completion of construction, equipment is commissioned.  This work is normally completed by commissioning agents.  If this scope is completed by ESCO employees, it includes the the appropriately  burdened cost (profit &amp; overhead) as determined by the ESCO.  If this scope is outsourced to a commissioning firm, this cost includes the turnkey cost to provide necessary commissioning services.
Training costs may be provided by subcontractors and as such will be included in their subcontractor bid.  However, if the ESCO plans to provide training, the burdened labor cost for such training shall be included in this line item.  In addition to labor, this line item may include formal classroom training, training videos, online training programs, and other training efforts that include labor and materials required to provide necessary training.  This line item cannot be a repeat of training provided directly by subcontractors in subcontractor costs.  Training labor may be utilized to supervise and coordinate subcontractor training sessions.</t>
  </si>
  <si>
    <t>FIRST YEAR ANNUAL GHG EMISSIONS REDUCTIONS BY ENERGY CONSERVATION MEASURE</t>
  </si>
  <si>
    <t>eGrid State Region</t>
  </si>
  <si>
    <t>6) The reserve account (column d) is maintained by the ESCO on behalf of the customer.The reserve account is funded for the purpose of facilitating the fair market value (FMV) title transfer of the project's renewable asset by the government at the conclusion of the term.</t>
  </si>
  <si>
    <t>(5) Electricity GHG emission factors are based on EPA's Master Non-Baseload Egrid Factors, eGRID 2021(2019 Data)</t>
  </si>
  <si>
    <t>(6) Assuming "Chilled Water” is “Purchased Chilled Water" that's generated from electric chiller and "Purchased Steam" is generated from a natural gas boiler with an efficiency of 80%, steam production efficiency of 75% with 10% distribution loses</t>
  </si>
  <si>
    <t>4.2.9.n</t>
  </si>
  <si>
    <t>Energy Degradation %*</t>
  </si>
  <si>
    <t>Estimated FMV at end of term ($)</t>
  </si>
  <si>
    <t>02072025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</si>
</sst>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5" formatCode="&quot;$&quot;#,##0_);\(&quot;$&quot;#,##0\)"/>
    <numFmt numFmtId="6" formatCode="&quot;$&quot;#,##0_);[Red]\(&quot;$&quot;#,##0\)"/>
    <numFmt numFmtId="8" formatCode="&quot;$&quot;#,##0.00_);[Red]\(&quot;$&quot;#,##0.00\)"/>
    <numFmt numFmtId="44" formatCode="_(&quot;$&quot;* #,##0.00_);_(&quot;$&quot;* \(#,##0.00\);_(&quot;$&quot;* &quot;-&quot;??_);_(@_)"/>
    <numFmt numFmtId="43" formatCode="_(* #,##0.00_);_(* \(#,##0.00\);_(* &quot;-&quot;??_);_(@_)"/>
    <numFmt numFmtId="164" formatCode="0.0"/>
    <numFmt numFmtId="165" formatCode="&quot;$&quot;#,##0"/>
    <numFmt numFmtId="166" formatCode="0.00_)"/>
    <numFmt numFmtId="167" formatCode="[$$-409]#,##0_);\([$$-409]#,##0\)"/>
    <numFmt numFmtId="168" formatCode="0.0%"/>
    <numFmt numFmtId="169" formatCode="_(* #,##0_);_(* \(#,##0\);_(* &quot;-&quot;??_);_(@_)"/>
    <numFmt numFmtId="170" formatCode="0.000%"/>
    <numFmt numFmtId="171" formatCode="&quot;$&quot;#,##0.00"/>
    <numFmt numFmtId="172" formatCode="[&lt;=9999999]###\-####;\(###\)\ ###\-####"/>
    <numFmt numFmtId="173" formatCode="m/d/yyyy;@"/>
    <numFmt numFmtId="174" formatCode="0.0000%"/>
    <numFmt numFmtId="175" formatCode="00000"/>
    <numFmt numFmtId="176" formatCode="&quot;$&quot;#,##0.00000"/>
    <numFmt numFmtId="177" formatCode="0.000"/>
    <numFmt numFmtId="178" formatCode="#,##0.00000"/>
    <numFmt numFmtId="179" formatCode="_(* #,##0.0_);_(* \(#,##0.0\);_(* &quot;-&quot;??_);_(@_)"/>
    <numFmt numFmtId="180" formatCode="#,##0.0"/>
    <numFmt numFmtId="181" formatCode="#,##0.000"/>
  </numFmts>
  <fonts count="77">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8"/>
      <name val="Calibri"/>
      <family val="2"/>
      <scheme val="minor"/>
    </font>
    <font>
      <u/>
      <sz val="12"/>
      <color theme="10"/>
      <name val="Calibri"/>
      <family val="2"/>
      <scheme val="minor"/>
    </font>
    <font>
      <u/>
      <sz val="12"/>
      <color theme="11"/>
      <name val="Calibri"/>
      <family val="2"/>
      <scheme val="minor"/>
    </font>
    <font>
      <sz val="10"/>
      <name val="Arial"/>
      <family val="2"/>
    </font>
    <font>
      <sz val="8"/>
      <name val="Arial"/>
      <family val="2"/>
    </font>
    <font>
      <b/>
      <i/>
      <sz val="16"/>
      <name val="Helvetica"/>
      <family val="2"/>
    </font>
    <font>
      <sz val="10"/>
      <name val="Arial"/>
      <family val="2"/>
    </font>
    <font>
      <sz val="10"/>
      <name val="Century Gothic"/>
      <family val="2"/>
    </font>
    <font>
      <b/>
      <i/>
      <sz val="16"/>
      <color theme="1"/>
      <name val="Century Gothic"/>
      <family val="2"/>
    </font>
    <font>
      <sz val="12"/>
      <color theme="1"/>
      <name val="Century Gothic"/>
      <family val="2"/>
    </font>
    <font>
      <sz val="9"/>
      <color theme="1"/>
      <name val="Century Gothic"/>
      <family val="2"/>
    </font>
    <font>
      <b/>
      <sz val="12"/>
      <color theme="1"/>
      <name val="Century Gothic"/>
      <family val="2"/>
    </font>
    <font>
      <b/>
      <sz val="12"/>
      <name val="Century Gothic"/>
      <family val="2"/>
    </font>
    <font>
      <b/>
      <i/>
      <sz val="16"/>
      <color rgb="FF000000"/>
      <name val="Century Gothic"/>
      <family val="2"/>
    </font>
    <font>
      <b/>
      <sz val="11"/>
      <color rgb="FF000000"/>
      <name val="Century Gothic"/>
      <family val="2"/>
    </font>
    <font>
      <b/>
      <sz val="11"/>
      <name val="Century Gothic"/>
      <family val="2"/>
    </font>
    <font>
      <sz val="11"/>
      <name val="Century Gothic"/>
      <family val="2"/>
    </font>
    <font>
      <sz val="12"/>
      <name val="Century Gothic"/>
      <family val="2"/>
    </font>
    <font>
      <b/>
      <sz val="11"/>
      <color theme="1"/>
      <name val="Century Gothic"/>
      <family val="2"/>
    </font>
    <font>
      <sz val="11"/>
      <color theme="1"/>
      <name val="Century Gothic"/>
      <family val="2"/>
    </font>
    <font>
      <b/>
      <sz val="11"/>
      <color rgb="FF00B050"/>
      <name val="Century Gothic"/>
      <family val="2"/>
    </font>
    <font>
      <b/>
      <sz val="12"/>
      <color rgb="FF000000"/>
      <name val="Century Gothic"/>
      <family val="2"/>
    </font>
    <font>
      <sz val="10"/>
      <color rgb="FF000000"/>
      <name val="Century Gothic"/>
      <family val="2"/>
    </font>
    <font>
      <sz val="10"/>
      <color theme="1"/>
      <name val="Century Gothic"/>
      <family val="2"/>
    </font>
    <font>
      <b/>
      <i/>
      <sz val="16"/>
      <name val="Century Gothic"/>
      <family val="2"/>
    </font>
    <font>
      <b/>
      <i/>
      <sz val="11"/>
      <name val="Century Gothic"/>
      <family val="2"/>
    </font>
    <font>
      <i/>
      <sz val="11"/>
      <name val="Century Gothic"/>
      <family val="2"/>
    </font>
    <font>
      <b/>
      <sz val="12"/>
      <color rgb="FF00B050"/>
      <name val="Century Gothic"/>
      <family val="2"/>
    </font>
    <font>
      <b/>
      <i/>
      <sz val="14"/>
      <name val="Century Gothic"/>
      <family val="2"/>
    </font>
    <font>
      <b/>
      <i/>
      <sz val="12"/>
      <name val="Century Gothic"/>
      <family val="2"/>
    </font>
    <font>
      <sz val="11"/>
      <color rgb="FF000000"/>
      <name val="Century Gothic"/>
      <family val="2"/>
    </font>
    <font>
      <sz val="9"/>
      <name val="Geneva"/>
      <family val="2"/>
    </font>
    <font>
      <sz val="11"/>
      <name val="Times New Roman"/>
      <family val="1"/>
    </font>
    <font>
      <sz val="13"/>
      <color rgb="FF444444"/>
      <name val="Lucida Grande"/>
      <family val="2"/>
    </font>
    <font>
      <b/>
      <sz val="11"/>
      <name val="Times New Roman"/>
      <family val="1"/>
    </font>
    <font>
      <sz val="12"/>
      <color indexed="8"/>
      <name val="Times New Roman"/>
      <family val="1"/>
    </font>
    <font>
      <sz val="12"/>
      <color theme="0"/>
      <name val="Century Gothic"/>
      <family val="2"/>
    </font>
    <font>
      <b/>
      <sz val="12"/>
      <color theme="1"/>
      <name val="Calibri"/>
      <family val="2"/>
      <scheme val="minor"/>
    </font>
    <font>
      <sz val="12"/>
      <name val="Calibri"/>
      <family val="2"/>
      <scheme val="minor"/>
    </font>
    <font>
      <sz val="11"/>
      <color theme="1"/>
      <name val="Calibri"/>
      <family val="2"/>
      <scheme val="minor"/>
    </font>
    <font>
      <sz val="8"/>
      <color rgb="FF000000"/>
      <name val="Century Gothic"/>
      <family val="1"/>
    </font>
    <font>
      <sz val="12"/>
      <color rgb="FF000000"/>
      <name val="Century Gothic"/>
      <family val="2"/>
    </font>
    <font>
      <sz val="10"/>
      <color theme="1"/>
      <name val="Calibri"/>
      <family val="2"/>
      <scheme val="minor"/>
    </font>
    <font>
      <sz val="8"/>
      <name val="Century Gothic"/>
      <family val="1"/>
    </font>
    <font>
      <sz val="8"/>
      <name val="Century Gothic"/>
      <family val="2"/>
    </font>
    <font>
      <b/>
      <sz val="14"/>
      <color rgb="FFFF0000"/>
      <name val="Century Gothic"/>
      <family val="2"/>
    </font>
    <font>
      <sz val="11"/>
      <color rgb="FFFF0000"/>
      <name val="Century Gothic"/>
      <family val="1"/>
    </font>
    <font>
      <b/>
      <i/>
      <sz val="8"/>
      <color rgb="FFFF0000"/>
      <name val="Century Gothic"/>
      <family val="1"/>
    </font>
    <font>
      <i/>
      <sz val="11"/>
      <color rgb="FFFF0000"/>
      <name val="Century Gothic"/>
      <family val="1"/>
    </font>
    <font>
      <sz val="12"/>
      <color rgb="FF000000"/>
      <name val="Calibri"/>
      <family val="2"/>
      <scheme val="minor"/>
    </font>
    <font>
      <sz val="11"/>
      <color theme="1"/>
      <name val="Arial Narrow"/>
      <family val="2"/>
    </font>
    <font>
      <sz val="11"/>
      <name val="Century Gothic"/>
      <family val="1"/>
    </font>
    <font>
      <sz val="12"/>
      <color theme="1"/>
      <name val="Century Gothic"/>
      <family val="1"/>
    </font>
    <font>
      <sz val="12"/>
      <color rgb="FF000000"/>
      <name val="Century Gothic"/>
      <family val="1"/>
    </font>
    <font>
      <sz val="7"/>
      <color rgb="FF000000"/>
      <name val="Century Gothic"/>
      <family val="1"/>
    </font>
    <font>
      <b/>
      <sz val="12"/>
      <color theme="1"/>
      <name val="Century Gothic"/>
      <family val="1"/>
    </font>
    <font>
      <b/>
      <sz val="12"/>
      <color rgb="FF000000"/>
      <name val="Century Gothic"/>
      <family val="1"/>
    </font>
    <font>
      <sz val="12"/>
      <color rgb="FFFF0000"/>
      <name val="Calibri"/>
      <family val="2"/>
      <scheme val="minor"/>
    </font>
    <font>
      <u/>
      <sz val="12"/>
      <color theme="10"/>
      <name val="Century Gothic"/>
      <family val="2"/>
    </font>
    <font>
      <sz val="11"/>
      <color theme="1"/>
      <name val="Century Gothic"/>
      <family val="1"/>
    </font>
    <font>
      <i/>
      <sz val="11"/>
      <color theme="1"/>
      <name val="Century Gothic"/>
      <family val="2"/>
    </font>
    <font>
      <i/>
      <sz val="12"/>
      <color rgb="FF7F7F7F"/>
      <name val="Calibri"/>
      <family val="2"/>
      <scheme val="minor"/>
    </font>
    <font>
      <b/>
      <sz val="10"/>
      <name val="Arial"/>
      <family val="2"/>
    </font>
    <font>
      <sz val="11"/>
      <name val="Calibri"/>
      <family val="2"/>
    </font>
    <font>
      <sz val="10"/>
      <color theme="0"/>
      <name val="Arial"/>
      <family val="2"/>
    </font>
    <font>
      <sz val="10"/>
      <color theme="1"/>
      <name val="Arial"/>
      <family val="2"/>
    </font>
    <font>
      <sz val="8"/>
      <color indexed="81"/>
      <name val="Tahoma"/>
      <family val="2"/>
    </font>
    <font>
      <sz val="8"/>
      <color rgb="FF000000"/>
      <name val="Tahoma"/>
      <family val="2"/>
    </font>
    <font>
      <sz val="12"/>
      <color theme="0" tint="-0.249977111117893"/>
      <name val="Calibri"/>
      <family val="2"/>
      <scheme val="minor"/>
    </font>
    <font>
      <sz val="8.5"/>
      <color rgb="FF000000"/>
      <name val="Arial"/>
      <family val="2"/>
    </font>
    <font>
      <u/>
      <sz val="12"/>
      <name val="Calibri"/>
      <family val="2"/>
      <scheme val="minor"/>
    </font>
    <font>
      <sz val="11"/>
      <name val="Arial"/>
      <family val="2"/>
    </font>
  </fonts>
  <fills count="18">
    <fill>
      <patternFill patternType="none"/>
    </fill>
    <fill>
      <patternFill patternType="gray125"/>
    </fill>
    <fill>
      <patternFill patternType="solid">
        <fgColor rgb="FFEAEAEA"/>
        <bgColor indexed="64"/>
      </patternFill>
    </fill>
    <fill>
      <patternFill patternType="solid">
        <fgColor indexed="22"/>
        <bgColor indexed="64"/>
      </patternFill>
    </fill>
    <fill>
      <patternFill patternType="solid">
        <fgColor indexed="9"/>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mediumGray">
        <bgColor auto="1"/>
      </patternFill>
    </fill>
    <fill>
      <patternFill patternType="mediumGray"/>
    </fill>
    <fill>
      <patternFill patternType="mediumGray">
        <bgColor theme="0"/>
      </patternFill>
    </fill>
    <fill>
      <patternFill patternType="solid">
        <fgColor rgb="FF00B050"/>
        <bgColor indexed="64"/>
      </patternFill>
    </fill>
    <fill>
      <patternFill patternType="solid">
        <fgColor theme="0" tint="-0.14996795556505021"/>
        <bgColor indexed="64"/>
      </patternFill>
    </fill>
    <fill>
      <patternFill patternType="solid">
        <fgColor rgb="FFFFFF00"/>
        <bgColor rgb="FF000000"/>
      </patternFill>
    </fill>
    <fill>
      <patternFill patternType="solid">
        <fgColor indexed="65"/>
        <bgColor indexed="64"/>
      </patternFill>
    </fill>
    <fill>
      <patternFill patternType="solid">
        <fgColor rgb="FFFF6600"/>
        <bgColor indexed="64"/>
      </patternFill>
    </fill>
    <fill>
      <patternFill patternType="solid">
        <fgColor rgb="FFD9D9D9"/>
        <bgColor rgb="FF000000"/>
      </patternFill>
    </fill>
    <fill>
      <patternFill patternType="solid">
        <fgColor rgb="FFFF0000"/>
        <bgColor indexed="64"/>
      </patternFill>
    </fill>
  </fills>
  <borders count="83">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right/>
      <top style="medium">
        <color rgb="FF000000"/>
      </top>
      <bottom style="medium">
        <color rgb="FF000000"/>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style="medium">
        <color rgb="FF000000"/>
      </right>
      <top style="medium">
        <color rgb="FF000000"/>
      </top>
      <bottom style="medium">
        <color auto="1"/>
      </bottom>
      <diagonal/>
    </border>
    <border>
      <left/>
      <right style="medium">
        <color auto="1"/>
      </right>
      <top style="medium">
        <color rgb="FF000000"/>
      </top>
      <bottom style="medium">
        <color rgb="FF000000"/>
      </bottom>
      <diagonal/>
    </border>
    <border>
      <left/>
      <right style="medium">
        <color auto="1"/>
      </right>
      <top style="medium">
        <color rgb="FF000000"/>
      </top>
      <bottom/>
      <diagonal/>
    </border>
    <border>
      <left style="medium">
        <color auto="1"/>
      </left>
      <right style="medium">
        <color auto="1"/>
      </right>
      <top style="medium">
        <color rgb="FF000000"/>
      </top>
      <bottom style="medium">
        <color rgb="FF000000"/>
      </bottom>
      <diagonal/>
    </border>
    <border>
      <left style="medium">
        <color auto="1"/>
      </left>
      <right style="medium">
        <color auto="1"/>
      </right>
      <top style="medium">
        <color rgb="FF000000"/>
      </top>
      <bottom/>
      <diagonal/>
    </border>
    <border>
      <left style="medium">
        <color auto="1"/>
      </left>
      <right/>
      <top style="medium">
        <color auto="1"/>
      </top>
      <bottom style="medium">
        <color rgb="FF000000"/>
      </bottom>
      <diagonal/>
    </border>
    <border>
      <left/>
      <right style="medium">
        <color auto="1"/>
      </right>
      <top style="medium">
        <color auto="1"/>
      </top>
      <bottom style="medium">
        <color rgb="FF000000"/>
      </bottom>
      <diagonal/>
    </border>
    <border>
      <left style="medium">
        <color auto="1"/>
      </left>
      <right/>
      <top style="medium">
        <color rgb="FF000000"/>
      </top>
      <bottom style="medium">
        <color rgb="FF000000"/>
      </bottom>
      <diagonal/>
    </border>
    <border>
      <left style="medium">
        <color auto="1"/>
      </left>
      <right/>
      <top style="medium">
        <color rgb="FF000000"/>
      </top>
      <bottom/>
      <diagonal/>
    </border>
    <border>
      <left style="medium">
        <color rgb="FF000000"/>
      </left>
      <right style="medium">
        <color auto="1"/>
      </right>
      <top style="medium">
        <color rgb="FF000000"/>
      </top>
      <bottom/>
      <diagonal/>
    </border>
    <border>
      <left style="medium">
        <color auto="1"/>
      </left>
      <right style="medium">
        <color rgb="FF000000"/>
      </right>
      <top/>
      <bottom/>
      <diagonal/>
    </border>
    <border>
      <left style="medium">
        <color rgb="FF000000"/>
      </left>
      <right style="medium">
        <color auto="1"/>
      </right>
      <top/>
      <bottom style="medium">
        <color rgb="FF000000"/>
      </bottom>
      <diagonal/>
    </border>
    <border>
      <left style="medium">
        <color auto="1"/>
      </left>
      <right style="medium">
        <color rgb="FF000000"/>
      </right>
      <top/>
      <bottom style="medium">
        <color rgb="FF000000"/>
      </bottom>
      <diagonal/>
    </border>
    <border>
      <left style="medium">
        <color rgb="FF000000"/>
      </left>
      <right style="medium">
        <color auto="1"/>
      </right>
      <top style="medium">
        <color rgb="FF000000"/>
      </top>
      <bottom style="medium">
        <color rgb="FF000000"/>
      </bottom>
      <diagonal/>
    </border>
    <border>
      <left/>
      <right style="medium">
        <color auto="1"/>
      </right>
      <top/>
      <bottom style="medium">
        <color rgb="FF000000"/>
      </bottom>
      <diagonal/>
    </border>
    <border>
      <left style="medium">
        <color auto="1"/>
      </left>
      <right/>
      <top/>
      <bottom style="medium">
        <color rgb="FF000000"/>
      </bottom>
      <diagonal/>
    </border>
    <border>
      <left/>
      <right/>
      <top style="medium">
        <color auto="1"/>
      </top>
      <bottom style="medium">
        <color auto="1"/>
      </bottom>
      <diagonal/>
    </border>
    <border>
      <left style="medium">
        <color auto="1"/>
      </left>
      <right style="medium">
        <color rgb="FF000000"/>
      </right>
      <top/>
      <bottom style="medium">
        <color auto="1"/>
      </bottom>
      <diagonal/>
    </border>
    <border>
      <left/>
      <right style="medium">
        <color rgb="FF000000"/>
      </right>
      <top/>
      <bottom style="medium">
        <color auto="1"/>
      </bottom>
      <diagonal/>
    </border>
    <border>
      <left style="medium">
        <color auto="1"/>
      </left>
      <right style="medium">
        <color auto="1"/>
      </right>
      <top style="medium">
        <color rgb="FF000000"/>
      </top>
      <bottom style="medium">
        <color auto="1"/>
      </bottom>
      <diagonal/>
    </border>
    <border>
      <left/>
      <right/>
      <top style="medium">
        <color rgb="FF000000"/>
      </top>
      <bottom style="medium">
        <color auto="1"/>
      </bottom>
      <diagonal/>
    </border>
    <border>
      <left/>
      <right style="medium">
        <color auto="1"/>
      </right>
      <top style="medium">
        <color rgb="FF000000"/>
      </top>
      <bottom style="medium">
        <color auto="1"/>
      </bottom>
      <diagonal/>
    </border>
    <border>
      <left style="medium">
        <color auto="1"/>
      </left>
      <right style="medium">
        <color auto="1"/>
      </right>
      <top/>
      <bottom/>
      <diagonal/>
    </border>
    <border>
      <left style="medium">
        <color rgb="FF000000"/>
      </left>
      <right style="medium">
        <color rgb="FF000000"/>
      </right>
      <top style="medium">
        <color auto="1"/>
      </top>
      <bottom/>
      <diagonal/>
    </border>
    <border>
      <left style="medium">
        <color rgb="FF000000"/>
      </left>
      <right style="medium">
        <color rgb="FF000000"/>
      </right>
      <top/>
      <bottom style="medium">
        <color auto="1"/>
      </bottom>
      <diagonal/>
    </border>
    <border>
      <left style="medium">
        <color auto="1"/>
      </left>
      <right style="medium">
        <color auto="1"/>
      </right>
      <top style="medium">
        <color auto="1"/>
      </top>
      <bottom style="medium">
        <color rgb="FF000000"/>
      </bottom>
      <diagonal/>
    </border>
    <border>
      <left style="medium">
        <color rgb="FF000000"/>
      </left>
      <right/>
      <top style="medium">
        <color rgb="FF000000"/>
      </top>
      <bottom style="medium">
        <color auto="1"/>
      </bottom>
      <diagonal/>
    </border>
    <border>
      <left style="medium">
        <color rgb="FF000000"/>
      </left>
      <right/>
      <top style="medium">
        <color auto="1"/>
      </top>
      <bottom/>
      <diagonal/>
    </border>
    <border>
      <left/>
      <right style="medium">
        <color rgb="FF000000"/>
      </right>
      <top style="medium">
        <color auto="1"/>
      </top>
      <bottom/>
      <diagonal/>
    </border>
    <border>
      <left style="medium">
        <color auto="1"/>
      </left>
      <right style="medium">
        <color rgb="FF000000"/>
      </right>
      <top style="medium">
        <color auto="1"/>
      </top>
      <bottom style="medium">
        <color rgb="FF000000"/>
      </bottom>
      <diagonal/>
    </border>
    <border>
      <left style="medium">
        <color rgb="FF000000"/>
      </left>
      <right style="medium">
        <color auto="1"/>
      </right>
      <top/>
      <bottom/>
      <diagonal/>
    </border>
    <border>
      <left/>
      <right/>
      <top style="thin">
        <color auto="1"/>
      </top>
      <bottom/>
      <diagonal/>
    </border>
    <border>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thin">
        <color auto="1"/>
      </left>
      <right/>
      <top style="thin">
        <color auto="1"/>
      </top>
      <bottom/>
      <diagonal/>
    </border>
    <border>
      <left/>
      <right style="medium">
        <color indexed="64"/>
      </right>
      <top style="thin">
        <color auto="1"/>
      </top>
      <bottom/>
      <diagonal/>
    </border>
    <border>
      <left style="thin">
        <color auto="1"/>
      </left>
      <right/>
      <top/>
      <bottom style="medium">
        <color auto="1"/>
      </bottom>
      <diagonal/>
    </border>
    <border>
      <left style="medium">
        <color auto="1"/>
      </left>
      <right/>
      <top style="medium">
        <color rgb="FF000000"/>
      </top>
      <bottom style="medium">
        <color auto="1"/>
      </bottom>
      <diagonal/>
    </border>
    <border>
      <left/>
      <right/>
      <top style="medium">
        <color auto="1"/>
      </top>
      <bottom style="medium">
        <color rgb="FF000000"/>
      </bottom>
      <diagonal/>
    </border>
    <border>
      <left/>
      <right style="medium">
        <color rgb="FF000000"/>
      </right>
      <top style="medium">
        <color auto="1"/>
      </top>
      <bottom style="medium">
        <color auto="1"/>
      </bottom>
      <diagonal/>
    </border>
    <border>
      <left style="thin">
        <color indexed="64"/>
      </left>
      <right style="thin">
        <color indexed="64"/>
      </right>
      <top/>
      <bottom style="thin">
        <color indexed="64"/>
      </bottom>
      <diagonal/>
    </border>
    <border>
      <left style="medium">
        <color auto="1"/>
      </left>
      <right/>
      <top style="medium">
        <color auto="1"/>
      </top>
      <bottom style="thin">
        <color indexed="64"/>
      </bottom>
      <diagonal/>
    </border>
    <border>
      <left style="medium">
        <color auto="1"/>
      </left>
      <right style="medium">
        <color rgb="FF000000"/>
      </right>
      <top style="medium">
        <color rgb="FF000000"/>
      </top>
      <bottom style="medium">
        <color rgb="FF000000"/>
      </bottom>
      <diagonal/>
    </border>
  </borders>
  <cellStyleXfs count="1095">
    <xf numFmtId="0" fontId="0"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4"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8" fillId="0" borderId="0"/>
    <xf numFmtId="38" fontId="9" fillId="3" borderId="0" applyNumberFormat="0" applyBorder="0" applyAlignment="0" applyProtection="0"/>
    <xf numFmtId="10" fontId="9" fillId="4" borderId="26" applyNumberFormat="0" applyBorder="0" applyAlignment="0" applyProtection="0"/>
    <xf numFmtId="166" fontId="10" fillId="0" borderId="0"/>
    <xf numFmtId="10" fontId="8"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44" fontId="4" fillId="0" borderId="0" applyFont="0" applyFill="0" applyBorder="0" applyAlignment="0" applyProtection="0"/>
    <xf numFmtId="43" fontId="4" fillId="0" borderId="0" applyFont="0" applyFill="0" applyBorder="0" applyAlignment="0" applyProtection="0"/>
    <xf numFmtId="0" fontId="11" fillId="0" borderId="0"/>
    <xf numFmtId="44" fontId="11"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36" fillId="0" borderId="0"/>
    <xf numFmtId="43" fontId="36" fillId="0" borderId="0" applyFont="0" applyFill="0" applyBorder="0" applyAlignment="0" applyProtection="0"/>
    <xf numFmtId="44" fontId="36" fillId="0" borderId="0" applyFont="0" applyFill="0" applyBorder="0" applyAlignment="0" applyProtection="0"/>
    <xf numFmtId="0" fontId="36"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8" fillId="0" borderId="0"/>
    <xf numFmtId="44" fontId="8"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2"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1" fillId="0" borderId="0" applyFont="0" applyFill="0" applyBorder="0" applyAlignment="0" applyProtection="0"/>
    <xf numFmtId="43" fontId="1" fillId="0" borderId="0" applyFon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66" fillId="0" borderId="0" applyNumberFormat="0" applyFill="0" applyBorder="0" applyAlignment="0" applyProtection="0"/>
    <xf numFmtId="0" fontId="70" fillId="0" borderId="0"/>
    <xf numFmtId="0" fontId="8" fillId="0" borderId="0"/>
  </cellStyleXfs>
  <cellXfs count="640">
    <xf numFmtId="0" fontId="0" fillId="0" borderId="0" xfId="0"/>
    <xf numFmtId="0" fontId="14" fillId="0" borderId="0" xfId="0" applyFont="1"/>
    <xf numFmtId="0" fontId="14" fillId="9" borderId="46" xfId="0" applyFont="1" applyFill="1" applyBorder="1" applyAlignment="1">
      <alignment vertical="center"/>
    </xf>
    <xf numFmtId="0" fontId="19" fillId="9" borderId="12" xfId="0" applyFont="1" applyFill="1" applyBorder="1" applyAlignment="1">
      <alignment horizontal="center" vertical="center" wrapText="1"/>
    </xf>
    <xf numFmtId="0" fontId="19" fillId="9" borderId="15" xfId="0" applyFont="1" applyFill="1" applyBorder="1" applyAlignment="1">
      <alignment horizontal="center" vertical="center" wrapText="1"/>
    </xf>
    <xf numFmtId="0" fontId="14" fillId="9" borderId="15" xfId="0" applyFont="1" applyFill="1" applyBorder="1"/>
    <xf numFmtId="0" fontId="14" fillId="9" borderId="13" xfId="0" applyFont="1" applyFill="1" applyBorder="1"/>
    <xf numFmtId="0" fontId="20" fillId="0" borderId="1" xfId="0" applyFont="1" applyBorder="1" applyAlignment="1">
      <alignment horizontal="center" vertical="center" wrapText="1"/>
    </xf>
    <xf numFmtId="0" fontId="20" fillId="0" borderId="13" xfId="0" applyFont="1" applyBorder="1" applyAlignment="1">
      <alignment horizontal="center" vertical="center" wrapText="1"/>
    </xf>
    <xf numFmtId="0" fontId="20" fillId="0" borderId="10" xfId="0" applyFont="1" applyBorder="1" applyAlignment="1">
      <alignment horizontal="center" vertical="center"/>
    </xf>
    <xf numFmtId="0" fontId="21" fillId="8" borderId="15" xfId="0" applyFont="1" applyFill="1" applyBorder="1" applyAlignment="1">
      <alignment vertical="center" wrapText="1"/>
    </xf>
    <xf numFmtId="0" fontId="22" fillId="8" borderId="15" xfId="0" applyFont="1" applyFill="1" applyBorder="1"/>
    <xf numFmtId="0" fontId="21" fillId="8" borderId="13" xfId="0" applyFont="1" applyFill="1" applyBorder="1" applyAlignment="1">
      <alignment vertical="center" wrapText="1"/>
    </xf>
    <xf numFmtId="8" fontId="14" fillId="0" borderId="0" xfId="0" applyNumberFormat="1" applyFont="1"/>
    <xf numFmtId="3" fontId="20" fillId="8" borderId="9" xfId="0" applyNumberFormat="1" applyFont="1" applyFill="1" applyBorder="1" applyAlignment="1">
      <alignment horizontal="center" vertical="center" wrapText="1"/>
    </xf>
    <xf numFmtId="164" fontId="23" fillId="9" borderId="15" xfId="0" applyNumberFormat="1" applyFont="1" applyFill="1" applyBorder="1" applyAlignment="1">
      <alignment horizontal="center" vertical="center" wrapText="1"/>
    </xf>
    <xf numFmtId="0" fontId="22" fillId="0" borderId="0" xfId="0" applyFont="1"/>
    <xf numFmtId="0" fontId="21" fillId="8" borderId="46" xfId="0" applyFont="1" applyFill="1" applyBorder="1" applyAlignment="1">
      <alignment horizontal="right" vertical="center" wrapText="1"/>
    </xf>
    <xf numFmtId="0" fontId="21" fillId="8" borderId="46" xfId="0" applyFont="1" applyFill="1" applyBorder="1"/>
    <xf numFmtId="0" fontId="21" fillId="9" borderId="46" xfId="0" applyFont="1" applyFill="1" applyBorder="1"/>
    <xf numFmtId="0" fontId="21" fillId="0" borderId="10" xfId="0" applyFont="1" applyBorder="1" applyAlignment="1">
      <alignment horizontal="left" vertical="center" wrapText="1"/>
    </xf>
    <xf numFmtId="0" fontId="31" fillId="0" borderId="10" xfId="0" applyFont="1" applyBorder="1" applyAlignment="1">
      <alignment horizontal="left" vertical="center" wrapText="1"/>
    </xf>
    <xf numFmtId="0" fontId="21" fillId="8" borderId="15" xfId="0" applyFont="1" applyFill="1" applyBorder="1" applyAlignment="1">
      <alignment horizontal="left" vertical="center" wrapText="1"/>
    </xf>
    <xf numFmtId="6" fontId="21" fillId="8" borderId="22" xfId="0" applyNumberFormat="1" applyFont="1" applyFill="1" applyBorder="1" applyAlignment="1">
      <alignment horizontal="right" vertical="center" wrapText="1"/>
    </xf>
    <xf numFmtId="0" fontId="21" fillId="0" borderId="0" xfId="0" applyFont="1"/>
    <xf numFmtId="0" fontId="20" fillId="0" borderId="11" xfId="0" applyFont="1" applyBorder="1" applyAlignment="1">
      <alignment horizontal="center" vertical="center" wrapText="1"/>
    </xf>
    <xf numFmtId="0" fontId="20" fillId="0" borderId="6" xfId="0" applyFont="1" applyBorder="1" applyAlignment="1">
      <alignment horizontal="center" vertical="center" wrapText="1"/>
    </xf>
    <xf numFmtId="0" fontId="12" fillId="0" borderId="0" xfId="0" applyFont="1"/>
    <xf numFmtId="9" fontId="14" fillId="0" borderId="0" xfId="7" applyFont="1"/>
    <xf numFmtId="6" fontId="14" fillId="0" borderId="0" xfId="0" applyNumberFormat="1" applyFont="1"/>
    <xf numFmtId="167" fontId="14" fillId="0" borderId="0" xfId="0" applyNumberFormat="1" applyFont="1"/>
    <xf numFmtId="0" fontId="25" fillId="10" borderId="21" xfId="0" applyFont="1" applyFill="1" applyBorder="1" applyAlignment="1">
      <alignment horizontal="left" vertical="center"/>
    </xf>
    <xf numFmtId="0" fontId="14" fillId="9" borderId="22" xfId="0" applyFont="1" applyFill="1" applyBorder="1" applyAlignment="1">
      <alignment vertical="center"/>
    </xf>
    <xf numFmtId="0" fontId="23" fillId="10" borderId="22" xfId="0" applyFont="1" applyFill="1" applyBorder="1" applyAlignment="1">
      <alignment horizontal="center" vertical="center" wrapText="1"/>
    </xf>
    <xf numFmtId="0" fontId="33" fillId="9" borderId="17" xfId="0" applyFont="1" applyFill="1" applyBorder="1" applyAlignment="1">
      <alignment horizontal="center" vertical="center"/>
    </xf>
    <xf numFmtId="0" fontId="20" fillId="0" borderId="33" xfId="0" applyFont="1" applyBorder="1" applyAlignment="1">
      <alignment vertical="center" wrapText="1"/>
    </xf>
    <xf numFmtId="0" fontId="22" fillId="9" borderId="19" xfId="0" applyFont="1" applyFill="1" applyBorder="1"/>
    <xf numFmtId="0" fontId="21" fillId="7" borderId="33" xfId="0" applyFont="1" applyFill="1" applyBorder="1" applyAlignment="1">
      <alignment vertical="center" wrapText="1"/>
    </xf>
    <xf numFmtId="0" fontId="21" fillId="0" borderId="47" xfId="0" applyFont="1" applyBorder="1" applyAlignment="1">
      <alignment vertical="center" wrapText="1"/>
    </xf>
    <xf numFmtId="0" fontId="22" fillId="9" borderId="0" xfId="0" applyFont="1" applyFill="1"/>
    <xf numFmtId="0" fontId="21" fillId="6" borderId="10" xfId="0" applyFont="1" applyFill="1" applyBorder="1" applyAlignment="1">
      <alignment horizontal="center" vertical="center" wrapText="1"/>
    </xf>
    <xf numFmtId="0" fontId="23" fillId="9" borderId="12" xfId="0" applyFont="1" applyFill="1" applyBorder="1" applyAlignment="1">
      <alignment horizontal="center" vertical="center" wrapText="1"/>
    </xf>
    <xf numFmtId="0" fontId="24" fillId="9" borderId="8" xfId="0" applyFont="1" applyFill="1" applyBorder="1" applyAlignment="1">
      <alignment vertical="center" wrapText="1"/>
    </xf>
    <xf numFmtId="3" fontId="23" fillId="9" borderId="8" xfId="0" applyNumberFormat="1" applyFont="1" applyFill="1" applyBorder="1" applyAlignment="1">
      <alignment horizontal="right" vertical="center" wrapText="1"/>
    </xf>
    <xf numFmtId="6" fontId="23" fillId="9" borderId="8" xfId="0" applyNumberFormat="1" applyFont="1" applyFill="1" applyBorder="1" applyAlignment="1">
      <alignment horizontal="right" vertical="center" wrapText="1"/>
    </xf>
    <xf numFmtId="0" fontId="23" fillId="9" borderId="8" xfId="0" applyFont="1" applyFill="1" applyBorder="1" applyAlignment="1">
      <alignment horizontal="right" vertical="center" wrapText="1"/>
    </xf>
    <xf numFmtId="0" fontId="23" fillId="9" borderId="8" xfId="0" applyFont="1" applyFill="1" applyBorder="1" applyAlignment="1">
      <alignment horizontal="center" vertical="center" wrapText="1"/>
    </xf>
    <xf numFmtId="3" fontId="25" fillId="9" borderId="8" xfId="0" applyNumberFormat="1" applyFont="1" applyFill="1" applyBorder="1" applyAlignment="1">
      <alignment horizontal="right" vertical="center" wrapText="1"/>
    </xf>
    <xf numFmtId="0" fontId="14" fillId="8" borderId="8" xfId="0" applyFont="1" applyFill="1" applyBorder="1"/>
    <xf numFmtId="0" fontId="14" fillId="8" borderId="9" xfId="0" applyFont="1" applyFill="1" applyBorder="1"/>
    <xf numFmtId="8" fontId="14" fillId="0" borderId="0" xfId="132" applyNumberFormat="1" applyFont="1"/>
    <xf numFmtId="0" fontId="14" fillId="9" borderId="16" xfId="0" applyFont="1" applyFill="1" applyBorder="1" applyAlignment="1">
      <alignment horizontal="center" vertical="center" wrapText="1"/>
    </xf>
    <xf numFmtId="0" fontId="14" fillId="9" borderId="17" xfId="0" applyFont="1" applyFill="1" applyBorder="1" applyAlignment="1">
      <alignment horizontal="center" vertical="center"/>
    </xf>
    <xf numFmtId="0" fontId="14" fillId="9" borderId="18" xfId="0" applyFont="1" applyFill="1" applyBorder="1" applyAlignment="1">
      <alignment horizontal="center" vertical="center"/>
    </xf>
    <xf numFmtId="0" fontId="14" fillId="0" borderId="27" xfId="0" applyFont="1" applyBorder="1" applyAlignment="1">
      <alignment horizontal="center"/>
    </xf>
    <xf numFmtId="0" fontId="16" fillId="0" borderId="27" xfId="0" applyFont="1" applyBorder="1" applyAlignment="1">
      <alignment horizontal="center" wrapText="1"/>
    </xf>
    <xf numFmtId="0" fontId="22" fillId="9" borderId="5" xfId="0" applyFont="1" applyFill="1" applyBorder="1"/>
    <xf numFmtId="6" fontId="22" fillId="0" borderId="0" xfId="0" applyNumberFormat="1" applyFont="1"/>
    <xf numFmtId="168" fontId="32" fillId="9" borderId="17" xfId="7" applyNumberFormat="1" applyFont="1" applyFill="1" applyBorder="1" applyAlignment="1">
      <alignment horizontal="center" vertical="center"/>
    </xf>
    <xf numFmtId="0" fontId="24" fillId="0" borderId="27" xfId="0" applyFont="1" applyBorder="1" applyAlignment="1">
      <alignment horizontal="center" vertical="center" wrapText="1"/>
    </xf>
    <xf numFmtId="0" fontId="23" fillId="0" borderId="55" xfId="0" applyFont="1" applyBorder="1" applyAlignment="1">
      <alignment horizontal="center" vertical="center" wrapText="1"/>
    </xf>
    <xf numFmtId="0" fontId="19" fillId="0" borderId="27" xfId="0" applyFont="1" applyBorder="1" applyAlignment="1">
      <alignment horizontal="center" vertical="center" wrapText="1"/>
    </xf>
    <xf numFmtId="165" fontId="21" fillId="6" borderId="13" xfId="131" applyNumberFormat="1" applyFont="1" applyFill="1" applyBorder="1" applyAlignment="1">
      <alignment horizontal="center" vertical="center" wrapText="1"/>
    </xf>
    <xf numFmtId="165" fontId="20" fillId="6" borderId="9" xfId="131" applyNumberFormat="1" applyFont="1" applyFill="1" applyBorder="1" applyAlignment="1">
      <alignment horizontal="center" vertical="center" wrapText="1"/>
    </xf>
    <xf numFmtId="165" fontId="21" fillId="6" borderId="13" xfId="0" applyNumberFormat="1" applyFont="1" applyFill="1" applyBorder="1" applyAlignment="1">
      <alignment horizontal="center" vertical="center" wrapText="1"/>
    </xf>
    <xf numFmtId="0" fontId="28" fillId="0" borderId="27" xfId="0" applyFont="1" applyBorder="1" applyAlignment="1">
      <alignment horizontal="center"/>
    </xf>
    <xf numFmtId="0" fontId="21" fillId="8" borderId="14" xfId="0" applyFont="1" applyFill="1" applyBorder="1" applyAlignment="1">
      <alignment horizontal="left" vertical="center" wrapText="1"/>
    </xf>
    <xf numFmtId="0" fontId="21" fillId="8" borderId="11" xfId="0" applyFont="1" applyFill="1" applyBorder="1" applyAlignment="1">
      <alignment horizontal="left" vertical="center" wrapText="1"/>
    </xf>
    <xf numFmtId="0" fontId="38" fillId="0" borderId="0" xfId="0" applyFont="1"/>
    <xf numFmtId="0" fontId="21" fillId="0" borderId="48" xfId="0" applyFont="1" applyBorder="1" applyAlignment="1">
      <alignment horizontal="left" vertical="center" wrapText="1"/>
    </xf>
    <xf numFmtId="0" fontId="16" fillId="5" borderId="27" xfId="0" applyFont="1" applyFill="1" applyBorder="1" applyAlignment="1" applyProtection="1">
      <alignment horizontal="center" wrapText="1"/>
      <protection locked="0"/>
    </xf>
    <xf numFmtId="6" fontId="24" fillId="5" borderId="27" xfId="0" applyNumberFormat="1" applyFont="1" applyFill="1" applyBorder="1" applyAlignment="1" applyProtection="1">
      <alignment horizontal="center" vertical="center" wrapText="1"/>
      <protection locked="0"/>
    </xf>
    <xf numFmtId="2" fontId="21" fillId="6" borderId="13" xfId="0" applyNumberFormat="1" applyFont="1" applyFill="1" applyBorder="1" applyAlignment="1">
      <alignment horizontal="center" vertical="center" wrapText="1"/>
    </xf>
    <xf numFmtId="165" fontId="21" fillId="8" borderId="46" xfId="0" applyNumberFormat="1" applyFont="1" applyFill="1" applyBorder="1" applyAlignment="1">
      <alignment horizontal="center" vertical="center" wrapText="1"/>
    </xf>
    <xf numFmtId="9" fontId="21" fillId="12" borderId="1" xfId="0" applyNumberFormat="1" applyFont="1" applyFill="1" applyBorder="1" applyAlignment="1" applyProtection="1">
      <alignment horizontal="center" vertical="center" wrapText="1"/>
      <protection hidden="1"/>
    </xf>
    <xf numFmtId="0" fontId="40" fillId="0" borderId="0" xfId="0" applyFont="1"/>
    <xf numFmtId="0" fontId="21" fillId="6" borderId="1" xfId="0" applyFont="1" applyFill="1" applyBorder="1" applyAlignment="1">
      <alignment horizontal="left" vertical="center" wrapText="1"/>
    </xf>
    <xf numFmtId="0" fontId="39" fillId="0" borderId="0" xfId="0" applyFont="1" applyAlignment="1">
      <alignment vertical="center" wrapText="1"/>
    </xf>
    <xf numFmtId="0" fontId="21" fillId="6" borderId="12" xfId="0" applyFont="1" applyFill="1" applyBorder="1" applyAlignment="1">
      <alignment horizontal="left" vertical="center" wrapText="1"/>
    </xf>
    <xf numFmtId="0" fontId="17" fillId="2" borderId="27" xfId="0" applyFont="1" applyFill="1" applyBorder="1" applyAlignment="1">
      <alignment horizontal="center" vertical="center" wrapText="1"/>
    </xf>
    <xf numFmtId="165" fontId="14" fillId="5" borderId="23" xfId="131" applyNumberFormat="1" applyFont="1" applyFill="1" applyBorder="1" applyAlignment="1" applyProtection="1">
      <alignment horizontal="center" vertical="center"/>
      <protection locked="0"/>
    </xf>
    <xf numFmtId="0" fontId="21" fillId="6" borderId="27" xfId="0" applyFont="1" applyFill="1" applyBorder="1" applyAlignment="1" applyProtection="1">
      <alignment horizontal="center" vertical="center" wrapText="1"/>
      <protection hidden="1"/>
    </xf>
    <xf numFmtId="0" fontId="21" fillId="6" borderId="49" xfId="0" applyFont="1" applyFill="1" applyBorder="1" applyAlignment="1" applyProtection="1">
      <alignment horizontal="center" vertical="center" wrapText="1"/>
      <protection hidden="1"/>
    </xf>
    <xf numFmtId="0" fontId="41" fillId="0" borderId="0" xfId="0" applyFont="1"/>
    <xf numFmtId="0" fontId="22" fillId="0" borderId="0" xfId="0" applyFont="1" applyProtection="1">
      <protection locked="0"/>
    </xf>
    <xf numFmtId="0" fontId="22" fillId="0" borderId="0" xfId="0" applyFont="1" applyAlignment="1" applyProtection="1">
      <alignment horizontal="center"/>
      <protection locked="0"/>
    </xf>
    <xf numFmtId="0" fontId="21" fillId="0" borderId="59" xfId="0" applyFont="1" applyBorder="1" applyAlignment="1">
      <alignment vertical="center" wrapText="1"/>
    </xf>
    <xf numFmtId="0" fontId="21" fillId="0" borderId="0" xfId="0" applyFont="1" applyAlignment="1">
      <alignment wrapText="1"/>
    </xf>
    <xf numFmtId="0" fontId="42" fillId="0" borderId="0" xfId="0" applyFont="1"/>
    <xf numFmtId="0" fontId="24" fillId="9" borderId="28" xfId="0" applyFont="1" applyFill="1" applyBorder="1" applyAlignment="1">
      <alignment vertical="top"/>
    </xf>
    <xf numFmtId="0" fontId="24" fillId="9" borderId="52" xfId="0" applyFont="1" applyFill="1" applyBorder="1" applyAlignment="1">
      <alignment vertical="top"/>
    </xf>
    <xf numFmtId="0" fontId="24" fillId="9" borderId="29" xfId="0" applyFont="1" applyFill="1" applyBorder="1" applyAlignment="1">
      <alignment vertical="top"/>
    </xf>
    <xf numFmtId="0" fontId="35" fillId="0" borderId="29" xfId="0" applyFont="1" applyBorder="1" applyAlignment="1">
      <alignment vertical="center" wrapText="1"/>
    </xf>
    <xf numFmtId="0" fontId="35" fillId="0" borderId="27" xfId="0" applyFont="1" applyBorder="1" applyAlignment="1">
      <alignment horizontal="center" vertical="center"/>
    </xf>
    <xf numFmtId="0" fontId="35" fillId="0" borderId="27" xfId="0" applyFont="1" applyBorder="1" applyAlignment="1">
      <alignment vertical="center" wrapText="1"/>
    </xf>
    <xf numFmtId="0" fontId="24" fillId="9" borderId="52" xfId="0" applyFont="1" applyFill="1" applyBorder="1" applyAlignment="1">
      <alignment vertical="center"/>
    </xf>
    <xf numFmtId="0" fontId="24" fillId="0" borderId="27" xfId="0" applyFont="1" applyBorder="1" applyAlignment="1">
      <alignment horizontal="center" vertical="center"/>
    </xf>
    <xf numFmtId="0" fontId="23" fillId="8" borderId="24" xfId="0" applyFont="1" applyFill="1" applyBorder="1"/>
    <xf numFmtId="0" fontId="44" fillId="8" borderId="46" xfId="0" applyFont="1" applyFill="1" applyBorder="1"/>
    <xf numFmtId="0" fontId="19" fillId="0" borderId="18" xfId="0" applyFont="1" applyBorder="1" applyAlignment="1">
      <alignment horizontal="center" vertical="center" wrapText="1"/>
    </xf>
    <xf numFmtId="0" fontId="35" fillId="0" borderId="29" xfId="0" applyFont="1" applyBorder="1" applyAlignment="1">
      <alignment horizontal="center" vertical="center"/>
    </xf>
    <xf numFmtId="0" fontId="19" fillId="0" borderId="17" xfId="0" applyFont="1" applyBorder="1" applyAlignment="1">
      <alignment horizontal="center" vertical="center" wrapText="1"/>
    </xf>
    <xf numFmtId="10" fontId="14" fillId="8" borderId="52" xfId="805" applyNumberFormat="1" applyFont="1" applyFill="1" applyBorder="1" applyAlignment="1">
      <alignment horizontal="center" vertical="center" wrapText="1"/>
    </xf>
    <xf numFmtId="165" fontId="26" fillId="12" borderId="29" xfId="0" applyNumberFormat="1" applyFont="1" applyFill="1" applyBorder="1" applyAlignment="1">
      <alignment horizontal="center" vertical="center" wrapText="1"/>
    </xf>
    <xf numFmtId="165" fontId="46" fillId="12" borderId="27" xfId="0" applyNumberFormat="1" applyFont="1" applyFill="1" applyBorder="1" applyAlignment="1">
      <alignment horizontal="center" vertical="center" wrapText="1"/>
    </xf>
    <xf numFmtId="170" fontId="0" fillId="0" borderId="0" xfId="7" applyNumberFormat="1" applyFont="1"/>
    <xf numFmtId="0" fontId="48" fillId="0" borderId="27" xfId="0" applyFont="1" applyBorder="1" applyAlignment="1">
      <alignment vertical="center" wrapText="1"/>
    </xf>
    <xf numFmtId="0" fontId="48" fillId="0" borderId="29" xfId="0" applyFont="1" applyBorder="1" applyAlignment="1">
      <alignment vertical="center" wrapText="1"/>
    </xf>
    <xf numFmtId="171" fontId="26" fillId="12" borderId="27" xfId="0" applyNumberFormat="1" applyFont="1" applyFill="1" applyBorder="1" applyAlignment="1">
      <alignment horizontal="center" vertical="center"/>
    </xf>
    <xf numFmtId="0" fontId="50" fillId="0" borderId="0" xfId="0" applyFont="1"/>
    <xf numFmtId="5" fontId="51" fillId="9" borderId="56" xfId="131" applyNumberFormat="1" applyFont="1" applyFill="1" applyBorder="1" applyAlignment="1">
      <alignment horizontal="center" vertical="center" wrapText="1"/>
    </xf>
    <xf numFmtId="5" fontId="51" fillId="9" borderId="3" xfId="131" applyNumberFormat="1" applyFont="1" applyFill="1" applyBorder="1" applyAlignment="1">
      <alignment horizontal="center" vertical="center" wrapText="1"/>
    </xf>
    <xf numFmtId="0" fontId="52" fillId="14" borderId="30" xfId="0" applyFont="1" applyFill="1" applyBorder="1" applyAlignment="1">
      <alignment horizontal="left" vertical="center"/>
    </xf>
    <xf numFmtId="0" fontId="49" fillId="0" borderId="29" xfId="0" applyFont="1" applyBorder="1" applyAlignment="1">
      <alignment vertical="center" wrapText="1"/>
    </xf>
    <xf numFmtId="0" fontId="49" fillId="0" borderId="27" xfId="0" applyFont="1" applyBorder="1" applyAlignment="1">
      <alignment vertical="center" wrapText="1"/>
    </xf>
    <xf numFmtId="0" fontId="45" fillId="0" borderId="29" xfId="0" applyFont="1" applyBorder="1" applyAlignment="1">
      <alignment vertical="center" wrapText="1"/>
    </xf>
    <xf numFmtId="165" fontId="21" fillId="8" borderId="22" xfId="0" applyNumberFormat="1" applyFont="1" applyFill="1" applyBorder="1" applyAlignment="1">
      <alignment horizontal="right" vertical="center" wrapText="1"/>
    </xf>
    <xf numFmtId="165" fontId="21" fillId="8" borderId="50" xfId="0" applyNumberFormat="1" applyFont="1" applyFill="1" applyBorder="1" applyAlignment="1">
      <alignment horizontal="right" vertical="center" wrapText="1"/>
    </xf>
    <xf numFmtId="0" fontId="21" fillId="5" borderId="12" xfId="0" applyFont="1" applyFill="1" applyBorder="1" applyAlignment="1" applyProtection="1">
      <alignment horizontal="center" vertical="center" wrapText="1"/>
      <protection locked="0"/>
    </xf>
    <xf numFmtId="0" fontId="21" fillId="5" borderId="43" xfId="0" applyFont="1" applyFill="1" applyBorder="1" applyAlignment="1" applyProtection="1">
      <alignment horizontal="center" vertical="center" wrapText="1"/>
      <protection locked="0"/>
    </xf>
    <xf numFmtId="0" fontId="21" fillId="5" borderId="31" xfId="0" applyFont="1" applyFill="1" applyBorder="1" applyAlignment="1" applyProtection="1">
      <alignment horizontal="center" vertical="center" wrapText="1"/>
      <protection locked="0"/>
    </xf>
    <xf numFmtId="10" fontId="21" fillId="13" borderId="32" xfId="0" applyNumberFormat="1" applyFont="1" applyFill="1" applyBorder="1" applyAlignment="1" applyProtection="1">
      <alignment horizontal="center" vertical="center" wrapText="1"/>
      <protection locked="0"/>
    </xf>
    <xf numFmtId="173" fontId="21" fillId="5" borderId="30" xfId="0" applyNumberFormat="1" applyFont="1" applyFill="1" applyBorder="1" applyAlignment="1" applyProtection="1">
      <alignment horizontal="center" vertical="center" wrapText="1"/>
      <protection locked="0"/>
    </xf>
    <xf numFmtId="0" fontId="21" fillId="5" borderId="25" xfId="0" applyFont="1" applyFill="1" applyBorder="1" applyAlignment="1" applyProtection="1">
      <alignment horizontal="center" vertical="center" wrapText="1"/>
      <protection locked="0"/>
    </xf>
    <xf numFmtId="0" fontId="21" fillId="5" borderId="27" xfId="0" applyFont="1" applyFill="1" applyBorder="1" applyAlignment="1" applyProtection="1">
      <alignment horizontal="center" vertical="center" wrapText="1"/>
      <protection locked="0"/>
    </xf>
    <xf numFmtId="10" fontId="14" fillId="5" borderId="27" xfId="0" applyNumberFormat="1" applyFont="1" applyFill="1" applyBorder="1" applyAlignment="1" applyProtection="1">
      <alignment horizontal="center" vertical="center"/>
      <protection locked="0"/>
    </xf>
    <xf numFmtId="6" fontId="21" fillId="5" borderId="9" xfId="0" applyNumberFormat="1" applyFont="1" applyFill="1" applyBorder="1" applyAlignment="1" applyProtection="1">
      <alignment horizontal="center" vertical="center" wrapText="1"/>
      <protection locked="0"/>
    </xf>
    <xf numFmtId="0" fontId="21" fillId="5" borderId="9" xfId="0" applyFont="1" applyFill="1" applyBorder="1" applyAlignment="1" applyProtection="1">
      <alignment horizontal="center" vertical="center" wrapText="1"/>
      <protection locked="0"/>
    </xf>
    <xf numFmtId="10" fontId="21" fillId="5" borderId="9" xfId="0" applyNumberFormat="1" applyFont="1" applyFill="1" applyBorder="1" applyAlignment="1" applyProtection="1">
      <alignment horizontal="center" vertical="center" wrapText="1"/>
      <protection locked="0"/>
    </xf>
    <xf numFmtId="0" fontId="21" fillId="5" borderId="1" xfId="0" applyFont="1" applyFill="1" applyBorder="1" applyAlignment="1" applyProtection="1">
      <alignment horizontal="center" vertical="center" wrapText="1"/>
      <protection locked="0"/>
    </xf>
    <xf numFmtId="165" fontId="46" fillId="5" borderId="27" xfId="0" applyNumberFormat="1" applyFont="1" applyFill="1" applyBorder="1" applyAlignment="1" applyProtection="1">
      <alignment horizontal="center" vertical="center" wrapText="1"/>
      <protection locked="0"/>
    </xf>
    <xf numFmtId="10" fontId="14" fillId="5" borderId="27" xfId="0" applyNumberFormat="1" applyFont="1" applyFill="1" applyBorder="1" applyAlignment="1" applyProtection="1">
      <alignment horizontal="center"/>
      <protection locked="0"/>
    </xf>
    <xf numFmtId="0" fontId="21" fillId="5" borderId="13" xfId="0" applyFont="1" applyFill="1" applyBorder="1" applyAlignment="1" applyProtection="1">
      <alignment horizontal="center" vertical="center" wrapText="1"/>
      <protection locked="0"/>
    </xf>
    <xf numFmtId="165" fontId="21" fillId="5" borderId="9" xfId="0" applyNumberFormat="1" applyFont="1" applyFill="1" applyBorder="1" applyAlignment="1" applyProtection="1">
      <alignment horizontal="center" vertical="center" wrapText="1"/>
      <protection locked="0"/>
    </xf>
    <xf numFmtId="3" fontId="21" fillId="5" borderId="9" xfId="0" applyNumberFormat="1" applyFont="1" applyFill="1" applyBorder="1" applyAlignment="1" applyProtection="1">
      <alignment horizontal="center" vertical="center" wrapText="1"/>
      <protection locked="0"/>
    </xf>
    <xf numFmtId="165" fontId="21" fillId="5" borderId="13" xfId="0" applyNumberFormat="1" applyFont="1" applyFill="1" applyBorder="1" applyAlignment="1" applyProtection="1">
      <alignment horizontal="center" vertical="center" wrapText="1"/>
      <protection locked="0"/>
    </xf>
    <xf numFmtId="0" fontId="54" fillId="0" borderId="0" xfId="0" applyFont="1"/>
    <xf numFmtId="174" fontId="46" fillId="5" borderId="29" xfId="959" applyNumberFormat="1" applyFont="1" applyFill="1" applyBorder="1" applyAlignment="1" applyProtection="1">
      <alignment horizontal="center" vertical="center" wrapText="1"/>
      <protection locked="0"/>
    </xf>
    <xf numFmtId="0" fontId="51" fillId="6" borderId="16" xfId="0" applyFont="1" applyFill="1" applyBorder="1" applyAlignment="1" applyProtection="1">
      <alignment vertical="center" wrapText="1"/>
      <protection hidden="1"/>
    </xf>
    <xf numFmtId="0" fontId="51" fillId="6" borderId="21" xfId="0" applyFont="1" applyFill="1" applyBorder="1" applyAlignment="1" applyProtection="1">
      <alignment vertical="center" wrapText="1"/>
      <protection hidden="1"/>
    </xf>
    <xf numFmtId="0" fontId="21" fillId="15" borderId="25" xfId="0" applyFont="1" applyFill="1" applyBorder="1" applyAlignment="1" applyProtection="1">
      <alignment horizontal="center" vertical="center" wrapText="1"/>
      <protection locked="0"/>
    </xf>
    <xf numFmtId="0" fontId="55" fillId="0" borderId="0" xfId="0" applyFont="1" applyAlignment="1">
      <alignment vertical="center"/>
    </xf>
    <xf numFmtId="175" fontId="21" fillId="6" borderId="27" xfId="0" applyNumberFormat="1" applyFont="1" applyFill="1" applyBorder="1" applyAlignment="1" applyProtection="1">
      <alignment horizontal="center" vertical="center" wrapText="1"/>
      <protection hidden="1"/>
    </xf>
    <xf numFmtId="0" fontId="58" fillId="0" borderId="26" xfId="0" applyFont="1" applyBorder="1" applyAlignment="1">
      <alignment vertical="center" wrapText="1"/>
    </xf>
    <xf numFmtId="0" fontId="60" fillId="0" borderId="26" xfId="0" applyFont="1" applyBorder="1"/>
    <xf numFmtId="0" fontId="61" fillId="0" borderId="26" xfId="0" applyFont="1" applyBorder="1" applyAlignment="1">
      <alignment vertical="center" wrapText="1"/>
    </xf>
    <xf numFmtId="0" fontId="21" fillId="5" borderId="4" xfId="0" applyFont="1" applyFill="1" applyBorder="1" applyAlignment="1" applyProtection="1">
      <alignment horizontal="center" vertical="center" wrapText="1"/>
      <protection locked="0"/>
    </xf>
    <xf numFmtId="0" fontId="21" fillId="5" borderId="30" xfId="0" applyFont="1" applyFill="1" applyBorder="1" applyAlignment="1" applyProtection="1">
      <alignment horizontal="center" vertical="center" wrapText="1"/>
      <protection locked="0"/>
    </xf>
    <xf numFmtId="0" fontId="62" fillId="0" borderId="0" xfId="0" applyFont="1" applyAlignment="1">
      <alignment wrapText="1"/>
    </xf>
    <xf numFmtId="0" fontId="6" fillId="0" borderId="0" xfId="1089"/>
    <xf numFmtId="0" fontId="57" fillId="0" borderId="26" xfId="0" applyFont="1" applyBorder="1" applyAlignment="1">
      <alignment vertical="center" wrapText="1"/>
    </xf>
    <xf numFmtId="0" fontId="14" fillId="0" borderId="26" xfId="0" applyFont="1" applyBorder="1"/>
    <xf numFmtId="0" fontId="14" fillId="0" borderId="26" xfId="0" applyFont="1" applyBorder="1" applyAlignment="1">
      <alignment vertical="center" wrapText="1"/>
    </xf>
    <xf numFmtId="2" fontId="14" fillId="0" borderId="0" xfId="0" applyNumberFormat="1" applyFont="1"/>
    <xf numFmtId="49" fontId="21" fillId="0" borderId="0" xfId="0" applyNumberFormat="1" applyFont="1" applyAlignment="1">
      <alignment horizontal="left"/>
    </xf>
    <xf numFmtId="0" fontId="33" fillId="9" borderId="0" xfId="0" applyFont="1" applyFill="1" applyAlignment="1">
      <alignment horizontal="center" vertical="center"/>
    </xf>
    <xf numFmtId="0" fontId="33" fillId="0" borderId="0" xfId="0" applyFont="1" applyAlignment="1" applyProtection="1">
      <alignment horizontal="center" vertical="center"/>
      <protection locked="0"/>
    </xf>
    <xf numFmtId="0" fontId="22" fillId="0" borderId="26" xfId="0" applyFont="1" applyBorder="1" applyAlignment="1" applyProtection="1">
      <alignment horizontal="left" vertical="center" wrapText="1"/>
      <protection locked="0"/>
    </xf>
    <xf numFmtId="0" fontId="57" fillId="0" borderId="26" xfId="0" applyFont="1" applyBorder="1" applyAlignment="1" applyProtection="1">
      <alignment horizontal="left" vertical="center" wrapText="1"/>
      <protection locked="0"/>
    </xf>
    <xf numFmtId="0" fontId="57" fillId="0" borderId="26" xfId="0" applyFont="1" applyBorder="1"/>
    <xf numFmtId="0" fontId="57" fillId="0" borderId="26" xfId="0" applyFont="1" applyBorder="1" applyAlignment="1">
      <alignment wrapText="1"/>
    </xf>
    <xf numFmtId="0" fontId="6" fillId="0" borderId="26" xfId="1089" applyBorder="1"/>
    <xf numFmtId="0" fontId="6" fillId="0" borderId="26" xfId="1089" applyBorder="1" applyAlignment="1" applyProtection="1">
      <alignment horizontal="left" vertical="center" wrapText="1"/>
      <protection locked="0"/>
    </xf>
    <xf numFmtId="0" fontId="57" fillId="0" borderId="62" xfId="0" applyFont="1" applyBorder="1" applyAlignment="1">
      <alignment vertical="center" wrapText="1"/>
    </xf>
    <xf numFmtId="0" fontId="58" fillId="0" borderId="62" xfId="0" applyFont="1" applyBorder="1" applyAlignment="1">
      <alignment vertical="center" wrapText="1"/>
    </xf>
    <xf numFmtId="0" fontId="23" fillId="0" borderId="27" xfId="0" applyFont="1" applyBorder="1" applyAlignment="1">
      <alignment horizontal="center" vertical="center" wrapText="1"/>
    </xf>
    <xf numFmtId="168" fontId="32" fillId="9" borderId="17" xfId="1029" applyNumberFormat="1" applyFont="1" applyFill="1" applyBorder="1" applyAlignment="1">
      <alignment horizontal="center" vertical="center"/>
    </xf>
    <xf numFmtId="9" fontId="14" fillId="0" borderId="0" xfId="1029" applyFont="1"/>
    <xf numFmtId="0" fontId="23" fillId="0" borderId="24" xfId="0" applyFont="1" applyBorder="1" applyAlignment="1">
      <alignment horizontal="center" vertical="center" wrapText="1"/>
    </xf>
    <xf numFmtId="6" fontId="35" fillId="13" borderId="27" xfId="0" applyNumberFormat="1" applyFont="1" applyFill="1" applyBorder="1" applyAlignment="1" applyProtection="1">
      <alignment horizontal="center" vertical="center" wrapText="1"/>
      <protection locked="0"/>
    </xf>
    <xf numFmtId="8" fontId="14" fillId="0" borderId="0" xfId="1030" applyNumberFormat="1" applyFont="1"/>
    <xf numFmtId="10" fontId="14" fillId="5" borderId="26" xfId="0" applyNumberFormat="1" applyFont="1" applyFill="1" applyBorder="1" applyAlignment="1" applyProtection="1">
      <alignment horizontal="center"/>
      <protection locked="0"/>
    </xf>
    <xf numFmtId="0" fontId="23" fillId="0" borderId="64" xfId="0" applyFont="1" applyBorder="1" applyAlignment="1">
      <alignment horizontal="center" vertical="center" wrapText="1"/>
    </xf>
    <xf numFmtId="0" fontId="23" fillId="0" borderId="65" xfId="0" applyFont="1" applyBorder="1" applyAlignment="1">
      <alignment horizontal="center" vertical="center" wrapText="1"/>
    </xf>
    <xf numFmtId="0" fontId="23" fillId="0" borderId="26" xfId="0" applyFont="1" applyBorder="1" applyAlignment="1">
      <alignment horizontal="center" vertical="center" wrapText="1"/>
    </xf>
    <xf numFmtId="0" fontId="23" fillId="0" borderId="67" xfId="0" applyFont="1" applyBorder="1" applyAlignment="1">
      <alignment horizontal="center" vertical="center" wrapText="1"/>
    </xf>
    <xf numFmtId="0" fontId="24" fillId="0" borderId="66" xfId="0" applyFont="1" applyBorder="1" applyAlignment="1">
      <alignment horizontal="center" vertical="center" wrapText="1"/>
    </xf>
    <xf numFmtId="176" fontId="24" fillId="12" borderId="26" xfId="0" applyNumberFormat="1" applyFont="1" applyFill="1" applyBorder="1" applyAlignment="1" applyProtection="1">
      <alignment horizontal="center" vertical="center" wrapText="1"/>
      <protection hidden="1"/>
    </xf>
    <xf numFmtId="3" fontId="24" fillId="12" borderId="26" xfId="0" applyNumberFormat="1" applyFont="1" applyFill="1" applyBorder="1" applyAlignment="1" applyProtection="1">
      <alignment horizontal="center" vertical="center" wrapText="1"/>
      <protection hidden="1"/>
    </xf>
    <xf numFmtId="165" fontId="24" fillId="12" borderId="26" xfId="0" applyNumberFormat="1" applyFont="1" applyFill="1" applyBorder="1" applyAlignment="1" applyProtection="1">
      <alignment horizontal="center" vertical="center" wrapText="1"/>
      <protection hidden="1"/>
    </xf>
    <xf numFmtId="165" fontId="24" fillId="12" borderId="67" xfId="0" applyNumberFormat="1" applyFont="1" applyFill="1" applyBorder="1" applyAlignment="1" applyProtection="1">
      <alignment horizontal="center" vertical="center" wrapText="1"/>
      <protection hidden="1"/>
    </xf>
    <xf numFmtId="165" fontId="23" fillId="12" borderId="26" xfId="0" applyNumberFormat="1" applyFont="1" applyFill="1" applyBorder="1" applyAlignment="1" applyProtection="1">
      <alignment horizontal="center" vertical="center" wrapText="1"/>
      <protection hidden="1"/>
    </xf>
    <xf numFmtId="0" fontId="25" fillId="10" borderId="66" xfId="0" applyFont="1" applyFill="1" applyBorder="1" applyAlignment="1">
      <alignment horizontal="left" vertical="center"/>
    </xf>
    <xf numFmtId="0" fontId="14" fillId="9" borderId="26" xfId="0" applyFont="1" applyFill="1" applyBorder="1" applyAlignment="1">
      <alignment vertical="center"/>
    </xf>
    <xf numFmtId="0" fontId="23" fillId="10" borderId="26" xfId="0" applyFont="1" applyFill="1" applyBorder="1" applyAlignment="1">
      <alignment horizontal="center" vertical="center" wrapText="1"/>
    </xf>
    <xf numFmtId="5" fontId="51" fillId="9" borderId="0" xfId="131" applyNumberFormat="1" applyFont="1" applyFill="1" applyBorder="1" applyAlignment="1">
      <alignment horizontal="center" vertical="center" wrapText="1"/>
    </xf>
    <xf numFmtId="0" fontId="51" fillId="9" borderId="0" xfId="0" applyFont="1" applyFill="1" applyAlignment="1">
      <alignment horizontal="right" vertical="center" wrapText="1"/>
    </xf>
    <xf numFmtId="0" fontId="52" fillId="14" borderId="0" xfId="0" applyFont="1" applyFill="1" applyAlignment="1">
      <alignment horizontal="left" vertical="center" wrapText="1"/>
    </xf>
    <xf numFmtId="0" fontId="53" fillId="14" borderId="0" xfId="0" applyFont="1" applyFill="1" applyAlignment="1">
      <alignment horizontal="right" vertical="center" wrapText="1"/>
    </xf>
    <xf numFmtId="0" fontId="21" fillId="8" borderId="37" xfId="0" applyFont="1" applyFill="1" applyBorder="1" applyAlignment="1">
      <alignment vertical="center" wrapText="1"/>
    </xf>
    <xf numFmtId="3" fontId="21" fillId="5" borderId="9" xfId="1030" applyNumberFormat="1" applyFont="1" applyFill="1" applyBorder="1" applyAlignment="1" applyProtection="1">
      <alignment horizontal="center" vertical="center" wrapText="1"/>
      <protection locked="0"/>
    </xf>
    <xf numFmtId="37" fontId="21" fillId="5" borderId="9" xfId="1030" applyNumberFormat="1" applyFont="1" applyFill="1" applyBorder="1" applyAlignment="1" applyProtection="1">
      <alignment horizontal="center" vertical="center" wrapText="1"/>
      <protection locked="0"/>
    </xf>
    <xf numFmtId="165" fontId="21" fillId="5" borderId="9" xfId="1030" applyNumberFormat="1" applyFont="1" applyFill="1" applyBorder="1" applyAlignment="1" applyProtection="1">
      <alignment horizontal="center" vertical="center" wrapText="1"/>
      <protection locked="0"/>
    </xf>
    <xf numFmtId="0" fontId="54" fillId="0" borderId="26" xfId="0" applyFont="1" applyBorder="1" applyAlignment="1">
      <alignment horizontal="center" vertical="center"/>
    </xf>
    <xf numFmtId="165" fontId="46" fillId="13" borderId="62" xfId="0" applyNumberFormat="1" applyFont="1" applyFill="1" applyBorder="1" applyAlignment="1" applyProtection="1">
      <alignment horizontal="center"/>
      <protection locked="0"/>
    </xf>
    <xf numFmtId="3" fontId="24" fillId="5" borderId="26" xfId="0" applyNumberFormat="1" applyFont="1" applyFill="1" applyBorder="1" applyAlignment="1" applyProtection="1">
      <alignment horizontal="center" vertical="center" wrapText="1"/>
      <protection locked="0"/>
    </xf>
    <xf numFmtId="0" fontId="21" fillId="6" borderId="15" xfId="0" applyFont="1" applyFill="1" applyBorder="1" applyAlignment="1">
      <alignment horizontal="left" vertical="center" wrapText="1"/>
    </xf>
    <xf numFmtId="0" fontId="21" fillId="6" borderId="13" xfId="0" applyFont="1" applyFill="1" applyBorder="1" applyAlignment="1">
      <alignment horizontal="left" vertical="center" wrapText="1"/>
    </xf>
    <xf numFmtId="0" fontId="14" fillId="9" borderId="16" xfId="0" applyFont="1" applyFill="1" applyBorder="1" applyAlignment="1">
      <alignment horizontal="center" vertical="center"/>
    </xf>
    <xf numFmtId="0" fontId="23" fillId="0" borderId="66" xfId="0" applyFont="1" applyBorder="1" applyAlignment="1">
      <alignment horizontal="center" vertical="center" wrapText="1"/>
    </xf>
    <xf numFmtId="0" fontId="62" fillId="0" borderId="66" xfId="0" applyFont="1" applyBorder="1" applyAlignment="1">
      <alignment horizontal="center" vertical="center" wrapText="1"/>
    </xf>
    <xf numFmtId="0" fontId="14" fillId="9" borderId="20" xfId="0" applyFont="1" applyFill="1" applyBorder="1" applyAlignment="1">
      <alignment horizontal="center" vertical="center"/>
    </xf>
    <xf numFmtId="0" fontId="62" fillId="0" borderId="66" xfId="0" applyFont="1" applyBorder="1" applyAlignment="1">
      <alignment horizontal="center" vertical="center"/>
    </xf>
    <xf numFmtId="165" fontId="24" fillId="5" borderId="67" xfId="0" applyNumberFormat="1" applyFont="1" applyFill="1" applyBorder="1" applyAlignment="1" applyProtection="1">
      <alignment horizontal="center" vertical="center" wrapText="1"/>
      <protection locked="0"/>
    </xf>
    <xf numFmtId="6" fontId="23" fillId="10" borderId="67" xfId="0" applyNumberFormat="1" applyFont="1" applyFill="1" applyBorder="1" applyAlignment="1">
      <alignment horizontal="center" vertical="center" wrapText="1"/>
    </xf>
    <xf numFmtId="0" fontId="12" fillId="0" borderId="66" xfId="0" applyFont="1" applyBorder="1" applyAlignment="1">
      <alignment horizontal="left"/>
    </xf>
    <xf numFmtId="0" fontId="43" fillId="0" borderId="26" xfId="0" applyFont="1" applyBorder="1"/>
    <xf numFmtId="0" fontId="43" fillId="0" borderId="67" xfId="0" applyFont="1" applyBorder="1"/>
    <xf numFmtId="169" fontId="14" fillId="0" borderId="0" xfId="132" applyNumberFormat="1" applyFont="1"/>
    <xf numFmtId="6" fontId="21" fillId="13" borderId="27" xfId="0" applyNumberFormat="1" applyFont="1" applyFill="1" applyBorder="1" applyAlignment="1" applyProtection="1">
      <alignment horizontal="center" vertical="center" wrapText="1"/>
      <protection locked="0"/>
    </xf>
    <xf numFmtId="1" fontId="21" fillId="5" borderId="31" xfId="0" applyNumberFormat="1" applyFont="1" applyFill="1" applyBorder="1" applyAlignment="1" applyProtection="1">
      <alignment horizontal="center" vertical="center" wrapText="1"/>
      <protection locked="0"/>
    </xf>
    <xf numFmtId="165" fontId="24" fillId="5" borderId="27" xfId="0" applyNumberFormat="1" applyFont="1" applyFill="1" applyBorder="1" applyAlignment="1" applyProtection="1">
      <alignment horizontal="center" vertical="center" wrapText="1"/>
      <protection locked="0"/>
    </xf>
    <xf numFmtId="165" fontId="23" fillId="5" borderId="55" xfId="0" applyNumberFormat="1" applyFont="1" applyFill="1" applyBorder="1" applyAlignment="1" applyProtection="1">
      <alignment horizontal="center" vertical="center" wrapText="1"/>
      <protection locked="0"/>
    </xf>
    <xf numFmtId="6" fontId="23" fillId="5" borderId="27" xfId="0" applyNumberFormat="1" applyFont="1" applyFill="1" applyBorder="1" applyAlignment="1" applyProtection="1">
      <alignment horizontal="center" vertical="center" wrapText="1"/>
      <protection locked="0"/>
    </xf>
    <xf numFmtId="6" fontId="23" fillId="5" borderId="1" xfId="0" applyNumberFormat="1" applyFont="1" applyFill="1" applyBorder="1" applyAlignment="1" applyProtection="1">
      <alignment horizontal="center" vertical="center" wrapText="1"/>
      <protection locked="0"/>
    </xf>
    <xf numFmtId="6" fontId="23" fillId="5" borderId="44" xfId="0" applyNumberFormat="1" applyFont="1" applyFill="1" applyBorder="1" applyAlignment="1" applyProtection="1">
      <alignment horizontal="center" vertical="center" wrapText="1"/>
      <protection locked="0"/>
    </xf>
    <xf numFmtId="165" fontId="20" fillId="5" borderId="55" xfId="0" applyNumberFormat="1" applyFont="1" applyFill="1" applyBorder="1" applyAlignment="1" applyProtection="1">
      <alignment horizontal="center" vertical="center" wrapText="1"/>
      <protection locked="0"/>
    </xf>
    <xf numFmtId="6" fontId="23" fillId="5" borderId="8" xfId="0" applyNumberFormat="1" applyFont="1" applyFill="1" applyBorder="1" applyAlignment="1" applyProtection="1">
      <alignment horizontal="center" vertical="center" wrapText="1"/>
      <protection locked="0"/>
    </xf>
    <xf numFmtId="176" fontId="24" fillId="5" borderId="26" xfId="0" applyNumberFormat="1" applyFont="1" applyFill="1" applyBorder="1" applyAlignment="1" applyProtection="1">
      <alignment horizontal="center" vertical="center" wrapText="1"/>
      <protection locked="0"/>
    </xf>
    <xf numFmtId="165" fontId="24" fillId="5" borderId="26" xfId="0" applyNumberFormat="1" applyFont="1" applyFill="1" applyBorder="1" applyAlignment="1" applyProtection="1">
      <alignment horizontal="center" vertical="center" wrapText="1"/>
      <protection locked="0"/>
    </xf>
    <xf numFmtId="3" fontId="23" fillId="5" borderId="26" xfId="0" applyNumberFormat="1" applyFont="1" applyFill="1" applyBorder="1" applyAlignment="1" applyProtection="1">
      <alignment horizontal="center" vertical="center" wrapText="1"/>
      <protection locked="0"/>
    </xf>
    <xf numFmtId="165" fontId="23" fillId="5" borderId="26" xfId="0" applyNumberFormat="1" applyFont="1" applyFill="1" applyBorder="1" applyAlignment="1" applyProtection="1">
      <alignment horizontal="center" vertical="center" wrapText="1"/>
      <protection locked="0"/>
    </xf>
    <xf numFmtId="165" fontId="23" fillId="5" borderId="67" xfId="0" applyNumberFormat="1" applyFont="1" applyFill="1" applyBorder="1" applyAlignment="1" applyProtection="1">
      <alignment horizontal="center" vertical="center" wrapText="1"/>
      <protection locked="0"/>
    </xf>
    <xf numFmtId="165" fontId="26" fillId="5" borderId="28" xfId="0" applyNumberFormat="1" applyFont="1" applyFill="1" applyBorder="1" applyAlignment="1" applyProtection="1">
      <alignment horizontal="center" vertical="center" wrapText="1"/>
      <protection locked="0"/>
    </xf>
    <xf numFmtId="174" fontId="26" fillId="5" borderId="29" xfId="7" applyNumberFormat="1" applyFont="1" applyFill="1" applyBorder="1" applyAlignment="1" applyProtection="1">
      <alignment horizontal="center" vertical="center" wrapText="1"/>
      <protection locked="0"/>
    </xf>
    <xf numFmtId="2" fontId="21" fillId="5" borderId="13" xfId="0" applyNumberFormat="1" applyFont="1" applyFill="1" applyBorder="1" applyAlignment="1" applyProtection="1">
      <alignment horizontal="center" vertical="center" wrapText="1"/>
      <protection locked="0"/>
    </xf>
    <xf numFmtId="2" fontId="20" fillId="0" borderId="6" xfId="0" applyNumberFormat="1" applyFont="1" applyBorder="1" applyAlignment="1">
      <alignment horizontal="center" vertical="center" wrapText="1"/>
    </xf>
    <xf numFmtId="0" fontId="33" fillId="0" borderId="0" xfId="0" applyFont="1" applyAlignment="1" applyProtection="1">
      <alignment vertical="center"/>
      <protection locked="0"/>
    </xf>
    <xf numFmtId="0" fontId="22" fillId="9" borderId="17" xfId="0" applyFont="1" applyFill="1" applyBorder="1"/>
    <xf numFmtId="0" fontId="17" fillId="0" borderId="0" xfId="0" applyFont="1" applyAlignment="1">
      <alignment horizontal="center" wrapText="1"/>
    </xf>
    <xf numFmtId="0" fontId="64" fillId="7" borderId="25" xfId="0" applyFont="1" applyFill="1" applyBorder="1" applyAlignment="1">
      <alignment horizontal="left" vertical="center" wrapText="1"/>
    </xf>
    <xf numFmtId="0" fontId="20" fillId="0" borderId="31" xfId="0" applyFont="1" applyBorder="1" applyAlignment="1">
      <alignment vertical="center" wrapText="1"/>
    </xf>
    <xf numFmtId="0" fontId="20" fillId="0" borderId="37" xfId="0" applyFont="1" applyBorder="1" applyAlignment="1">
      <alignment vertical="center" wrapText="1"/>
    </xf>
    <xf numFmtId="0" fontId="33" fillId="0" borderId="0" xfId="0" applyFont="1" applyAlignment="1">
      <alignment horizontal="center" vertical="center"/>
    </xf>
    <xf numFmtId="0" fontId="21" fillId="0" borderId="9" xfId="0" applyFont="1" applyBorder="1" applyAlignment="1">
      <alignment vertical="center" wrapText="1"/>
    </xf>
    <xf numFmtId="17" fontId="21" fillId="5" borderId="1" xfId="0" applyNumberFormat="1" applyFont="1" applyFill="1" applyBorder="1" applyAlignment="1" applyProtection="1">
      <alignment horizontal="center" vertical="center" wrapText="1"/>
      <protection locked="0"/>
    </xf>
    <xf numFmtId="172" fontId="21" fillId="5" borderId="15" xfId="0" applyNumberFormat="1" applyFont="1" applyFill="1" applyBorder="1" applyAlignment="1" applyProtection="1">
      <alignment horizontal="center" vertical="center" wrapText="1"/>
      <protection locked="0"/>
    </xf>
    <xf numFmtId="0" fontId="21" fillId="0" borderId="51" xfId="0" applyFont="1" applyBorder="1" applyAlignment="1">
      <alignment vertical="center" wrapText="1"/>
    </xf>
    <xf numFmtId="0" fontId="21" fillId="0" borderId="25" xfId="0" applyFont="1" applyBorder="1" applyAlignment="1">
      <alignment vertical="center" wrapText="1"/>
    </xf>
    <xf numFmtId="0" fontId="21" fillId="5" borderId="27" xfId="0" applyFont="1" applyFill="1" applyBorder="1" applyAlignment="1" applyProtection="1">
      <alignment horizontal="center" vertical="center"/>
      <protection locked="0"/>
    </xf>
    <xf numFmtId="172" fontId="21" fillId="5" borderId="24" xfId="0" applyNumberFormat="1" applyFont="1" applyFill="1" applyBorder="1" applyAlignment="1" applyProtection="1">
      <alignment horizontal="center" vertical="center" wrapText="1"/>
      <protection locked="0"/>
    </xf>
    <xf numFmtId="172" fontId="21" fillId="5" borderId="77" xfId="0" applyNumberFormat="1" applyFont="1" applyFill="1" applyBorder="1" applyAlignment="1" applyProtection="1">
      <alignment horizontal="center" vertical="center" wrapText="1"/>
      <protection locked="0"/>
    </xf>
    <xf numFmtId="0" fontId="21" fillId="5" borderId="44" xfId="0" applyFont="1" applyFill="1" applyBorder="1" applyAlignment="1" applyProtection="1">
      <alignment horizontal="center" vertical="center" wrapText="1"/>
      <protection locked="0"/>
    </xf>
    <xf numFmtId="49" fontId="21" fillId="5" borderId="15" xfId="0" applyNumberFormat="1" applyFont="1" applyFill="1" applyBorder="1" applyAlignment="1" applyProtection="1">
      <alignment horizontal="center" vertical="center" wrapText="1"/>
      <protection locked="0"/>
    </xf>
    <xf numFmtId="0" fontId="21" fillId="0" borderId="33" xfId="0" applyFont="1" applyBorder="1" applyAlignment="1">
      <alignment vertical="center" wrapText="1"/>
    </xf>
    <xf numFmtId="0" fontId="21" fillId="5" borderId="15" xfId="0" applyFont="1" applyFill="1" applyBorder="1" applyAlignment="1" applyProtection="1">
      <alignment horizontal="center" vertical="center" wrapText="1"/>
      <protection locked="0"/>
    </xf>
    <xf numFmtId="0" fontId="21" fillId="5" borderId="3" xfId="0" applyFont="1" applyFill="1" applyBorder="1" applyAlignment="1" applyProtection="1">
      <alignment horizontal="center" vertical="center" wrapText="1"/>
      <protection locked="0"/>
    </xf>
    <xf numFmtId="0" fontId="21" fillId="0" borderId="48" xfId="0" applyFont="1" applyBorder="1" applyAlignment="1">
      <alignment vertical="center" wrapText="1"/>
    </xf>
    <xf numFmtId="0" fontId="21" fillId="6" borderId="77" xfId="0" applyFont="1" applyFill="1" applyBorder="1" applyAlignment="1" applyProtection="1">
      <alignment horizontal="center" vertical="center" wrapText="1"/>
      <protection hidden="1"/>
    </xf>
    <xf numFmtId="0" fontId="37" fillId="0" borderId="0" xfId="411" applyFont="1"/>
    <xf numFmtId="0" fontId="21" fillId="0" borderId="34" xfId="0" applyFont="1" applyBorder="1" applyAlignment="1">
      <alignment vertical="center" wrapText="1"/>
    </xf>
    <xf numFmtId="3" fontId="21" fillId="5" borderId="17" xfId="1090" applyNumberFormat="1" applyFont="1" applyFill="1" applyBorder="1" applyAlignment="1" applyProtection="1">
      <alignment horizontal="center" vertical="center" wrapText="1"/>
      <protection locked="0"/>
    </xf>
    <xf numFmtId="0" fontId="64" fillId="0" borderId="79" xfId="0" applyFont="1" applyBorder="1" applyAlignment="1">
      <alignment vertical="center" wrapText="1"/>
    </xf>
    <xf numFmtId="49" fontId="21" fillId="5" borderId="79" xfId="0" applyNumberFormat="1" applyFont="1" applyFill="1" applyBorder="1" applyAlignment="1" applyProtection="1">
      <alignment horizontal="center" vertical="center" wrapText="1"/>
      <protection locked="0"/>
    </xf>
    <xf numFmtId="0" fontId="64" fillId="7" borderId="49" xfId="0" applyFont="1" applyFill="1" applyBorder="1" applyAlignment="1">
      <alignment vertical="center" wrapText="1"/>
    </xf>
    <xf numFmtId="0" fontId="21" fillId="0" borderId="79" xfId="0" applyFont="1" applyBorder="1" applyAlignment="1">
      <alignment vertical="center" wrapText="1"/>
    </xf>
    <xf numFmtId="0" fontId="21" fillId="8" borderId="0" xfId="0" applyFont="1" applyFill="1" applyAlignment="1">
      <alignment horizontal="left" vertical="center" wrapText="1"/>
    </xf>
    <xf numFmtId="6" fontId="21" fillId="8" borderId="0" xfId="0" applyNumberFormat="1" applyFont="1" applyFill="1" applyAlignment="1">
      <alignment horizontal="center" vertical="center" wrapText="1"/>
    </xf>
    <xf numFmtId="0" fontId="21" fillId="7" borderId="31" xfId="0" applyFont="1" applyFill="1" applyBorder="1" applyAlignment="1">
      <alignment horizontal="left" vertical="center" wrapText="1"/>
    </xf>
    <xf numFmtId="0" fontId="56" fillId="0" borderId="42" xfId="0" applyFont="1" applyBorder="1" applyAlignment="1">
      <alignment vertical="center" wrapText="1"/>
    </xf>
    <xf numFmtId="6" fontId="21" fillId="6" borderId="8" xfId="0" applyNumberFormat="1" applyFont="1" applyFill="1" applyBorder="1" applyAlignment="1" applyProtection="1">
      <alignment horizontal="center" vertical="center" wrapText="1"/>
      <protection hidden="1"/>
    </xf>
    <xf numFmtId="0" fontId="21" fillId="0" borderId="31" xfId="0" applyFont="1" applyBorder="1" applyAlignment="1">
      <alignment horizontal="left" vertical="center" wrapText="1"/>
    </xf>
    <xf numFmtId="0" fontId="64" fillId="0" borderId="47" xfId="0" applyFont="1" applyBorder="1" applyAlignment="1">
      <alignment vertical="center" wrapText="1"/>
    </xf>
    <xf numFmtId="6" fontId="21" fillId="5" borderId="8" xfId="0" applyNumberFormat="1" applyFont="1" applyFill="1" applyBorder="1" applyAlignment="1" applyProtection="1">
      <alignment horizontal="center" vertical="center" wrapText="1"/>
      <protection locked="0"/>
    </xf>
    <xf numFmtId="0" fontId="64" fillId="0" borderId="31" xfId="0" applyFont="1" applyBorder="1" applyAlignment="1">
      <alignment horizontal="left" vertical="center" wrapText="1"/>
    </xf>
    <xf numFmtId="10" fontId="21" fillId="13" borderId="25" xfId="0" applyNumberFormat="1" applyFont="1" applyFill="1" applyBorder="1" applyAlignment="1" applyProtection="1">
      <alignment horizontal="center" vertical="center" wrapText="1"/>
      <protection locked="0"/>
    </xf>
    <xf numFmtId="0" fontId="56" fillId="0" borderId="40" xfId="0" applyFont="1" applyBorder="1" applyAlignment="1">
      <alignment vertical="center" wrapText="1"/>
    </xf>
    <xf numFmtId="165" fontId="21" fillId="6" borderId="3" xfId="0" applyNumberFormat="1" applyFont="1" applyFill="1" applyBorder="1" applyAlignment="1" applyProtection="1">
      <alignment horizontal="center" vertical="center" wrapText="1"/>
      <protection hidden="1"/>
    </xf>
    <xf numFmtId="0" fontId="21" fillId="0" borderId="32" xfId="0" applyFont="1" applyBorder="1" applyAlignment="1">
      <alignment horizontal="left" vertical="center" wrapText="1"/>
    </xf>
    <xf numFmtId="0" fontId="56" fillId="0" borderId="27" xfId="0" applyFont="1" applyBorder="1" applyAlignment="1">
      <alignment horizontal="left" vertical="center" wrapText="1"/>
    </xf>
    <xf numFmtId="0" fontId="21" fillId="7" borderId="25" xfId="0" applyFont="1" applyFill="1" applyBorder="1" applyAlignment="1">
      <alignment horizontal="left" vertical="center" wrapText="1"/>
    </xf>
    <xf numFmtId="0" fontId="64" fillId="0" borderId="13" xfId="0" applyFont="1" applyBorder="1" applyAlignment="1">
      <alignment horizontal="left" vertical="center" wrapText="1"/>
    </xf>
    <xf numFmtId="0" fontId="51" fillId="6" borderId="17" xfId="0" applyFont="1" applyFill="1" applyBorder="1" applyAlignment="1" applyProtection="1">
      <alignment vertical="center" wrapText="1"/>
      <protection hidden="1"/>
    </xf>
    <xf numFmtId="0" fontId="51" fillId="6" borderId="22" xfId="0" applyFont="1" applyFill="1" applyBorder="1" applyAlignment="1" applyProtection="1">
      <alignment vertical="center" wrapText="1"/>
      <protection hidden="1"/>
    </xf>
    <xf numFmtId="0" fontId="21" fillId="9" borderId="0" xfId="0" applyFont="1" applyFill="1" applyAlignment="1">
      <alignment horizontal="left" vertical="center" wrapText="1"/>
    </xf>
    <xf numFmtId="6" fontId="21" fillId="9" borderId="0" xfId="0" applyNumberFormat="1" applyFont="1" applyFill="1" applyAlignment="1">
      <alignment horizontal="right" vertical="center" wrapText="1"/>
    </xf>
    <xf numFmtId="0" fontId="14" fillId="9" borderId="0" xfId="0" applyFont="1" applyFill="1" applyAlignment="1">
      <alignment horizontal="center" vertical="center" wrapText="1"/>
    </xf>
    <xf numFmtId="0" fontId="14" fillId="9" borderId="0" xfId="0" applyFont="1" applyFill="1" applyAlignment="1">
      <alignment horizontal="center" vertical="center"/>
    </xf>
    <xf numFmtId="168" fontId="32" fillId="9" borderId="0" xfId="1029" applyNumberFormat="1" applyFont="1" applyFill="1" applyBorder="1" applyAlignment="1">
      <alignment horizontal="center" vertical="center"/>
    </xf>
    <xf numFmtId="0" fontId="14" fillId="9" borderId="19" xfId="0" applyFont="1" applyFill="1" applyBorder="1" applyAlignment="1">
      <alignment horizontal="center" vertical="center"/>
    </xf>
    <xf numFmtId="0" fontId="14" fillId="9" borderId="21" xfId="0" applyFont="1" applyFill="1" applyBorder="1" applyAlignment="1">
      <alignment horizontal="center" vertical="center"/>
    </xf>
    <xf numFmtId="0" fontId="24" fillId="0" borderId="25" xfId="0" applyFont="1" applyBorder="1" applyAlignment="1">
      <alignment horizontal="center" vertical="center" wrapText="1"/>
    </xf>
    <xf numFmtId="165" fontId="24" fillId="5" borderId="24" xfId="0" applyNumberFormat="1" applyFont="1" applyFill="1" applyBorder="1" applyAlignment="1" applyProtection="1">
      <alignment horizontal="center" vertical="center" wrapText="1"/>
      <protection locked="0"/>
    </xf>
    <xf numFmtId="0" fontId="23" fillId="0" borderId="36" xfId="0" applyFont="1" applyBorder="1" applyAlignment="1">
      <alignment horizontal="center" vertical="center" wrapText="1"/>
    </xf>
    <xf numFmtId="0" fontId="14" fillId="9" borderId="38" xfId="0" applyFont="1" applyFill="1" applyBorder="1" applyAlignment="1">
      <alignment horizontal="center" vertical="center"/>
    </xf>
    <xf numFmtId="0" fontId="25" fillId="10" borderId="46" xfId="0" applyFont="1" applyFill="1" applyBorder="1" applyAlignment="1">
      <alignment horizontal="left" vertical="center"/>
    </xf>
    <xf numFmtId="0" fontId="23" fillId="10" borderId="27" xfId="0" applyFont="1" applyFill="1" applyBorder="1" applyAlignment="1">
      <alignment horizontal="center" vertical="center" wrapText="1"/>
    </xf>
    <xf numFmtId="0" fontId="24" fillId="0" borderId="0" xfId="0" applyFont="1" applyAlignment="1">
      <alignment horizontal="left"/>
    </xf>
    <xf numFmtId="0" fontId="21" fillId="0" borderId="35" xfId="0" applyFont="1" applyBorder="1" applyAlignment="1">
      <alignment vertical="center" wrapText="1"/>
    </xf>
    <xf numFmtId="0" fontId="22" fillId="9" borderId="46" xfId="0" applyFont="1" applyFill="1" applyBorder="1"/>
    <xf numFmtId="0" fontId="20" fillId="0" borderId="10" xfId="0" applyFont="1" applyBorder="1" applyAlignment="1">
      <alignment horizontal="center" vertical="center" wrapText="1"/>
    </xf>
    <xf numFmtId="0" fontId="20" fillId="0" borderId="9" xfId="0" applyFont="1" applyBorder="1" applyAlignment="1">
      <alignment horizontal="center" vertical="center" wrapText="1"/>
    </xf>
    <xf numFmtId="49" fontId="14" fillId="0" borderId="0" xfId="0" applyNumberFormat="1" applyFont="1"/>
    <xf numFmtId="0" fontId="21" fillId="0" borderId="0" xfId="0" applyFont="1" applyAlignment="1">
      <alignment horizontal="left"/>
    </xf>
    <xf numFmtId="0" fontId="64" fillId="0" borderId="10" xfId="0" applyFont="1" applyBorder="1" applyAlignment="1">
      <alignment horizontal="left" vertical="center" wrapText="1"/>
    </xf>
    <xf numFmtId="0" fontId="21" fillId="8" borderId="17" xfId="0" applyFont="1" applyFill="1" applyBorder="1" applyAlignment="1">
      <alignment horizontal="right" vertical="center" wrapText="1"/>
    </xf>
    <xf numFmtId="0" fontId="22" fillId="8" borderId="46" xfId="0" applyFont="1" applyFill="1" applyBorder="1"/>
    <xf numFmtId="0" fontId="30" fillId="8" borderId="9" xfId="0" applyFont="1" applyFill="1" applyBorder="1" applyAlignment="1">
      <alignment horizontal="left" vertical="center" wrapText="1"/>
    </xf>
    <xf numFmtId="0" fontId="20" fillId="0" borderId="8" xfId="0" applyFont="1" applyBorder="1" applyAlignment="1">
      <alignment horizontal="center" vertical="center" wrapText="1"/>
    </xf>
    <xf numFmtId="165" fontId="21" fillId="5" borderId="8" xfId="0" applyNumberFormat="1" applyFont="1" applyFill="1" applyBorder="1" applyAlignment="1" applyProtection="1">
      <alignment horizontal="center" vertical="center" wrapText="1"/>
      <protection locked="0"/>
    </xf>
    <xf numFmtId="0" fontId="21" fillId="0" borderId="11" xfId="0" applyFont="1" applyBorder="1" applyAlignment="1">
      <alignment horizontal="left" vertical="center" wrapText="1"/>
    </xf>
    <xf numFmtId="165" fontId="21" fillId="5" borderId="6" xfId="0" applyNumberFormat="1" applyFont="1" applyFill="1" applyBorder="1" applyAlignment="1" applyProtection="1">
      <alignment horizontal="center" vertical="center" wrapText="1"/>
      <protection locked="0"/>
    </xf>
    <xf numFmtId="165" fontId="21" fillId="5" borderId="0" xfId="0" applyNumberFormat="1" applyFont="1" applyFill="1" applyAlignment="1" applyProtection="1">
      <alignment horizontal="center" vertical="center" wrapText="1"/>
      <protection locked="0"/>
    </xf>
    <xf numFmtId="0" fontId="31" fillId="0" borderId="28" xfId="0" applyFont="1" applyBorder="1" applyAlignment="1">
      <alignment horizontal="left" vertical="center" wrapText="1"/>
    </xf>
    <xf numFmtId="0" fontId="21" fillId="8" borderId="6" xfId="0" applyFont="1" applyFill="1" applyBorder="1" applyAlignment="1">
      <alignment horizontal="left" vertical="center" wrapText="1"/>
    </xf>
    <xf numFmtId="165" fontId="21" fillId="5" borderId="6" xfId="1091" applyNumberFormat="1" applyFont="1" applyFill="1" applyBorder="1" applyAlignment="1" applyProtection="1">
      <alignment horizontal="center" vertical="center" wrapText="1"/>
      <protection locked="0"/>
    </xf>
    <xf numFmtId="165" fontId="21" fillId="5" borderId="0" xfId="1091" applyNumberFormat="1" applyFont="1" applyFill="1" applyBorder="1" applyAlignment="1" applyProtection="1">
      <alignment horizontal="center" vertical="center" wrapText="1"/>
      <protection locked="0"/>
    </xf>
    <xf numFmtId="0" fontId="24" fillId="5" borderId="10" xfId="0" applyFont="1" applyFill="1" applyBorder="1" applyAlignment="1" applyProtection="1">
      <alignment horizontal="left" vertical="center" wrapText="1"/>
      <protection locked="0"/>
    </xf>
    <xf numFmtId="0" fontId="65" fillId="0" borderId="10" xfId="0" applyFont="1" applyBorder="1" applyAlignment="1">
      <alignment horizontal="left" vertical="center" wrapText="1"/>
    </xf>
    <xf numFmtId="10" fontId="21" fillId="5" borderId="8" xfId="0" applyNumberFormat="1" applyFont="1" applyFill="1" applyBorder="1" applyAlignment="1" applyProtection="1">
      <alignment horizontal="center" vertical="center" wrapText="1"/>
      <protection locked="0"/>
    </xf>
    <xf numFmtId="165" fontId="21" fillId="5" borderId="8" xfId="1091" applyNumberFormat="1" applyFont="1" applyFill="1" applyBorder="1" applyAlignment="1" applyProtection="1">
      <alignment horizontal="center" vertical="center" wrapText="1"/>
      <protection locked="0"/>
    </xf>
    <xf numFmtId="6" fontId="21" fillId="8" borderId="15" xfId="0" applyNumberFormat="1" applyFont="1" applyFill="1" applyBorder="1" applyAlignment="1">
      <alignment horizontal="center" vertical="center" wrapText="1"/>
    </xf>
    <xf numFmtId="0" fontId="17" fillId="0" borderId="13" xfId="0" applyFont="1" applyBorder="1" applyAlignment="1">
      <alignment horizontal="center" vertical="center" wrapText="1"/>
    </xf>
    <xf numFmtId="0" fontId="30" fillId="0" borderId="7" xfId="0" applyFont="1" applyBorder="1" applyAlignment="1">
      <alignment horizontal="left" vertical="center" wrapText="1"/>
    </xf>
    <xf numFmtId="0" fontId="21" fillId="8" borderId="27" xfId="0" applyFont="1" applyFill="1" applyBorder="1" applyAlignment="1">
      <alignment horizontal="left" vertical="center" wrapText="1"/>
    </xf>
    <xf numFmtId="165" fontId="20" fillId="5" borderId="9" xfId="0" applyNumberFormat="1" applyFont="1" applyFill="1" applyBorder="1" applyAlignment="1" applyProtection="1">
      <alignment horizontal="center" vertical="center" wrapText="1"/>
      <protection locked="0"/>
    </xf>
    <xf numFmtId="165" fontId="20" fillId="5" borderId="8" xfId="0" applyNumberFormat="1" applyFont="1" applyFill="1" applyBorder="1" applyAlignment="1" applyProtection="1">
      <alignment horizontal="center" vertical="center" wrapText="1"/>
      <protection locked="0"/>
    </xf>
    <xf numFmtId="0" fontId="21" fillId="8" borderId="22" xfId="0" applyFont="1" applyFill="1" applyBorder="1" applyAlignment="1">
      <alignment vertical="center" wrapText="1"/>
    </xf>
    <xf numFmtId="165" fontId="22" fillId="8" borderId="50" xfId="0" applyNumberFormat="1" applyFont="1" applyFill="1" applyBorder="1"/>
    <xf numFmtId="0" fontId="21" fillId="0" borderId="5" xfId="0" applyFont="1" applyBorder="1" applyAlignment="1">
      <alignment horizontal="left" vertical="center" wrapText="1"/>
    </xf>
    <xf numFmtId="0" fontId="21" fillId="5" borderId="49" xfId="0" applyFont="1" applyFill="1" applyBorder="1" applyAlignment="1" applyProtection="1">
      <alignment horizontal="center" vertical="center" wrapText="1"/>
      <protection locked="0"/>
    </xf>
    <xf numFmtId="0" fontId="21" fillId="5" borderId="49" xfId="0" applyFont="1" applyFill="1" applyBorder="1" applyAlignment="1" applyProtection="1">
      <alignment horizontal="center" vertical="center"/>
      <protection locked="0"/>
    </xf>
    <xf numFmtId="0" fontId="21" fillId="0" borderId="13" xfId="0" applyFont="1" applyBorder="1" applyAlignment="1">
      <alignment vertical="center" wrapText="1"/>
    </xf>
    <xf numFmtId="0" fontId="0" fillId="0" borderId="22" xfId="0" applyBorder="1" applyAlignment="1">
      <alignment horizontal="center" vertical="center" wrapText="1"/>
    </xf>
    <xf numFmtId="169" fontId="24" fillId="6" borderId="35" xfId="132" applyNumberFormat="1" applyFont="1" applyFill="1" applyBorder="1" applyAlignment="1">
      <alignment vertical="center" wrapText="1"/>
    </xf>
    <xf numFmtId="10" fontId="46" fillId="5" borderId="27" xfId="959" applyNumberFormat="1" applyFont="1" applyFill="1" applyBorder="1" applyAlignment="1" applyProtection="1">
      <alignment horizontal="center" vertical="center" wrapText="1"/>
      <protection locked="0"/>
    </xf>
    <xf numFmtId="0" fontId="0" fillId="0" borderId="0" xfId="0" applyAlignment="1">
      <alignment wrapText="1"/>
    </xf>
    <xf numFmtId="0" fontId="43" fillId="0" borderId="0" xfId="0" applyFont="1"/>
    <xf numFmtId="0" fontId="30" fillId="9" borderId="0" xfId="0" applyFont="1" applyFill="1" applyAlignment="1">
      <alignment horizontal="left" vertical="center" wrapText="1"/>
    </xf>
    <xf numFmtId="0" fontId="20" fillId="12" borderId="6" xfId="0" applyFont="1" applyFill="1" applyBorder="1" applyAlignment="1">
      <alignment horizontal="center" vertical="center" wrapText="1"/>
    </xf>
    <xf numFmtId="0" fontId="20" fillId="16" borderId="6" xfId="0" applyFont="1" applyFill="1" applyBorder="1" applyAlignment="1">
      <alignment horizontal="center" vertical="center" wrapText="1"/>
    </xf>
    <xf numFmtId="0" fontId="21" fillId="5" borderId="13" xfId="0" applyFont="1" applyFill="1" applyBorder="1" applyAlignment="1" applyProtection="1">
      <alignment horizontal="left" vertical="center" wrapText="1"/>
      <protection locked="0"/>
    </xf>
    <xf numFmtId="3" fontId="21" fillId="6" borderId="9" xfId="1090" applyNumberFormat="1" applyFont="1" applyFill="1" applyBorder="1" applyAlignment="1" applyProtection="1">
      <alignment horizontal="center" vertical="center" wrapText="1"/>
    </xf>
    <xf numFmtId="37" fontId="21" fillId="6" borderId="9" xfId="1090" applyNumberFormat="1" applyFont="1" applyFill="1" applyBorder="1" applyAlignment="1" applyProtection="1">
      <alignment horizontal="center" vertical="center" wrapText="1"/>
    </xf>
    <xf numFmtId="37" fontId="21" fillId="5" borderId="9" xfId="1090" applyNumberFormat="1" applyFont="1" applyFill="1" applyBorder="1" applyAlignment="1" applyProtection="1">
      <alignment horizontal="center" vertical="center" wrapText="1"/>
      <protection locked="0"/>
    </xf>
    <xf numFmtId="3" fontId="20" fillId="6" borderId="9" xfId="1091" applyNumberFormat="1" applyFont="1" applyFill="1" applyBorder="1" applyAlignment="1" applyProtection="1">
      <alignment horizontal="center" vertical="center" wrapText="1"/>
    </xf>
    <xf numFmtId="0" fontId="23" fillId="9" borderId="2" xfId="0" applyFont="1" applyFill="1" applyBorder="1" applyAlignment="1">
      <alignment horizontal="center" vertical="center" wrapText="1"/>
    </xf>
    <xf numFmtId="0" fontId="24" fillId="9" borderId="0" xfId="0" applyFont="1" applyFill="1" applyAlignment="1">
      <alignment vertical="center" wrapText="1"/>
    </xf>
    <xf numFmtId="3" fontId="23" fillId="9" borderId="0" xfId="0" applyNumberFormat="1" applyFont="1" applyFill="1" applyAlignment="1">
      <alignment horizontal="right" vertical="center" wrapText="1"/>
    </xf>
    <xf numFmtId="6" fontId="23" fillId="9" borderId="0" xfId="0" applyNumberFormat="1" applyFont="1" applyFill="1" applyAlignment="1">
      <alignment horizontal="right" vertical="center" wrapText="1"/>
    </xf>
    <xf numFmtId="0" fontId="14" fillId="8" borderId="0" xfId="0" applyFont="1" applyFill="1"/>
    <xf numFmtId="0" fontId="67" fillId="4" borderId="0" xfId="0" applyFont="1" applyFill="1" applyAlignment="1">
      <alignment horizontal="left" vertical="top" wrapText="1"/>
    </xf>
    <xf numFmtId="0" fontId="0" fillId="4" borderId="0" xfId="0" applyFill="1" applyAlignment="1">
      <alignment horizontal="left" vertical="top" wrapText="1"/>
    </xf>
    <xf numFmtId="0" fontId="0" fillId="4" borderId="0" xfId="0" applyFill="1"/>
    <xf numFmtId="0" fontId="8" fillId="4" borderId="0" xfId="0" applyFont="1" applyFill="1"/>
    <xf numFmtId="0" fontId="6" fillId="4" borderId="0" xfId="1089" applyFill="1" applyAlignment="1" applyProtection="1"/>
    <xf numFmtId="0" fontId="68" fillId="4" borderId="0" xfId="1092" applyFont="1" applyFill="1" applyAlignment="1" applyProtection="1"/>
    <xf numFmtId="0" fontId="69" fillId="17" borderId="0" xfId="0" applyFont="1" applyFill="1"/>
    <xf numFmtId="177" fontId="8" fillId="4" borderId="0" xfId="0" applyNumberFormat="1" applyFont="1" applyFill="1"/>
    <xf numFmtId="0" fontId="8" fillId="0" borderId="0" xfId="0" applyFont="1"/>
    <xf numFmtId="0" fontId="0" fillId="5" borderId="0" xfId="0" applyFill="1"/>
    <xf numFmtId="0" fontId="8" fillId="0" borderId="0" xfId="0" applyFont="1" applyAlignment="1">
      <alignment wrapText="1"/>
    </xf>
    <xf numFmtId="0" fontId="43" fillId="0" borderId="0" xfId="0" applyFont="1" applyAlignment="1">
      <alignment wrapText="1"/>
    </xf>
    <xf numFmtId="0" fontId="43" fillId="5" borderId="0" xfId="0" applyFont="1" applyFill="1" applyAlignment="1">
      <alignment wrapText="1"/>
    </xf>
    <xf numFmtId="0" fontId="73" fillId="0" borderId="0" xfId="0" applyFont="1" applyAlignment="1">
      <alignment wrapText="1"/>
    </xf>
    <xf numFmtId="179" fontId="43" fillId="0" borderId="0" xfId="1090" applyNumberFormat="1" applyFont="1" applyAlignment="1">
      <alignment wrapText="1"/>
    </xf>
    <xf numFmtId="179" fontId="73" fillId="0" borderId="0" xfId="1090" applyNumberFormat="1" applyFont="1" applyAlignment="1">
      <alignment wrapText="1"/>
    </xf>
    <xf numFmtId="0" fontId="74" fillId="0" borderId="0" xfId="0" applyFont="1"/>
    <xf numFmtId="179" fontId="43" fillId="0" borderId="0" xfId="1090" applyNumberFormat="1" applyFont="1"/>
    <xf numFmtId="0" fontId="73" fillId="0" borderId="0" xfId="0" applyFont="1"/>
    <xf numFmtId="179" fontId="73" fillId="0" borderId="0" xfId="1090" applyNumberFormat="1" applyFont="1"/>
    <xf numFmtId="0" fontId="43" fillId="5" borderId="0" xfId="0" applyFont="1" applyFill="1"/>
    <xf numFmtId="0" fontId="73" fillId="17" borderId="0" xfId="0" applyFont="1" applyFill="1"/>
    <xf numFmtId="2" fontId="20" fillId="12" borderId="6" xfId="0" applyNumberFormat="1" applyFont="1" applyFill="1" applyBorder="1" applyAlignment="1">
      <alignment horizontal="center" vertical="center" wrapText="1"/>
    </xf>
    <xf numFmtId="3" fontId="20" fillId="5" borderId="9" xfId="131" applyNumberFormat="1" applyFont="1" applyFill="1" applyBorder="1" applyAlignment="1" applyProtection="1">
      <alignment horizontal="center" vertical="center" wrapText="1"/>
      <protection locked="0"/>
    </xf>
    <xf numFmtId="165" fontId="20" fillId="5" borderId="9" xfId="131" applyNumberFormat="1" applyFont="1" applyFill="1" applyBorder="1" applyAlignment="1" applyProtection="1">
      <alignment horizontal="center" vertical="center" wrapText="1"/>
      <protection locked="0"/>
    </xf>
    <xf numFmtId="0" fontId="8" fillId="5" borderId="0" xfId="0" applyFont="1" applyFill="1"/>
    <xf numFmtId="0" fontId="6" fillId="5" borderId="0" xfId="1089" applyFill="1" applyAlignment="1" applyProtection="1"/>
    <xf numFmtId="0" fontId="75" fillId="5" borderId="0" xfId="1089" applyFont="1" applyFill="1" applyAlignment="1" applyProtection="1"/>
    <xf numFmtId="11" fontId="43" fillId="5" borderId="0" xfId="0" applyNumberFormat="1" applyFont="1" applyFill="1"/>
    <xf numFmtId="178" fontId="8" fillId="5" borderId="80" xfId="1093" applyNumberFormat="1" applyFont="1" applyFill="1" applyBorder="1"/>
    <xf numFmtId="178" fontId="8" fillId="5" borderId="0" xfId="1093" applyNumberFormat="1" applyFont="1" applyFill="1"/>
    <xf numFmtId="0" fontId="21" fillId="5" borderId="81" xfId="0" applyFont="1" applyFill="1" applyBorder="1" applyAlignment="1" applyProtection="1">
      <alignment horizontal="center" vertical="center" wrapText="1"/>
      <protection locked="0"/>
    </xf>
    <xf numFmtId="0" fontId="18" fillId="11" borderId="0" xfId="0" applyFont="1" applyFill="1" applyAlignment="1">
      <alignment horizontal="center" vertical="center" wrapText="1"/>
    </xf>
    <xf numFmtId="0" fontId="18" fillId="11" borderId="8" xfId="0" applyFont="1" applyFill="1" applyBorder="1" applyAlignment="1">
      <alignment horizontal="center" vertical="center" wrapText="1"/>
    </xf>
    <xf numFmtId="3" fontId="14" fillId="0" borderId="0" xfId="0" applyNumberFormat="1" applyFont="1"/>
    <xf numFmtId="3" fontId="21" fillId="5" borderId="9" xfId="1090" applyNumberFormat="1" applyFont="1" applyFill="1" applyBorder="1" applyAlignment="1" applyProtection="1">
      <alignment horizontal="center" vertical="center" wrapText="1"/>
      <protection locked="0"/>
    </xf>
    <xf numFmtId="165" fontId="21" fillId="5" borderId="9" xfId="1090" applyNumberFormat="1" applyFont="1" applyFill="1" applyBorder="1" applyAlignment="1" applyProtection="1">
      <alignment horizontal="center" vertical="center" wrapText="1"/>
      <protection locked="0"/>
    </xf>
    <xf numFmtId="0" fontId="21" fillId="5" borderId="1" xfId="0" applyFont="1" applyFill="1" applyBorder="1" applyAlignment="1" applyProtection="1">
      <alignment horizontal="left" vertical="center" wrapText="1"/>
      <protection locked="0"/>
    </xf>
    <xf numFmtId="3" fontId="20" fillId="5" borderId="9" xfId="1091" applyNumberFormat="1" applyFont="1" applyFill="1" applyBorder="1" applyAlignment="1" applyProtection="1">
      <alignment horizontal="center" vertical="center" wrapText="1"/>
      <protection locked="0"/>
    </xf>
    <xf numFmtId="0" fontId="12" fillId="7" borderId="21" xfId="0" applyFont="1" applyFill="1" applyBorder="1" applyAlignment="1">
      <alignment horizontal="left" wrapText="1"/>
    </xf>
    <xf numFmtId="0" fontId="12" fillId="7" borderId="22" xfId="0" applyFont="1" applyFill="1" applyBorder="1" applyAlignment="1">
      <alignment horizontal="left" wrapText="1"/>
    </xf>
    <xf numFmtId="0" fontId="12" fillId="7" borderId="23" xfId="0" applyFont="1" applyFill="1" applyBorder="1" applyAlignment="1">
      <alignment horizontal="left" wrapText="1"/>
    </xf>
    <xf numFmtId="3" fontId="20" fillId="6" borderId="9" xfId="1091" applyNumberFormat="1" applyFont="1" applyFill="1" applyBorder="1" applyAlignment="1">
      <alignment horizontal="center" vertical="center" wrapText="1"/>
    </xf>
    <xf numFmtId="180" fontId="74" fillId="0" borderId="0" xfId="0" applyNumberFormat="1" applyFont="1" applyAlignment="1">
      <alignment wrapText="1"/>
    </xf>
    <xf numFmtId="181" fontId="74" fillId="0" borderId="0" xfId="0" applyNumberFormat="1" applyFont="1" applyAlignment="1">
      <alignment wrapText="1"/>
    </xf>
    <xf numFmtId="180" fontId="74" fillId="0" borderId="0" xfId="0" applyNumberFormat="1" applyFont="1"/>
    <xf numFmtId="181" fontId="74" fillId="0" borderId="0" xfId="0" applyNumberFormat="1" applyFont="1"/>
    <xf numFmtId="0" fontId="76" fillId="5" borderId="0" xfId="1094" applyFont="1" applyFill="1"/>
    <xf numFmtId="0" fontId="20" fillId="0" borderId="6" xfId="0" applyFont="1" applyBorder="1" applyAlignment="1" applyProtection="1">
      <alignment horizontal="center" vertical="center" wrapText="1"/>
      <protection locked="0"/>
    </xf>
    <xf numFmtId="0" fontId="17" fillId="0" borderId="82" xfId="0" applyFont="1" applyBorder="1" applyAlignment="1">
      <alignment horizontal="center" vertical="center" wrapText="1"/>
    </xf>
    <xf numFmtId="165" fontId="21" fillId="6" borderId="13" xfId="0" applyNumberFormat="1" applyFont="1" applyFill="1" applyBorder="1" applyAlignment="1" applyProtection="1">
      <alignment horizontal="center" vertical="center" wrapText="1"/>
      <protection hidden="1"/>
    </xf>
    <xf numFmtId="169" fontId="21" fillId="6" borderId="13" xfId="1030" applyNumberFormat="1" applyFont="1" applyFill="1" applyBorder="1" applyAlignment="1" applyProtection="1">
      <alignment horizontal="center" vertical="center" wrapText="1"/>
      <protection locked="0"/>
    </xf>
    <xf numFmtId="6" fontId="21" fillId="6" borderId="13" xfId="0" applyNumberFormat="1" applyFont="1" applyFill="1" applyBorder="1" applyAlignment="1" applyProtection="1">
      <alignment horizontal="center" vertical="center" wrapText="1"/>
      <protection locked="0"/>
    </xf>
    <xf numFmtId="3" fontId="20" fillId="6" borderId="9" xfId="131" applyNumberFormat="1" applyFont="1" applyFill="1" applyBorder="1" applyAlignment="1" applyProtection="1">
      <alignment horizontal="center" vertical="center" wrapText="1"/>
      <protection locked="0"/>
    </xf>
    <xf numFmtId="165" fontId="20" fillId="6" borderId="9" xfId="131" applyNumberFormat="1" applyFont="1" applyFill="1" applyBorder="1" applyAlignment="1" applyProtection="1">
      <alignment horizontal="center" vertical="center" wrapText="1"/>
      <protection locked="0"/>
    </xf>
    <xf numFmtId="165" fontId="21" fillId="6" borderId="13" xfId="0" applyNumberFormat="1" applyFont="1" applyFill="1" applyBorder="1" applyAlignment="1" applyProtection="1">
      <alignment horizontal="center" vertical="center" wrapText="1"/>
      <protection locked="0"/>
    </xf>
    <xf numFmtId="165" fontId="21" fillId="6" borderId="15" xfId="0" applyNumberFormat="1" applyFont="1" applyFill="1" applyBorder="1" applyAlignment="1" applyProtection="1">
      <alignment horizontal="center" vertical="center" wrapText="1"/>
      <protection hidden="1"/>
    </xf>
    <xf numFmtId="165" fontId="20" fillId="5" borderId="1" xfId="0" applyNumberFormat="1" applyFont="1" applyFill="1" applyBorder="1" applyAlignment="1" applyProtection="1">
      <alignment horizontal="center" vertical="center" wrapText="1"/>
      <protection locked="0"/>
    </xf>
    <xf numFmtId="0" fontId="63" fillId="0" borderId="61" xfId="1089" applyFont="1" applyBorder="1" applyAlignment="1">
      <alignment horizontal="left"/>
    </xf>
    <xf numFmtId="0" fontId="29" fillId="11" borderId="0" xfId="0" applyFont="1" applyFill="1" applyAlignment="1">
      <alignment horizontal="center" vertical="center"/>
    </xf>
    <xf numFmtId="0" fontId="6" fillId="0" borderId="62" xfId="1089" applyBorder="1"/>
    <xf numFmtId="0" fontId="6" fillId="0" borderId="26" xfId="1089" applyBorder="1"/>
    <xf numFmtId="0" fontId="57" fillId="0" borderId="62" xfId="0" applyFont="1" applyBorder="1"/>
    <xf numFmtId="0" fontId="0" fillId="0" borderId="62" xfId="0" applyBorder="1"/>
    <xf numFmtId="0" fontId="57" fillId="0" borderId="26" xfId="0" applyFont="1" applyBorder="1"/>
    <xf numFmtId="0" fontId="0" fillId="0" borderId="26" xfId="0" applyBorder="1"/>
    <xf numFmtId="0" fontId="12" fillId="5" borderId="0" xfId="0" applyFont="1" applyFill="1" applyAlignment="1" applyProtection="1">
      <alignment horizontal="left" wrapText="1"/>
      <protection locked="0"/>
    </xf>
    <xf numFmtId="0" fontId="0" fillId="0" borderId="0" xfId="0" applyAlignment="1">
      <alignment horizontal="left" wrapText="1"/>
    </xf>
    <xf numFmtId="0" fontId="34" fillId="0" borderId="0" xfId="0" applyFont="1" applyAlignment="1">
      <alignment horizontal="center" vertical="center" wrapText="1"/>
    </xf>
    <xf numFmtId="0" fontId="0" fillId="0" borderId="0" xfId="0" applyAlignment="1">
      <alignment horizontal="center" vertical="center" wrapText="1"/>
    </xf>
    <xf numFmtId="0" fontId="0" fillId="0" borderId="0" xfId="0"/>
    <xf numFmtId="0" fontId="20" fillId="0" borderId="46" xfId="0" applyFont="1" applyBorder="1" applyAlignment="1">
      <alignment horizontal="center" vertical="center" wrapText="1"/>
    </xf>
    <xf numFmtId="0" fontId="20" fillId="0" borderId="25" xfId="0" applyFont="1" applyBorder="1" applyAlignment="1">
      <alignment horizontal="center" vertical="center" wrapText="1"/>
    </xf>
    <xf numFmtId="0" fontId="20" fillId="0" borderId="35" xfId="0" applyFont="1" applyBorder="1" applyAlignment="1">
      <alignment horizontal="center" vertical="center" wrapText="1"/>
    </xf>
    <xf numFmtId="0" fontId="20" fillId="0" borderId="78" xfId="0" applyFont="1" applyBorder="1" applyAlignment="1">
      <alignment horizontal="center" vertical="center" wrapText="1"/>
    </xf>
    <xf numFmtId="0" fontId="22" fillId="9" borderId="0" xfId="0" applyFont="1" applyFill="1"/>
    <xf numFmtId="0" fontId="20" fillId="0" borderId="17" xfId="0" applyFont="1" applyBorder="1" applyAlignment="1">
      <alignment horizontal="center" vertical="center" wrapText="1"/>
    </xf>
    <xf numFmtId="0" fontId="20" fillId="0" borderId="18" xfId="0" applyFont="1" applyBorder="1" applyAlignment="1">
      <alignment horizontal="center" vertical="center" wrapText="1"/>
    </xf>
    <xf numFmtId="0" fontId="20" fillId="0" borderId="37" xfId="0" applyFont="1" applyBorder="1" applyAlignment="1">
      <alignment horizontal="center" vertical="center" wrapText="1"/>
    </xf>
    <xf numFmtId="0" fontId="20" fillId="0" borderId="15" xfId="0" applyFont="1" applyBorder="1" applyAlignment="1">
      <alignment horizontal="center" vertical="center" wrapText="1"/>
    </xf>
    <xf numFmtId="0" fontId="22" fillId="9" borderId="46" xfId="0" applyFont="1" applyFill="1" applyBorder="1"/>
    <xf numFmtId="0" fontId="0" fillId="0" borderId="46" xfId="0" applyBorder="1"/>
    <xf numFmtId="0" fontId="20" fillId="0" borderId="45" xfId="0" applyFont="1" applyBorder="1" applyAlignment="1">
      <alignment horizontal="center" vertical="center" wrapText="1"/>
    </xf>
    <xf numFmtId="0" fontId="20" fillId="0" borderId="0" xfId="0" applyFont="1" applyAlignment="1">
      <alignment horizontal="center" vertical="center" wrapText="1"/>
    </xf>
    <xf numFmtId="0" fontId="12" fillId="0" borderId="0" xfId="0" applyFont="1" applyAlignment="1">
      <alignment horizontal="left" wrapText="1"/>
    </xf>
    <xf numFmtId="0" fontId="12" fillId="0" borderId="8" xfId="0" applyFont="1" applyBorder="1" applyAlignment="1">
      <alignment horizontal="left"/>
    </xf>
    <xf numFmtId="0" fontId="0" fillId="0" borderId="8" xfId="0" applyBorder="1" applyAlignment="1">
      <alignment horizontal="left"/>
    </xf>
    <xf numFmtId="0" fontId="17" fillId="0" borderId="3" xfId="0" applyFont="1" applyBorder="1" applyAlignment="1">
      <alignment vertical="center"/>
    </xf>
    <xf numFmtId="0" fontId="0" fillId="0" borderId="3" xfId="0" applyBorder="1" applyAlignment="1">
      <alignment vertical="center"/>
    </xf>
    <xf numFmtId="0" fontId="12" fillId="0" borderId="0" xfId="0" applyFont="1" applyAlignment="1">
      <alignment horizontal="left"/>
    </xf>
    <xf numFmtId="0" fontId="0" fillId="0" borderId="0" xfId="0" applyAlignment="1">
      <alignment horizontal="left"/>
    </xf>
    <xf numFmtId="0" fontId="20" fillId="0" borderId="38" xfId="0" applyFont="1" applyBorder="1" applyAlignment="1">
      <alignment horizontal="center" vertical="center" wrapText="1"/>
    </xf>
    <xf numFmtId="0" fontId="20" fillId="0" borderId="3" xfId="0" applyFont="1" applyBorder="1" applyAlignment="1">
      <alignment horizontal="center" vertical="center" wrapText="1"/>
    </xf>
    <xf numFmtId="0" fontId="17" fillId="0" borderId="3" xfId="0" applyFont="1" applyBorder="1" applyAlignment="1">
      <alignment vertical="center" wrapText="1"/>
    </xf>
    <xf numFmtId="0" fontId="0" fillId="0" borderId="3" xfId="0" applyBorder="1" applyAlignment="1">
      <alignment vertical="center" wrapText="1"/>
    </xf>
    <xf numFmtId="0" fontId="12" fillId="0" borderId="0" xfId="0" applyFont="1" applyAlignment="1">
      <alignment vertical="center" wrapText="1"/>
    </xf>
    <xf numFmtId="0" fontId="0" fillId="0" borderId="0" xfId="0" applyAlignment="1">
      <alignment vertical="center" wrapText="1"/>
    </xf>
    <xf numFmtId="0" fontId="12" fillId="5" borderId="21" xfId="0" applyFont="1" applyFill="1" applyBorder="1" applyAlignment="1" applyProtection="1">
      <alignment horizontal="left" wrapText="1"/>
      <protection locked="0"/>
    </xf>
    <xf numFmtId="0" fontId="12" fillId="5" borderId="22" xfId="0" applyFont="1" applyFill="1" applyBorder="1" applyAlignment="1" applyProtection="1">
      <alignment horizontal="left" wrapText="1"/>
      <protection locked="0"/>
    </xf>
    <xf numFmtId="0" fontId="0" fillId="0" borderId="22" xfId="0" applyBorder="1" applyAlignment="1" applyProtection="1">
      <alignment wrapText="1"/>
      <protection locked="0"/>
    </xf>
    <xf numFmtId="0" fontId="0" fillId="0" borderId="23" xfId="0" applyBorder="1" applyAlignment="1" applyProtection="1">
      <alignment wrapText="1"/>
      <protection locked="0"/>
    </xf>
    <xf numFmtId="0" fontId="17" fillId="0" borderId="16" xfId="0" applyFont="1" applyBorder="1" applyAlignment="1">
      <alignment vertical="center" wrapText="1"/>
    </xf>
    <xf numFmtId="0" fontId="17" fillId="0" borderId="17" xfId="0" applyFont="1" applyBorder="1" applyAlignment="1">
      <alignment vertical="center" wrapText="1"/>
    </xf>
    <xf numFmtId="0" fontId="0" fillId="0" borderId="17" xfId="0" applyBorder="1"/>
    <xf numFmtId="0" fontId="0" fillId="0" borderId="18" xfId="0" applyBorder="1"/>
    <xf numFmtId="0" fontId="13" fillId="11" borderId="19" xfId="0" applyFont="1" applyFill="1" applyBorder="1" applyAlignment="1">
      <alignment horizontal="center" vertical="center" wrapText="1"/>
    </xf>
    <xf numFmtId="0" fontId="13" fillId="11" borderId="0" xfId="0" applyFont="1" applyFill="1" applyAlignment="1">
      <alignment horizontal="center" vertical="center" wrapText="1"/>
    </xf>
    <xf numFmtId="0" fontId="13" fillId="11" borderId="20" xfId="0" applyFont="1" applyFill="1" applyBorder="1" applyAlignment="1">
      <alignment horizontal="center" vertical="center" wrapText="1"/>
    </xf>
    <xf numFmtId="0" fontId="13" fillId="11" borderId="21" xfId="0" applyFont="1" applyFill="1" applyBorder="1" applyAlignment="1">
      <alignment horizontal="center" vertical="center" wrapText="1"/>
    </xf>
    <xf numFmtId="0" fontId="13" fillId="11" borderId="22" xfId="0" applyFont="1" applyFill="1" applyBorder="1" applyAlignment="1">
      <alignment horizontal="center" vertical="center" wrapText="1"/>
    </xf>
    <xf numFmtId="0" fontId="13" fillId="11" borderId="23" xfId="0" applyFont="1" applyFill="1" applyBorder="1" applyAlignment="1">
      <alignment horizontal="center" vertical="center" wrapText="1"/>
    </xf>
    <xf numFmtId="0" fontId="28" fillId="0" borderId="19" xfId="0" applyFont="1" applyBorder="1" applyAlignment="1">
      <alignment wrapText="1"/>
    </xf>
    <xf numFmtId="0" fontId="28" fillId="0" borderId="0" xfId="0" applyFont="1" applyAlignment="1">
      <alignment wrapText="1"/>
    </xf>
    <xf numFmtId="0" fontId="28" fillId="0" borderId="20" xfId="0" applyFont="1" applyBorder="1" applyAlignment="1">
      <alignment wrapText="1"/>
    </xf>
    <xf numFmtId="0" fontId="16" fillId="0" borderId="16" xfId="0" applyFont="1" applyBorder="1" applyAlignment="1">
      <alignment horizontal="left" vertical="center" wrapText="1"/>
    </xf>
    <xf numFmtId="0" fontId="16" fillId="0" borderId="17" xfId="0" applyFont="1" applyBorder="1" applyAlignment="1">
      <alignment horizontal="left" vertical="center" wrapText="1"/>
    </xf>
    <xf numFmtId="0" fontId="16" fillId="0" borderId="18" xfId="0" applyFont="1" applyBorder="1" applyAlignment="1">
      <alignment horizontal="left" vertical="center" wrapText="1"/>
    </xf>
    <xf numFmtId="0" fontId="28" fillId="0" borderId="21" xfId="0" applyFont="1" applyBorder="1" applyAlignment="1">
      <alignment horizontal="left"/>
    </xf>
    <xf numFmtId="0" fontId="28" fillId="0" borderId="22" xfId="0" applyFont="1" applyBorder="1" applyAlignment="1">
      <alignment horizontal="left"/>
    </xf>
    <xf numFmtId="0" fontId="28" fillId="0" borderId="23" xfId="0" applyFont="1" applyBorder="1" applyAlignment="1">
      <alignment horizontal="left"/>
    </xf>
    <xf numFmtId="0" fontId="12" fillId="0" borderId="19" xfId="0" applyFont="1" applyBorder="1" applyAlignment="1">
      <alignment horizontal="left"/>
    </xf>
    <xf numFmtId="0" fontId="16" fillId="0" borderId="57" xfId="0" applyFont="1" applyBorder="1" applyAlignment="1">
      <alignment vertical="center" wrapText="1"/>
    </xf>
    <xf numFmtId="0" fontId="16" fillId="0" borderId="17" xfId="0" applyFont="1" applyBorder="1" applyAlignment="1">
      <alignment vertical="center" wrapText="1"/>
    </xf>
    <xf numFmtId="0" fontId="12" fillId="0" borderId="19" xfId="0" applyFont="1" applyBorder="1" applyAlignment="1">
      <alignment wrapText="1"/>
    </xf>
    <xf numFmtId="0" fontId="0" fillId="0" borderId="0" xfId="0" applyAlignment="1">
      <alignment wrapText="1"/>
    </xf>
    <xf numFmtId="0" fontId="43" fillId="0" borderId="0" xfId="0" applyFont="1"/>
    <xf numFmtId="0" fontId="0" fillId="0" borderId="22" xfId="0" applyBorder="1"/>
    <xf numFmtId="0" fontId="23" fillId="0" borderId="27" xfId="0" applyFont="1" applyBorder="1" applyAlignment="1">
      <alignment horizontal="center" vertical="center" wrapText="1"/>
    </xf>
    <xf numFmtId="0" fontId="23" fillId="0" borderId="38" xfId="0" applyFont="1" applyBorder="1" applyAlignment="1">
      <alignment horizontal="center" vertical="center" wrapText="1"/>
    </xf>
    <xf numFmtId="0" fontId="23" fillId="0" borderId="3"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0" xfId="0" applyFont="1" applyAlignment="1">
      <alignment horizontal="center" vertical="center" wrapText="1"/>
    </xf>
    <xf numFmtId="0" fontId="23" fillId="0" borderId="45" xfId="0" applyFont="1" applyBorder="1" applyAlignment="1">
      <alignment horizontal="center" vertical="center" wrapText="1"/>
    </xf>
    <xf numFmtId="0" fontId="23" fillId="0" borderId="8" xfId="0" applyFont="1" applyBorder="1" applyAlignment="1">
      <alignment horizontal="center" vertical="center" wrapText="1"/>
    </xf>
    <xf numFmtId="0" fontId="23" fillId="0" borderId="2" xfId="0" applyFont="1" applyBorder="1" applyAlignment="1">
      <alignment horizontal="center" vertical="center" wrapText="1"/>
    </xf>
    <xf numFmtId="0" fontId="23" fillId="0" borderId="7" xfId="0" applyFont="1" applyBorder="1" applyAlignment="1">
      <alignment horizontal="center" vertical="center" wrapText="1"/>
    </xf>
    <xf numFmtId="0" fontId="23" fillId="0" borderId="39" xfId="0" applyFont="1" applyBorder="1" applyAlignment="1">
      <alignment horizontal="center" vertical="center" wrapText="1"/>
    </xf>
    <xf numFmtId="0" fontId="23" fillId="0" borderId="41" xfId="0" applyFont="1" applyBorder="1" applyAlignment="1">
      <alignment horizontal="center" vertical="center" wrapText="1"/>
    </xf>
    <xf numFmtId="0" fontId="23" fillId="0" borderId="25" xfId="0" applyFont="1" applyBorder="1" applyAlignment="1">
      <alignment horizontal="center" vertical="center" wrapText="1"/>
    </xf>
    <xf numFmtId="0" fontId="23" fillId="0" borderId="60" xfId="0" applyFont="1" applyBorder="1" applyAlignment="1">
      <alignment horizontal="center" vertical="center" wrapText="1"/>
    </xf>
    <xf numFmtId="0" fontId="12" fillId="5" borderId="0" xfId="0" applyFont="1" applyFill="1" applyAlignment="1" applyProtection="1">
      <alignment wrapText="1"/>
      <protection locked="0"/>
    </xf>
    <xf numFmtId="0" fontId="12" fillId="0" borderId="0" xfId="0" applyFont="1" applyAlignment="1">
      <alignment wrapText="1"/>
    </xf>
    <xf numFmtId="0" fontId="12" fillId="0" borderId="0" xfId="0" applyFont="1"/>
    <xf numFmtId="0" fontId="16" fillId="0" borderId="0" xfId="0" applyFont="1" applyAlignment="1">
      <alignment vertical="center" wrapText="1"/>
    </xf>
    <xf numFmtId="0" fontId="0" fillId="0" borderId="20" xfId="0" applyBorder="1"/>
    <xf numFmtId="0" fontId="0" fillId="0" borderId="58" xfId="0" applyBorder="1"/>
    <xf numFmtId="0" fontId="12" fillId="5" borderId="23" xfId="0" applyFont="1" applyFill="1" applyBorder="1" applyAlignment="1" applyProtection="1">
      <alignment horizontal="left" wrapText="1"/>
      <protection locked="0"/>
    </xf>
    <xf numFmtId="0" fontId="0" fillId="0" borderId="20" xfId="0" applyBorder="1" applyAlignment="1">
      <alignment wrapText="1"/>
    </xf>
    <xf numFmtId="0" fontId="43" fillId="0" borderId="20" xfId="0" applyFont="1" applyBorder="1"/>
    <xf numFmtId="0" fontId="14" fillId="9" borderId="16" xfId="0" applyFont="1" applyFill="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23" xfId="0" applyBorder="1" applyAlignment="1">
      <alignment horizontal="center" vertical="center"/>
    </xf>
    <xf numFmtId="0" fontId="16" fillId="0" borderId="66" xfId="0" applyFont="1" applyBorder="1" applyAlignment="1">
      <alignment vertical="center" wrapText="1"/>
    </xf>
    <xf numFmtId="0" fontId="16" fillId="0" borderId="26" xfId="0" applyFont="1" applyBorder="1" applyAlignment="1">
      <alignment vertical="center" wrapText="1"/>
    </xf>
    <xf numFmtId="0" fontId="16" fillId="0" borderId="67" xfId="0" applyFont="1" applyBorder="1" applyAlignment="1">
      <alignment vertical="center" wrapText="1"/>
    </xf>
    <xf numFmtId="0" fontId="12" fillId="5" borderId="68" xfId="0" applyFont="1" applyFill="1" applyBorder="1" applyAlignment="1" applyProtection="1">
      <alignment horizontal="left" wrapText="1"/>
      <protection locked="0"/>
    </xf>
    <xf numFmtId="0" fontId="12" fillId="5" borderId="69" xfId="0" applyFont="1" applyFill="1" applyBorder="1" applyAlignment="1" applyProtection="1">
      <alignment horizontal="left" wrapText="1"/>
      <protection locked="0"/>
    </xf>
    <xf numFmtId="0" fontId="12" fillId="5" borderId="70" xfId="0" applyFont="1" applyFill="1" applyBorder="1" applyAlignment="1" applyProtection="1">
      <alignment horizontal="left" wrapText="1"/>
      <protection locked="0"/>
    </xf>
    <xf numFmtId="0" fontId="12" fillId="0" borderId="71" xfId="0" applyFont="1" applyBorder="1" applyAlignment="1">
      <alignment horizontal="left" vertical="center" wrapText="1"/>
    </xf>
    <xf numFmtId="0" fontId="12" fillId="0" borderId="72" xfId="0" applyFont="1" applyBorder="1" applyAlignment="1">
      <alignment horizontal="left" vertical="center" wrapText="1"/>
    </xf>
    <xf numFmtId="0" fontId="12" fillId="0" borderId="73" xfId="0" applyFont="1" applyBorder="1" applyAlignment="1">
      <alignment horizontal="left" vertical="center" wrapText="1"/>
    </xf>
    <xf numFmtId="0" fontId="12" fillId="0" borderId="66" xfId="0" applyFont="1" applyBorder="1" applyAlignment="1">
      <alignment wrapText="1"/>
    </xf>
    <xf numFmtId="0" fontId="43" fillId="0" borderId="26" xfId="0" applyFont="1" applyBorder="1" applyAlignment="1">
      <alignment wrapText="1"/>
    </xf>
    <xf numFmtId="0" fontId="43" fillId="0" borderId="67" xfId="0" applyFont="1" applyBorder="1" applyAlignment="1">
      <alignment wrapText="1"/>
    </xf>
    <xf numFmtId="0" fontId="12" fillId="0" borderId="66" xfId="0" applyFont="1" applyBorder="1" applyAlignment="1">
      <alignment horizontal="left" wrapText="1"/>
    </xf>
    <xf numFmtId="0" fontId="12" fillId="0" borderId="66" xfId="0" applyFont="1" applyBorder="1" applyAlignment="1">
      <alignment horizontal="left"/>
    </xf>
    <xf numFmtId="0" fontId="43" fillId="0" borderId="26" xfId="0" applyFont="1" applyBorder="1"/>
    <xf numFmtId="0" fontId="43" fillId="0" borderId="67" xfId="0" applyFont="1" applyBorder="1"/>
    <xf numFmtId="0" fontId="13" fillId="11" borderId="16" xfId="0" applyFont="1" applyFill="1" applyBorder="1" applyAlignment="1">
      <alignment horizontal="center" vertical="center" wrapText="1"/>
    </xf>
    <xf numFmtId="0" fontId="13" fillId="11" borderId="17" xfId="0" applyFont="1" applyFill="1" applyBorder="1" applyAlignment="1">
      <alignment horizontal="center" vertical="center" wrapText="1"/>
    </xf>
    <xf numFmtId="0" fontId="13" fillId="11" borderId="18" xfId="0" applyFont="1" applyFill="1" applyBorder="1" applyAlignment="1">
      <alignment horizontal="center" vertical="center" wrapText="1"/>
    </xf>
    <xf numFmtId="0" fontId="23" fillId="0" borderId="63" xfId="0" applyFont="1" applyBorder="1" applyAlignment="1">
      <alignment horizontal="center" vertical="center" wrapText="1"/>
    </xf>
    <xf numFmtId="0" fontId="23" fillId="0" borderId="66" xfId="0" applyFont="1" applyBorder="1" applyAlignment="1">
      <alignment horizontal="center" vertical="center" wrapText="1"/>
    </xf>
    <xf numFmtId="0" fontId="12" fillId="0" borderId="66" xfId="0" applyFont="1" applyBorder="1" applyAlignment="1">
      <alignment horizontal="left" vertical="center" wrapText="1"/>
    </xf>
    <xf numFmtId="0" fontId="43" fillId="0" borderId="26" xfId="0" applyFont="1" applyBorder="1" applyAlignment="1">
      <alignment vertical="center" wrapText="1"/>
    </xf>
    <xf numFmtId="0" fontId="43" fillId="0" borderId="67" xfId="0" applyFont="1" applyBorder="1" applyAlignment="1">
      <alignment vertical="center" wrapText="1"/>
    </xf>
    <xf numFmtId="0" fontId="0" fillId="0" borderId="74" xfId="0" applyBorder="1" applyAlignment="1">
      <alignment horizontal="center" vertical="center"/>
    </xf>
    <xf numFmtId="0" fontId="0" fillId="0" borderId="61" xfId="0" applyBorder="1" applyAlignment="1">
      <alignment horizontal="center"/>
    </xf>
    <xf numFmtId="0" fontId="0" fillId="0" borderId="75" xfId="0" applyBorder="1" applyAlignment="1">
      <alignment horizontal="center"/>
    </xf>
    <xf numFmtId="0" fontId="0" fillId="0" borderId="76" xfId="0" applyBorder="1" applyAlignment="1">
      <alignment horizontal="center"/>
    </xf>
    <xf numFmtId="0" fontId="0" fillId="0" borderId="22" xfId="0" applyBorder="1" applyAlignment="1">
      <alignment horizontal="center"/>
    </xf>
    <xf numFmtId="0" fontId="0" fillId="0" borderId="23" xfId="0" applyBorder="1" applyAlignment="1">
      <alignment horizontal="center"/>
    </xf>
    <xf numFmtId="0" fontId="18" fillId="11" borderId="0" xfId="0" applyFont="1" applyFill="1" applyAlignment="1">
      <alignment horizontal="center" vertical="center" wrapText="1"/>
    </xf>
    <xf numFmtId="0" fontId="21" fillId="9" borderId="24" xfId="0" applyFont="1" applyFill="1" applyBorder="1" applyAlignment="1">
      <alignment horizontal="center" vertical="center" wrapText="1"/>
    </xf>
    <xf numFmtId="0" fontId="21" fillId="9" borderId="46" xfId="0" applyFont="1" applyFill="1" applyBorder="1" applyAlignment="1">
      <alignment horizontal="center" vertical="center" wrapText="1"/>
    </xf>
    <xf numFmtId="0" fontId="21" fillId="9" borderId="25" xfId="0" applyFont="1" applyFill="1" applyBorder="1" applyAlignment="1">
      <alignment horizontal="center" vertical="center" wrapText="1"/>
    </xf>
    <xf numFmtId="0" fontId="23" fillId="0" borderId="14" xfId="0" applyFont="1" applyBorder="1" applyAlignment="1">
      <alignment horizontal="center" vertical="center" wrapText="1"/>
    </xf>
    <xf numFmtId="0" fontId="23" fillId="0" borderId="10" xfId="0" applyFont="1" applyBorder="1" applyAlignment="1">
      <alignment horizontal="center" vertical="center" wrapText="1"/>
    </xf>
    <xf numFmtId="0" fontId="23" fillId="0" borderId="53" xfId="0" applyFont="1" applyBorder="1" applyAlignment="1">
      <alignment horizontal="center" vertical="center" wrapText="1"/>
    </xf>
    <xf numFmtId="0" fontId="23" fillId="0" borderId="54" xfId="0" applyFont="1" applyBorder="1" applyAlignment="1">
      <alignment horizontal="center" vertical="center" wrapText="1"/>
    </xf>
    <xf numFmtId="0" fontId="23" fillId="0" borderId="11" xfId="0" applyFont="1" applyBorder="1" applyAlignment="1">
      <alignment horizontal="center" vertical="center" wrapText="1"/>
    </xf>
    <xf numFmtId="0" fontId="23" fillId="0" borderId="5" xfId="0" applyFont="1" applyBorder="1" applyAlignment="1">
      <alignment horizontal="center" vertical="center" wrapText="1"/>
    </xf>
    <xf numFmtId="0" fontId="23" fillId="0" borderId="40" xfId="0" applyFont="1" applyBorder="1" applyAlignment="1">
      <alignment horizontal="center" vertical="center" wrapText="1"/>
    </xf>
    <xf numFmtId="0" fontId="23" fillId="0" borderId="42"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54" xfId="0" applyFont="1" applyBorder="1" applyAlignment="1">
      <alignment horizontal="center" vertical="center" wrapText="1"/>
    </xf>
    <xf numFmtId="0" fontId="20" fillId="0" borderId="53" xfId="0" applyFont="1" applyBorder="1" applyAlignment="1">
      <alignment horizontal="center" vertical="center" wrapText="1"/>
    </xf>
    <xf numFmtId="0" fontId="12" fillId="0" borderId="20" xfId="0" applyFont="1" applyBorder="1" applyAlignment="1">
      <alignment horizontal="left"/>
    </xf>
    <xf numFmtId="0" fontId="20" fillId="0" borderId="12" xfId="0" applyFont="1" applyBorder="1" applyAlignment="1">
      <alignment horizontal="center" vertical="center" wrapText="1"/>
    </xf>
    <xf numFmtId="0" fontId="20" fillId="0" borderId="13" xfId="0" applyFont="1" applyBorder="1" applyAlignment="1">
      <alignment horizontal="center" vertical="center" wrapText="1"/>
    </xf>
    <xf numFmtId="0" fontId="12" fillId="0" borderId="19" xfId="0" applyFont="1" applyBorder="1" applyAlignment="1">
      <alignment horizontal="left" wrapText="1"/>
    </xf>
    <xf numFmtId="0" fontId="12" fillId="0" borderId="20" xfId="0" applyFont="1" applyBorder="1" applyAlignment="1">
      <alignment horizontal="left" wrapText="1"/>
    </xf>
    <xf numFmtId="0" fontId="20" fillId="14" borderId="7" xfId="0" applyFont="1" applyFill="1" applyBorder="1" applyAlignment="1">
      <alignment horizontal="center" vertical="center" wrapText="1"/>
    </xf>
    <xf numFmtId="0" fontId="42" fillId="0" borderId="8" xfId="0" applyFont="1" applyBorder="1" applyAlignment="1">
      <alignment horizontal="center" vertical="center" wrapText="1"/>
    </xf>
    <xf numFmtId="0" fontId="42" fillId="0" borderId="44" xfId="0" applyFont="1" applyBorder="1" applyAlignment="1">
      <alignment horizontal="center" vertical="center" wrapText="1"/>
    </xf>
    <xf numFmtId="0" fontId="47" fillId="0" borderId="19" xfId="0" applyFont="1" applyBorder="1" applyAlignment="1">
      <alignment horizontal="left"/>
    </xf>
    <xf numFmtId="0" fontId="47" fillId="0" borderId="0" xfId="0" applyFont="1" applyAlignment="1">
      <alignment horizontal="left"/>
    </xf>
    <xf numFmtId="0" fontId="12" fillId="0" borderId="21" xfId="0" applyFont="1" applyBorder="1" applyAlignment="1">
      <alignment horizontal="left"/>
    </xf>
    <xf numFmtId="0" fontId="12" fillId="0" borderId="22" xfId="0" applyFont="1" applyBorder="1" applyAlignment="1">
      <alignment horizontal="left"/>
    </xf>
    <xf numFmtId="0" fontId="23" fillId="0" borderId="16" xfId="0" applyFont="1" applyBorder="1" applyAlignment="1">
      <alignment horizontal="left"/>
    </xf>
    <xf numFmtId="0" fontId="23" fillId="0" borderId="17" xfId="0" applyFont="1" applyBorder="1" applyAlignment="1">
      <alignment horizontal="left"/>
    </xf>
    <xf numFmtId="0" fontId="0" fillId="5" borderId="21" xfId="0" applyFill="1" applyBorder="1" applyAlignment="1" applyProtection="1">
      <alignment horizontal="left"/>
      <protection locked="0"/>
    </xf>
    <xf numFmtId="0" fontId="0" fillId="5" borderId="22" xfId="0" applyFill="1" applyBorder="1" applyAlignment="1" applyProtection="1">
      <alignment horizontal="left"/>
      <protection locked="0"/>
    </xf>
    <xf numFmtId="0" fontId="29" fillId="11" borderId="22" xfId="0" applyFont="1" applyFill="1" applyBorder="1" applyAlignment="1">
      <alignment horizontal="center" vertical="center"/>
    </xf>
    <xf numFmtId="2" fontId="23" fillId="0" borderId="16" xfId="0" applyNumberFormat="1" applyFont="1" applyBorder="1" applyAlignment="1">
      <alignment horizontal="left"/>
    </xf>
    <xf numFmtId="2" fontId="23" fillId="0" borderId="17" xfId="0" applyNumberFormat="1" applyFont="1" applyBorder="1" applyAlignment="1">
      <alignment horizontal="left"/>
    </xf>
    <xf numFmtId="0" fontId="12" fillId="0" borderId="19" xfId="0" applyFont="1" applyBorder="1" applyAlignment="1">
      <alignment horizontal="left" vertical="center" wrapText="1"/>
    </xf>
    <xf numFmtId="0" fontId="12" fillId="0" borderId="0" xfId="0" applyFont="1" applyAlignment="1">
      <alignment horizontal="left" vertical="center" wrapText="1"/>
    </xf>
    <xf numFmtId="0" fontId="24" fillId="9" borderId="16" xfId="0" applyFont="1" applyFill="1" applyBorder="1" applyAlignment="1">
      <alignment vertical="top"/>
    </xf>
    <xf numFmtId="0" fontId="0" fillId="0" borderId="52" xfId="0" applyBorder="1" applyAlignment="1">
      <alignment vertical="top"/>
    </xf>
    <xf numFmtId="0" fontId="0" fillId="0" borderId="29" xfId="0" applyBorder="1" applyAlignment="1">
      <alignment vertical="top"/>
    </xf>
    <xf numFmtId="0" fontId="19" fillId="0" borderId="24" xfId="0" applyFont="1" applyBorder="1" applyAlignment="1">
      <alignment horizontal="center" vertical="center" wrapText="1"/>
    </xf>
    <xf numFmtId="0" fontId="19" fillId="0" borderId="25" xfId="0" applyFont="1" applyBorder="1" applyAlignment="1">
      <alignment horizontal="center" vertical="center" wrapText="1"/>
    </xf>
    <xf numFmtId="0" fontId="21" fillId="5" borderId="0" xfId="0" applyFont="1" applyFill="1" applyAlignment="1" applyProtection="1">
      <alignment horizontal="left"/>
      <protection locked="0"/>
    </xf>
    <xf numFmtId="0" fontId="29" fillId="11" borderId="0" xfId="0" applyFont="1" applyFill="1" applyAlignment="1">
      <alignment horizontal="center" vertical="center" wrapText="1"/>
    </xf>
    <xf numFmtId="0" fontId="29" fillId="11" borderId="22" xfId="0" applyFont="1" applyFill="1" applyBorder="1" applyAlignment="1">
      <alignment horizontal="center" vertical="center" wrapText="1"/>
    </xf>
    <xf numFmtId="0" fontId="17" fillId="0" borderId="4"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0" xfId="0" applyFont="1" applyAlignment="1">
      <alignment horizontal="center" vertical="center" wrapText="1"/>
    </xf>
    <xf numFmtId="0" fontId="22" fillId="8" borderId="24" xfId="0" applyFont="1" applyFill="1" applyBorder="1" applyAlignment="1">
      <alignment horizontal="center" vertical="center"/>
    </xf>
    <xf numFmtId="0" fontId="0" fillId="0" borderId="46" xfId="0" applyBorder="1" applyAlignment="1">
      <alignment vertical="center"/>
    </xf>
    <xf numFmtId="0" fontId="17" fillId="0" borderId="9" xfId="0" applyFont="1" applyBorder="1" applyAlignment="1">
      <alignment horizontal="center" vertical="center" wrapText="1"/>
    </xf>
    <xf numFmtId="0" fontId="17" fillId="0" borderId="17" xfId="0" applyFont="1" applyBorder="1" applyAlignment="1">
      <alignment horizontal="left" vertical="center" wrapText="1"/>
    </xf>
    <xf numFmtId="0" fontId="12" fillId="0" borderId="0" xfId="0" applyFont="1" applyAlignment="1">
      <alignment horizontal="left" vertical="center"/>
    </xf>
    <xf numFmtId="0" fontId="12" fillId="0" borderId="22" xfId="0" applyFont="1" applyBorder="1" applyAlignment="1">
      <alignment horizontal="left" vertical="center"/>
    </xf>
    <xf numFmtId="0" fontId="20" fillId="0" borderId="17" xfId="0" applyFont="1" applyBorder="1" applyAlignment="1">
      <alignment horizontal="left" vertical="center" wrapText="1"/>
    </xf>
    <xf numFmtId="0" fontId="27" fillId="0" borderId="5" xfId="0" applyFont="1" applyBorder="1" applyAlignment="1">
      <alignment horizontal="left" vertical="center" wrapText="1"/>
    </xf>
    <xf numFmtId="0" fontId="27" fillId="0" borderId="0" xfId="0" applyFont="1" applyAlignment="1">
      <alignment horizontal="left" vertical="center" wrapText="1"/>
    </xf>
    <xf numFmtId="0" fontId="27" fillId="0" borderId="6" xfId="0" applyFont="1" applyBorder="1" applyAlignment="1">
      <alignment horizontal="left" vertical="center" wrapText="1"/>
    </xf>
    <xf numFmtId="0" fontId="26" fillId="0" borderId="2" xfId="0" applyFont="1" applyBorder="1" applyAlignment="1">
      <alignment horizontal="left" vertical="center" wrapText="1"/>
    </xf>
    <xf numFmtId="0" fontId="26" fillId="0" borderId="3" xfId="0" applyFont="1" applyBorder="1" applyAlignment="1">
      <alignment horizontal="left" vertical="center" wrapText="1"/>
    </xf>
    <xf numFmtId="0" fontId="26" fillId="0" borderId="4" xfId="0" applyFont="1" applyBorder="1" applyAlignment="1">
      <alignment horizontal="left" vertical="center" wrapText="1"/>
    </xf>
    <xf numFmtId="0" fontId="18" fillId="11" borderId="8" xfId="0" applyFont="1" applyFill="1" applyBorder="1" applyAlignment="1">
      <alignment horizontal="center" vertical="center" wrapText="1"/>
    </xf>
    <xf numFmtId="0" fontId="20" fillId="0" borderId="14"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2" xfId="0" applyFont="1" applyBorder="1" applyAlignment="1">
      <alignment horizontal="center" vertical="center" wrapText="1"/>
    </xf>
    <xf numFmtId="0" fontId="28" fillId="5" borderId="7" xfId="0" applyFont="1" applyFill="1" applyBorder="1" applyAlignment="1" applyProtection="1">
      <alignment horizontal="left" wrapText="1"/>
      <protection locked="0"/>
    </xf>
    <xf numFmtId="0" fontId="28" fillId="5" borderId="8" xfId="0" applyFont="1" applyFill="1" applyBorder="1" applyAlignment="1" applyProtection="1">
      <alignment horizontal="left" wrapText="1"/>
      <protection locked="0"/>
    </xf>
    <xf numFmtId="0" fontId="28" fillId="5" borderId="9" xfId="0" applyFont="1" applyFill="1" applyBorder="1" applyAlignment="1" applyProtection="1">
      <alignment horizontal="left" wrapText="1"/>
      <protection locked="0"/>
    </xf>
    <xf numFmtId="0" fontId="28" fillId="0" borderId="5" xfId="0" applyFont="1" applyBorder="1" applyAlignment="1">
      <alignment horizontal="left" vertical="center" wrapText="1"/>
    </xf>
    <xf numFmtId="0" fontId="28" fillId="0" borderId="0" xfId="0" applyFont="1" applyAlignment="1">
      <alignment horizontal="left" vertical="center" wrapText="1"/>
    </xf>
    <xf numFmtId="0" fontId="28" fillId="0" borderId="6" xfId="0" applyFont="1" applyBorder="1" applyAlignment="1">
      <alignment horizontal="left" vertical="center" wrapText="1"/>
    </xf>
    <xf numFmtId="0" fontId="23" fillId="0" borderId="12" xfId="0" applyFont="1" applyBorder="1" applyAlignment="1">
      <alignment horizontal="center" vertical="center" wrapText="1"/>
    </xf>
    <xf numFmtId="0" fontId="23" fillId="0" borderId="15" xfId="0" applyFont="1" applyBorder="1" applyAlignment="1">
      <alignment horizontal="center" vertical="center" wrapText="1"/>
    </xf>
    <xf numFmtId="0" fontId="23" fillId="0" borderId="13" xfId="0" applyFont="1" applyBorder="1" applyAlignment="1">
      <alignment horizontal="center" vertical="center" wrapText="1"/>
    </xf>
    <xf numFmtId="0" fontId="28" fillId="0" borderId="7" xfId="0" applyFont="1" applyBorder="1" applyAlignment="1">
      <alignment horizontal="left" vertical="center" wrapText="1"/>
    </xf>
    <xf numFmtId="0" fontId="28" fillId="0" borderId="8" xfId="0" applyFont="1" applyBorder="1" applyAlignment="1">
      <alignment horizontal="left" vertical="center" wrapText="1"/>
    </xf>
    <xf numFmtId="0" fontId="28" fillId="0" borderId="9" xfId="0" applyFont="1" applyBorder="1" applyAlignment="1">
      <alignment horizontal="left" vertical="center" wrapText="1"/>
    </xf>
    <xf numFmtId="0" fontId="26" fillId="0" borderId="19" xfId="0" applyFont="1" applyBorder="1" applyAlignment="1">
      <alignment horizontal="left" vertical="center" wrapText="1"/>
    </xf>
    <xf numFmtId="0" fontId="26" fillId="0" borderId="0" xfId="0" applyFont="1" applyAlignment="1">
      <alignment horizontal="left" vertical="center" wrapText="1"/>
    </xf>
    <xf numFmtId="0" fontId="27" fillId="5" borderId="19" xfId="0" applyFont="1" applyFill="1" applyBorder="1" applyAlignment="1" applyProtection="1">
      <alignment horizontal="left" wrapText="1"/>
      <protection locked="0"/>
    </xf>
    <xf numFmtId="0" fontId="27" fillId="5" borderId="0" xfId="0" applyFont="1" applyFill="1" applyAlignment="1" applyProtection="1">
      <alignment horizontal="left" wrapText="1"/>
      <protection locked="0"/>
    </xf>
    <xf numFmtId="0" fontId="0" fillId="5" borderId="20" xfId="0" applyFill="1" applyBorder="1" applyProtection="1">
      <protection locked="0"/>
    </xf>
    <xf numFmtId="0" fontId="26" fillId="0" borderId="16" xfId="0" applyFont="1" applyBorder="1" applyAlignment="1">
      <alignment horizontal="left" vertical="center" wrapText="1"/>
    </xf>
    <xf numFmtId="0" fontId="26" fillId="0" borderId="17" xfId="0" applyFont="1" applyBorder="1" applyAlignment="1">
      <alignment horizontal="left" vertical="center" wrapText="1"/>
    </xf>
    <xf numFmtId="0" fontId="27" fillId="0" borderId="19" xfId="0" applyFont="1" applyBorder="1" applyAlignment="1">
      <alignment horizontal="left" vertical="center" wrapText="1"/>
    </xf>
    <xf numFmtId="0" fontId="28" fillId="0" borderId="19" xfId="0" applyFont="1" applyBorder="1" applyAlignment="1">
      <alignment horizontal="left" vertical="center" wrapText="1"/>
    </xf>
    <xf numFmtId="0" fontId="0" fillId="0" borderId="10" xfId="0" applyBorder="1" applyAlignment="1">
      <alignment horizontal="center" vertical="center" wrapText="1"/>
    </xf>
    <xf numFmtId="0" fontId="22" fillId="0" borderId="24" xfId="0" applyFont="1" applyBorder="1" applyAlignment="1">
      <alignment horizontal="center" vertical="center"/>
    </xf>
    <xf numFmtId="0" fontId="22" fillId="0" borderId="25" xfId="0" applyFont="1" applyBorder="1" applyAlignment="1">
      <alignment horizontal="center" vertical="center"/>
    </xf>
    <xf numFmtId="0" fontId="12" fillId="0" borderId="20" xfId="0" applyFont="1" applyBorder="1" applyAlignment="1">
      <alignment horizontal="left" vertical="center" wrapText="1"/>
    </xf>
    <xf numFmtId="0" fontId="16" fillId="2" borderId="24" xfId="0" applyFont="1" applyFill="1" applyBorder="1" applyAlignment="1">
      <alignment horizontal="center" vertical="center" wrapText="1"/>
    </xf>
    <xf numFmtId="0" fontId="16" fillId="2" borderId="25" xfId="0" applyFont="1" applyFill="1" applyBorder="1" applyAlignment="1">
      <alignment horizontal="center" vertical="center" wrapText="1"/>
    </xf>
    <xf numFmtId="0" fontId="12" fillId="0" borderId="24" xfId="0" applyFont="1" applyBorder="1" applyAlignment="1">
      <alignment horizontal="center" vertical="center"/>
    </xf>
    <xf numFmtId="0" fontId="12" fillId="0" borderId="25" xfId="0" applyFont="1" applyBorder="1" applyAlignment="1">
      <alignment horizontal="center" vertical="center"/>
    </xf>
    <xf numFmtId="0" fontId="13" fillId="11" borderId="0" xfId="0" applyFont="1" applyFill="1" applyAlignment="1">
      <alignment horizontal="center" vertical="center"/>
    </xf>
    <xf numFmtId="0" fontId="15" fillId="9" borderId="24" xfId="0" applyFont="1" applyFill="1" applyBorder="1" applyAlignment="1">
      <alignment horizontal="center" vertical="center"/>
    </xf>
    <xf numFmtId="0" fontId="15" fillId="9" borderId="46" xfId="0" applyFont="1" applyFill="1" applyBorder="1" applyAlignment="1">
      <alignment horizontal="center" vertical="center"/>
    </xf>
    <xf numFmtId="0" fontId="15" fillId="9" borderId="25" xfId="0" applyFont="1" applyFill="1" applyBorder="1" applyAlignment="1">
      <alignment horizontal="center" vertical="center"/>
    </xf>
    <xf numFmtId="0" fontId="17" fillId="0" borderId="16" xfId="0" applyFont="1" applyBorder="1" applyAlignment="1">
      <alignment horizontal="left" vertical="center"/>
    </xf>
    <xf numFmtId="0" fontId="17" fillId="0" borderId="17" xfId="0" applyFont="1" applyBorder="1" applyAlignment="1">
      <alignment horizontal="left" vertical="center"/>
    </xf>
    <xf numFmtId="0" fontId="17" fillId="0" borderId="18" xfId="0" applyFont="1" applyBorder="1" applyAlignment="1">
      <alignment horizontal="left" vertical="center"/>
    </xf>
    <xf numFmtId="0" fontId="12" fillId="5" borderId="21" xfId="0" applyFont="1" applyFill="1" applyBorder="1" applyAlignment="1" applyProtection="1">
      <alignment horizontal="left" vertical="center" wrapText="1"/>
      <protection locked="0"/>
    </xf>
    <xf numFmtId="0" fontId="12" fillId="5" borderId="22" xfId="0" applyFont="1" applyFill="1" applyBorder="1" applyAlignment="1" applyProtection="1">
      <alignment horizontal="left" vertical="center" wrapText="1"/>
      <protection locked="0"/>
    </xf>
    <xf numFmtId="0" fontId="12" fillId="5" borderId="23" xfId="0" applyFont="1" applyFill="1" applyBorder="1" applyAlignment="1" applyProtection="1">
      <alignment horizontal="left" vertical="center" wrapText="1"/>
      <protection locked="0"/>
    </xf>
    <xf numFmtId="0" fontId="14" fillId="9" borderId="24" xfId="0" applyFont="1" applyFill="1" applyBorder="1" applyAlignment="1">
      <alignment horizontal="center" vertical="center"/>
    </xf>
    <xf numFmtId="0" fontId="14" fillId="9" borderId="46" xfId="0" applyFont="1" applyFill="1" applyBorder="1" applyAlignment="1">
      <alignment horizontal="center" vertical="center"/>
    </xf>
    <xf numFmtId="0" fontId="14" fillId="9" borderId="25" xfId="0" applyFont="1" applyFill="1" applyBorder="1" applyAlignment="1">
      <alignment horizontal="center" vertical="center"/>
    </xf>
    <xf numFmtId="0" fontId="12" fillId="0" borderId="19" xfId="0" applyFont="1" applyBorder="1" applyAlignment="1">
      <alignment horizontal="left" vertical="center"/>
    </xf>
    <xf numFmtId="0" fontId="12" fillId="0" borderId="20" xfId="0" applyFont="1" applyBorder="1" applyAlignment="1">
      <alignment horizontal="left" vertical="center"/>
    </xf>
    <xf numFmtId="0" fontId="0" fillId="0" borderId="0" xfId="0" applyAlignment="1">
      <alignment horizontal="left" vertical="center"/>
    </xf>
    <xf numFmtId="0" fontId="0" fillId="0" borderId="20" xfId="0" applyBorder="1" applyAlignment="1">
      <alignment horizontal="left" vertical="center"/>
    </xf>
    <xf numFmtId="173" fontId="21" fillId="5" borderId="21" xfId="0" applyNumberFormat="1" applyFont="1" applyFill="1" applyBorder="1" applyAlignment="1" applyProtection="1">
      <alignment horizontal="center" vertical="center" wrapText="1"/>
      <protection locked="0"/>
    </xf>
    <xf numFmtId="165" fontId="56" fillId="5" borderId="9" xfId="1090" applyNumberFormat="1" applyFont="1" applyFill="1" applyBorder="1" applyAlignment="1" applyProtection="1">
      <alignment horizontal="center" vertical="center" wrapText="1"/>
      <protection locked="0"/>
    </xf>
  </cellXfs>
  <cellStyles count="1095">
    <cellStyle name="Comma" xfId="132" builtinId="3"/>
    <cellStyle name="Comma 2" xfId="412" xr:uid="{00000000-0005-0000-0000-000001000000}"/>
    <cellStyle name="Comma 3" xfId="950" xr:uid="{00000000-0005-0000-0000-000002000000}"/>
    <cellStyle name="Comma 3 2" xfId="1090" xr:uid="{C67FD4C0-EF6D-9340-BBB1-2396D8EB9DA3}"/>
    <cellStyle name="Comma 4" xfId="1030" xr:uid="{00000000-0005-0000-0000-000003000000}"/>
    <cellStyle name="Currency" xfId="131" builtinId="4"/>
    <cellStyle name="Currency 2" xfId="134" xr:uid="{00000000-0005-0000-0000-000005000000}"/>
    <cellStyle name="Currency 2 2" xfId="952" xr:uid="{00000000-0005-0000-0000-000006000000}"/>
    <cellStyle name="Currency 3" xfId="413" xr:uid="{00000000-0005-0000-0000-000007000000}"/>
    <cellStyle name="Currency 4" xfId="949" xr:uid="{00000000-0005-0000-0000-000008000000}"/>
    <cellStyle name="Currency 5" xfId="1091" xr:uid="{42D18097-BAD5-FA42-BF34-DAE0BD0D58B9}"/>
    <cellStyle name="Explanatory Text" xfId="1092" builtinId="53"/>
    <cellStyle name="Followed Hyperlink" xfId="2" builtinId="9" hidden="1"/>
    <cellStyle name="Followed Hyperlink" xfId="4" builtinId="9" hidden="1"/>
    <cellStyle name="Followed Hyperlink" xfId="6"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5" builtinId="9" hidden="1"/>
    <cellStyle name="Followed Hyperlink" xfId="536" builtinId="9" hidden="1"/>
    <cellStyle name="Followed Hyperlink" xfId="537" builtinId="9" hidden="1"/>
    <cellStyle name="Followed Hyperlink" xfId="538" builtinId="9" hidden="1"/>
    <cellStyle name="Followed Hyperlink" xfId="539" builtinId="9" hidden="1"/>
    <cellStyle name="Followed Hyperlink" xfId="540" builtinId="9" hidden="1"/>
    <cellStyle name="Followed Hyperlink" xfId="541" builtinId="9" hidden="1"/>
    <cellStyle name="Followed Hyperlink" xfId="542" builtinId="9" hidden="1"/>
    <cellStyle name="Followed Hyperlink" xfId="543" builtinId="9" hidden="1"/>
    <cellStyle name="Followed Hyperlink" xfId="544" builtinId="9" hidden="1"/>
    <cellStyle name="Followed Hyperlink" xfId="545" builtinId="9" hidden="1"/>
    <cellStyle name="Followed Hyperlink" xfId="546" builtinId="9" hidden="1"/>
    <cellStyle name="Followed Hyperlink" xfId="547" builtinId="9" hidden="1"/>
    <cellStyle name="Followed Hyperlink" xfId="548" builtinId="9" hidden="1"/>
    <cellStyle name="Followed Hyperlink" xfId="549" builtinId="9" hidden="1"/>
    <cellStyle name="Followed Hyperlink" xfId="550" builtinId="9" hidden="1"/>
    <cellStyle name="Followed Hyperlink" xfId="551" builtinId="9" hidden="1"/>
    <cellStyle name="Followed Hyperlink" xfId="552" builtinId="9" hidden="1"/>
    <cellStyle name="Followed Hyperlink" xfId="553" builtinId="9" hidden="1"/>
    <cellStyle name="Followed Hyperlink" xfId="554" builtinId="9" hidden="1"/>
    <cellStyle name="Followed Hyperlink" xfId="555" builtinId="9" hidden="1"/>
    <cellStyle name="Followed Hyperlink" xfId="556" builtinId="9" hidden="1"/>
    <cellStyle name="Followed Hyperlink" xfId="557" builtinId="9" hidden="1"/>
    <cellStyle name="Followed Hyperlink" xfId="558" builtinId="9" hidden="1"/>
    <cellStyle name="Followed Hyperlink" xfId="559" builtinId="9" hidden="1"/>
    <cellStyle name="Followed Hyperlink" xfId="560" builtinId="9" hidden="1"/>
    <cellStyle name="Followed Hyperlink" xfId="561" builtinId="9" hidden="1"/>
    <cellStyle name="Followed Hyperlink" xfId="562" builtinId="9" hidden="1"/>
    <cellStyle name="Followed Hyperlink" xfId="563" builtinId="9" hidden="1"/>
    <cellStyle name="Followed Hyperlink" xfId="564" builtinId="9" hidden="1"/>
    <cellStyle name="Followed Hyperlink" xfId="565" builtinId="9" hidden="1"/>
    <cellStyle name="Followed Hyperlink" xfId="566" builtinId="9" hidden="1"/>
    <cellStyle name="Followed Hyperlink" xfId="567" builtinId="9" hidden="1"/>
    <cellStyle name="Followed Hyperlink" xfId="568" builtinId="9" hidden="1"/>
    <cellStyle name="Followed Hyperlink" xfId="569" builtinId="9" hidden="1"/>
    <cellStyle name="Followed Hyperlink" xfId="570" builtinId="9" hidden="1"/>
    <cellStyle name="Followed Hyperlink" xfId="571" builtinId="9" hidden="1"/>
    <cellStyle name="Followed Hyperlink" xfId="572" builtinId="9" hidden="1"/>
    <cellStyle name="Followed Hyperlink" xfId="573" builtinId="9" hidden="1"/>
    <cellStyle name="Followed Hyperlink" xfId="574" builtinId="9" hidden="1"/>
    <cellStyle name="Followed Hyperlink" xfId="575" builtinId="9" hidden="1"/>
    <cellStyle name="Followed Hyperlink" xfId="576" builtinId="9" hidden="1"/>
    <cellStyle name="Followed Hyperlink" xfId="577" builtinId="9" hidden="1"/>
    <cellStyle name="Followed Hyperlink" xfId="578" builtinId="9" hidden="1"/>
    <cellStyle name="Followed Hyperlink" xfId="579" builtinId="9" hidden="1"/>
    <cellStyle name="Followed Hyperlink" xfId="580" builtinId="9" hidden="1"/>
    <cellStyle name="Followed Hyperlink" xfId="581" builtinId="9" hidden="1"/>
    <cellStyle name="Followed Hyperlink" xfId="582" builtinId="9" hidden="1"/>
    <cellStyle name="Followed Hyperlink" xfId="583" builtinId="9" hidden="1"/>
    <cellStyle name="Followed Hyperlink" xfId="584" builtinId="9" hidden="1"/>
    <cellStyle name="Followed Hyperlink" xfId="585" builtinId="9" hidden="1"/>
    <cellStyle name="Followed Hyperlink" xfId="586" builtinId="9" hidden="1"/>
    <cellStyle name="Followed Hyperlink" xfId="587" builtinId="9" hidden="1"/>
    <cellStyle name="Followed Hyperlink" xfId="588" builtinId="9" hidden="1"/>
    <cellStyle name="Followed Hyperlink" xfId="589" builtinId="9" hidden="1"/>
    <cellStyle name="Followed Hyperlink" xfId="590" builtinId="9" hidden="1"/>
    <cellStyle name="Followed Hyperlink" xfId="591"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80" builtinId="9" hidden="1"/>
    <cellStyle name="Followed Hyperlink" xfId="782" builtinId="9" hidden="1"/>
    <cellStyle name="Followed Hyperlink" xfId="784" builtinId="9" hidden="1"/>
    <cellStyle name="Followed Hyperlink" xfId="786" builtinId="9" hidden="1"/>
    <cellStyle name="Followed Hyperlink" xfId="788" builtinId="9" hidden="1"/>
    <cellStyle name="Followed Hyperlink" xfId="790" builtinId="9" hidden="1"/>
    <cellStyle name="Followed Hyperlink" xfId="792" builtinId="9" hidden="1"/>
    <cellStyle name="Followed Hyperlink" xfId="794" builtinId="9" hidden="1"/>
    <cellStyle name="Followed Hyperlink" xfId="796" builtinId="9" hidden="1"/>
    <cellStyle name="Followed Hyperlink" xfId="798" builtinId="9" hidden="1"/>
    <cellStyle name="Followed Hyperlink" xfId="800" builtinId="9" hidden="1"/>
    <cellStyle name="Followed Hyperlink" xfId="802" builtinId="9" hidden="1"/>
    <cellStyle name="Followed Hyperlink" xfId="804" builtinId="9" hidden="1"/>
    <cellStyle name="Followed Hyperlink" xfId="807" builtinId="9" hidden="1"/>
    <cellStyle name="Followed Hyperlink" xfId="809" builtinId="9" hidden="1"/>
    <cellStyle name="Followed Hyperlink" xfId="811" builtinId="9" hidden="1"/>
    <cellStyle name="Followed Hyperlink" xfId="813" builtinId="9" hidden="1"/>
    <cellStyle name="Followed Hyperlink" xfId="815" builtinId="9" hidden="1"/>
    <cellStyle name="Followed Hyperlink" xfId="817" builtinId="9" hidden="1"/>
    <cellStyle name="Followed Hyperlink" xfId="819" builtinId="9" hidden="1"/>
    <cellStyle name="Followed Hyperlink" xfId="821" builtinId="9" hidden="1"/>
    <cellStyle name="Followed Hyperlink" xfId="823" builtinId="9" hidden="1"/>
    <cellStyle name="Followed Hyperlink" xfId="825" builtinId="9" hidden="1"/>
    <cellStyle name="Followed Hyperlink" xfId="827" builtinId="9" hidden="1"/>
    <cellStyle name="Followed Hyperlink" xfId="829" builtinId="9" hidden="1"/>
    <cellStyle name="Followed Hyperlink" xfId="831" builtinId="9" hidden="1"/>
    <cellStyle name="Followed Hyperlink" xfId="833" builtinId="9" hidden="1"/>
    <cellStyle name="Followed Hyperlink" xfId="835" builtinId="9" hidden="1"/>
    <cellStyle name="Followed Hyperlink" xfId="837" builtinId="9" hidden="1"/>
    <cellStyle name="Followed Hyperlink" xfId="839" builtinId="9" hidden="1"/>
    <cellStyle name="Followed Hyperlink" xfId="841" builtinId="9" hidden="1"/>
    <cellStyle name="Followed Hyperlink" xfId="843" builtinId="9" hidden="1"/>
    <cellStyle name="Followed Hyperlink" xfId="845" builtinId="9" hidden="1"/>
    <cellStyle name="Followed Hyperlink" xfId="847" builtinId="9" hidden="1"/>
    <cellStyle name="Followed Hyperlink" xfId="849" builtinId="9" hidden="1"/>
    <cellStyle name="Followed Hyperlink" xfId="851" builtinId="9" hidden="1"/>
    <cellStyle name="Followed Hyperlink" xfId="853" builtinId="9" hidden="1"/>
    <cellStyle name="Followed Hyperlink" xfId="855" builtinId="9" hidden="1"/>
    <cellStyle name="Followed Hyperlink" xfId="857" builtinId="9" hidden="1"/>
    <cellStyle name="Followed Hyperlink" xfId="859" builtinId="9" hidden="1"/>
    <cellStyle name="Followed Hyperlink" xfId="861" builtinId="9" hidden="1"/>
    <cellStyle name="Followed Hyperlink" xfId="863" builtinId="9" hidden="1"/>
    <cellStyle name="Followed Hyperlink" xfId="865" builtinId="9" hidden="1"/>
    <cellStyle name="Followed Hyperlink" xfId="867" builtinId="9" hidden="1"/>
    <cellStyle name="Followed Hyperlink" xfId="869" builtinId="9" hidden="1"/>
    <cellStyle name="Followed Hyperlink" xfId="871" builtinId="9" hidden="1"/>
    <cellStyle name="Followed Hyperlink" xfId="873" builtinId="9" hidden="1"/>
    <cellStyle name="Followed Hyperlink" xfId="875" builtinId="9" hidden="1"/>
    <cellStyle name="Followed Hyperlink" xfId="877" builtinId="9" hidden="1"/>
    <cellStyle name="Followed Hyperlink" xfId="879" builtinId="9" hidden="1"/>
    <cellStyle name="Followed Hyperlink" xfId="881" builtinId="9" hidden="1"/>
    <cellStyle name="Followed Hyperlink" xfId="883" builtinId="9" hidden="1"/>
    <cellStyle name="Followed Hyperlink" xfId="885" builtinId="9" hidden="1"/>
    <cellStyle name="Followed Hyperlink" xfId="887" builtinId="9" hidden="1"/>
    <cellStyle name="Followed Hyperlink" xfId="889" builtinId="9" hidden="1"/>
    <cellStyle name="Followed Hyperlink" xfId="891" builtinId="9" hidden="1"/>
    <cellStyle name="Followed Hyperlink" xfId="893" builtinId="9" hidden="1"/>
    <cellStyle name="Followed Hyperlink" xfId="895" builtinId="9" hidden="1"/>
    <cellStyle name="Followed Hyperlink" xfId="897" builtinId="9" hidden="1"/>
    <cellStyle name="Followed Hyperlink" xfId="899" builtinId="9" hidden="1"/>
    <cellStyle name="Followed Hyperlink" xfId="901" builtinId="9" hidden="1"/>
    <cellStyle name="Followed Hyperlink" xfId="903" builtinId="9" hidden="1"/>
    <cellStyle name="Followed Hyperlink" xfId="905" builtinId="9" hidden="1"/>
    <cellStyle name="Followed Hyperlink" xfId="907" builtinId="9" hidden="1"/>
    <cellStyle name="Followed Hyperlink" xfId="909" builtinId="9" hidden="1"/>
    <cellStyle name="Followed Hyperlink" xfId="911" builtinId="9" hidden="1"/>
    <cellStyle name="Followed Hyperlink" xfId="913" builtinId="9" hidden="1"/>
    <cellStyle name="Followed Hyperlink" xfId="915" builtinId="9" hidden="1"/>
    <cellStyle name="Followed Hyperlink" xfId="917" builtinId="9" hidden="1"/>
    <cellStyle name="Followed Hyperlink" xfId="919" builtinId="9" hidden="1"/>
    <cellStyle name="Followed Hyperlink" xfId="921" builtinId="9" hidden="1"/>
    <cellStyle name="Followed Hyperlink" xfId="923" builtinId="9" hidden="1"/>
    <cellStyle name="Followed Hyperlink" xfId="925" builtinId="9" hidden="1"/>
    <cellStyle name="Followed Hyperlink" xfId="927" builtinId="9" hidden="1"/>
    <cellStyle name="Followed Hyperlink" xfId="929" builtinId="9" hidden="1"/>
    <cellStyle name="Followed Hyperlink" xfId="931" builtinId="9" hidden="1"/>
    <cellStyle name="Followed Hyperlink" xfId="933" builtinId="9" hidden="1"/>
    <cellStyle name="Followed Hyperlink" xfId="935" builtinId="9" hidden="1"/>
    <cellStyle name="Followed Hyperlink" xfId="937" builtinId="9" hidden="1"/>
    <cellStyle name="Followed Hyperlink" xfId="939" builtinId="9" hidden="1"/>
    <cellStyle name="Followed Hyperlink" xfId="941" builtinId="9" hidden="1"/>
    <cellStyle name="Followed Hyperlink" xfId="943" builtinId="9" hidden="1"/>
    <cellStyle name="Followed Hyperlink" xfId="945" builtinId="9" hidden="1"/>
    <cellStyle name="Followed Hyperlink" xfId="947" builtinId="9" hidden="1"/>
    <cellStyle name="Followed Hyperlink" xfId="977" builtinId="9" hidden="1"/>
    <cellStyle name="Followed Hyperlink" xfId="979" builtinId="9" hidden="1"/>
    <cellStyle name="Followed Hyperlink" xfId="981" builtinId="9" hidden="1"/>
    <cellStyle name="Followed Hyperlink" xfId="983" builtinId="9" hidden="1"/>
    <cellStyle name="Followed Hyperlink" xfId="985" builtinId="9" hidden="1"/>
    <cellStyle name="Followed Hyperlink" xfId="987" builtinId="9" hidden="1"/>
    <cellStyle name="Followed Hyperlink" xfId="990" builtinId="9" hidden="1"/>
    <cellStyle name="Followed Hyperlink" xfId="992" builtinId="9" hidden="1"/>
    <cellStyle name="Followed Hyperlink" xfId="994" builtinId="9" hidden="1"/>
    <cellStyle name="Followed Hyperlink" xfId="996" builtinId="9" hidden="1"/>
    <cellStyle name="Followed Hyperlink" xfId="998" builtinId="9" hidden="1"/>
    <cellStyle name="Followed Hyperlink" xfId="1000" builtinId="9" hidden="1"/>
    <cellStyle name="Followed Hyperlink" xfId="1002" builtinId="9" hidden="1"/>
    <cellStyle name="Followed Hyperlink" xfId="1004" builtinId="9" hidden="1"/>
    <cellStyle name="Followed Hyperlink" xfId="1006" builtinId="9" hidden="1"/>
    <cellStyle name="Followed Hyperlink" xfId="1008" builtinId="9" hidden="1"/>
    <cellStyle name="Followed Hyperlink" xfId="1010" builtinId="9" hidden="1"/>
    <cellStyle name="Followed Hyperlink" xfId="1012" builtinId="9" hidden="1"/>
    <cellStyle name="Followed Hyperlink" xfId="1014" builtinId="9" hidden="1"/>
    <cellStyle name="Followed Hyperlink" xfId="1016" builtinId="9" hidden="1"/>
    <cellStyle name="Followed Hyperlink" xfId="1018" builtinId="9" hidden="1"/>
    <cellStyle name="Followed Hyperlink" xfId="1020" builtinId="9" hidden="1"/>
    <cellStyle name="Followed Hyperlink" xfId="1022" builtinId="9" hidden="1"/>
    <cellStyle name="Followed Hyperlink" xfId="1024" builtinId="9" hidden="1"/>
    <cellStyle name="Followed Hyperlink" xfId="1026" builtinId="9" hidden="1"/>
    <cellStyle name="Followed Hyperlink" xfId="1028" builtinId="9" hidden="1"/>
    <cellStyle name="Followed Hyperlink" xfId="1032" builtinId="9" hidden="1"/>
    <cellStyle name="Followed Hyperlink" xfId="1034" builtinId="9" hidden="1"/>
    <cellStyle name="Followed Hyperlink" xfId="1036" builtinId="9" hidden="1"/>
    <cellStyle name="Followed Hyperlink" xfId="1038" builtinId="9" hidden="1"/>
    <cellStyle name="Followed Hyperlink" xfId="1040" builtinId="9" hidden="1"/>
    <cellStyle name="Followed Hyperlink" xfId="1042" builtinId="9" hidden="1"/>
    <cellStyle name="Followed Hyperlink" xfId="1044" builtinId="9" hidden="1"/>
    <cellStyle name="Followed Hyperlink" xfId="1046" builtinId="9" hidden="1"/>
    <cellStyle name="Followed Hyperlink" xfId="1048" builtinId="9" hidden="1"/>
    <cellStyle name="Followed Hyperlink" xfId="1050" builtinId="9" hidden="1"/>
    <cellStyle name="Followed Hyperlink" xfId="1052" builtinId="9" hidden="1"/>
    <cellStyle name="Followed Hyperlink" xfId="1054" builtinId="9" hidden="1"/>
    <cellStyle name="Followed Hyperlink" xfId="1056" builtinId="9" hidden="1"/>
    <cellStyle name="Followed Hyperlink" xfId="1058" builtinId="9" hidden="1"/>
    <cellStyle name="Followed Hyperlink" xfId="1060" builtinId="9" hidden="1"/>
    <cellStyle name="Followed Hyperlink" xfId="1062" builtinId="9" hidden="1"/>
    <cellStyle name="Followed Hyperlink" xfId="1064" builtinId="9" hidden="1"/>
    <cellStyle name="Followed Hyperlink" xfId="1066" builtinId="9" hidden="1"/>
    <cellStyle name="Followed Hyperlink" xfId="1068" builtinId="9" hidden="1"/>
    <cellStyle name="Followed Hyperlink" xfId="1070" builtinId="9" hidden="1"/>
    <cellStyle name="Followed Hyperlink" xfId="1072" builtinId="9" hidden="1"/>
    <cellStyle name="Followed Hyperlink" xfId="1074" builtinId="9" hidden="1"/>
    <cellStyle name="Followed Hyperlink" xfId="1076" builtinId="9" hidden="1"/>
    <cellStyle name="Followed Hyperlink" xfId="1078" builtinId="9" hidden="1"/>
    <cellStyle name="Followed Hyperlink" xfId="1080" builtinId="9" hidden="1"/>
    <cellStyle name="Followed Hyperlink" xfId="1082" builtinId="9" hidden="1"/>
    <cellStyle name="Followed Hyperlink" xfId="1084" builtinId="9" hidden="1"/>
    <cellStyle name="Followed Hyperlink" xfId="1086" builtinId="9" hidden="1"/>
    <cellStyle name="Followed Hyperlink" xfId="1088" builtinId="9" hidden="1"/>
    <cellStyle name="Grey" xfId="29" xr:uid="{00000000-0005-0000-0000-00002F020000}"/>
    <cellStyle name="Hyperlink" xfId="1" builtinId="8" hidden="1"/>
    <cellStyle name="Hyperlink" xfId="3" builtinId="8" hidden="1"/>
    <cellStyle name="Hyperlink" xfId="5"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hidden="1"/>
    <cellStyle name="Hyperlink" xfId="779" builtinId="8" hidden="1"/>
    <cellStyle name="Hyperlink" xfId="781" builtinId="8" hidden="1"/>
    <cellStyle name="Hyperlink" xfId="783" builtinId="8" hidden="1"/>
    <cellStyle name="Hyperlink" xfId="785" builtinId="8" hidden="1"/>
    <cellStyle name="Hyperlink" xfId="787" builtinId="8" hidden="1"/>
    <cellStyle name="Hyperlink" xfId="789" builtinId="8" hidden="1"/>
    <cellStyle name="Hyperlink" xfId="791" builtinId="8" hidden="1"/>
    <cellStyle name="Hyperlink" xfId="793" builtinId="8" hidden="1"/>
    <cellStyle name="Hyperlink" xfId="795" builtinId="8" hidden="1"/>
    <cellStyle name="Hyperlink" xfId="797" builtinId="8" hidden="1"/>
    <cellStyle name="Hyperlink" xfId="799" builtinId="8" hidden="1"/>
    <cellStyle name="Hyperlink" xfId="801" builtinId="8" hidden="1"/>
    <cellStyle name="Hyperlink" xfId="803" builtinId="8" hidden="1"/>
    <cellStyle name="Hyperlink" xfId="806" builtinId="8" hidden="1"/>
    <cellStyle name="Hyperlink" xfId="808" builtinId="8" hidden="1"/>
    <cellStyle name="Hyperlink" xfId="810" builtinId="8" hidden="1"/>
    <cellStyle name="Hyperlink" xfId="812" builtinId="8" hidden="1"/>
    <cellStyle name="Hyperlink" xfId="814" builtinId="8" hidden="1"/>
    <cellStyle name="Hyperlink" xfId="816" builtinId="8" hidden="1"/>
    <cellStyle name="Hyperlink" xfId="818" builtinId="8" hidden="1"/>
    <cellStyle name="Hyperlink" xfId="820" builtinId="8" hidden="1"/>
    <cellStyle name="Hyperlink" xfId="822" builtinId="8" hidden="1"/>
    <cellStyle name="Hyperlink" xfId="824" builtinId="8" hidden="1"/>
    <cellStyle name="Hyperlink" xfId="826" builtinId="8" hidden="1"/>
    <cellStyle name="Hyperlink" xfId="828" builtinId="8" hidden="1"/>
    <cellStyle name="Hyperlink" xfId="830" builtinId="8" hidden="1"/>
    <cellStyle name="Hyperlink" xfId="832" builtinId="8" hidden="1"/>
    <cellStyle name="Hyperlink" xfId="834" builtinId="8" hidden="1"/>
    <cellStyle name="Hyperlink" xfId="836" builtinId="8" hidden="1"/>
    <cellStyle name="Hyperlink" xfId="838" builtinId="8" hidden="1"/>
    <cellStyle name="Hyperlink" xfId="840" builtinId="8" hidden="1"/>
    <cellStyle name="Hyperlink" xfId="842" builtinId="8" hidden="1"/>
    <cellStyle name="Hyperlink" xfId="844" builtinId="8" hidden="1"/>
    <cellStyle name="Hyperlink" xfId="846" builtinId="8" hidden="1"/>
    <cellStyle name="Hyperlink" xfId="848" builtinId="8" hidden="1"/>
    <cellStyle name="Hyperlink" xfId="850" builtinId="8" hidden="1"/>
    <cellStyle name="Hyperlink" xfId="852" builtinId="8" hidden="1"/>
    <cellStyle name="Hyperlink" xfId="854" builtinId="8" hidden="1"/>
    <cellStyle name="Hyperlink" xfId="856" builtinId="8" hidden="1"/>
    <cellStyle name="Hyperlink" xfId="858" builtinId="8" hidden="1"/>
    <cellStyle name="Hyperlink" xfId="860" builtinId="8" hidden="1"/>
    <cellStyle name="Hyperlink" xfId="862" builtinId="8" hidden="1"/>
    <cellStyle name="Hyperlink" xfId="864" builtinId="8" hidden="1"/>
    <cellStyle name="Hyperlink" xfId="866" builtinId="8" hidden="1"/>
    <cellStyle name="Hyperlink" xfId="868" builtinId="8" hidden="1"/>
    <cellStyle name="Hyperlink" xfId="870" builtinId="8" hidden="1"/>
    <cellStyle name="Hyperlink" xfId="872" builtinId="8" hidden="1"/>
    <cellStyle name="Hyperlink" xfId="874" builtinId="8" hidden="1"/>
    <cellStyle name="Hyperlink" xfId="876" builtinId="8" hidden="1"/>
    <cellStyle name="Hyperlink" xfId="878" builtinId="8" hidden="1"/>
    <cellStyle name="Hyperlink" xfId="880" builtinId="8" hidden="1"/>
    <cellStyle name="Hyperlink" xfId="882" builtinId="8" hidden="1"/>
    <cellStyle name="Hyperlink" xfId="884" builtinId="8" hidden="1"/>
    <cellStyle name="Hyperlink" xfId="886" builtinId="8" hidden="1"/>
    <cellStyle name="Hyperlink" xfId="888" builtinId="8" hidden="1"/>
    <cellStyle name="Hyperlink" xfId="890" builtinId="8" hidden="1"/>
    <cellStyle name="Hyperlink" xfId="892" builtinId="8" hidden="1"/>
    <cellStyle name="Hyperlink" xfId="894" builtinId="8" hidden="1"/>
    <cellStyle name="Hyperlink" xfId="896" builtinId="8" hidden="1"/>
    <cellStyle name="Hyperlink" xfId="898" builtinId="8" hidden="1"/>
    <cellStyle name="Hyperlink" xfId="900" builtinId="8" hidden="1"/>
    <cellStyle name="Hyperlink" xfId="902" builtinId="8" hidden="1"/>
    <cellStyle name="Hyperlink" xfId="904" builtinId="8" hidden="1"/>
    <cellStyle name="Hyperlink" xfId="906" builtinId="8" hidden="1"/>
    <cellStyle name="Hyperlink" xfId="908" builtinId="8" hidden="1"/>
    <cellStyle name="Hyperlink" xfId="910" builtinId="8" hidden="1"/>
    <cellStyle name="Hyperlink" xfId="912" builtinId="8" hidden="1"/>
    <cellStyle name="Hyperlink" xfId="914" builtinId="8" hidden="1"/>
    <cellStyle name="Hyperlink" xfId="916" builtinId="8" hidden="1"/>
    <cellStyle name="Hyperlink" xfId="918" builtinId="8" hidden="1"/>
    <cellStyle name="Hyperlink" xfId="920" builtinId="8" hidden="1"/>
    <cellStyle name="Hyperlink" xfId="922" builtinId="8" hidden="1"/>
    <cellStyle name="Hyperlink" xfId="924" builtinId="8" hidden="1"/>
    <cellStyle name="Hyperlink" xfId="926" builtinId="8" hidden="1"/>
    <cellStyle name="Hyperlink" xfId="928" builtinId="8" hidden="1"/>
    <cellStyle name="Hyperlink" xfId="930" builtinId="8" hidden="1"/>
    <cellStyle name="Hyperlink" xfId="932" builtinId="8" hidden="1"/>
    <cellStyle name="Hyperlink" xfId="934" builtinId="8" hidden="1"/>
    <cellStyle name="Hyperlink" xfId="936" builtinId="8" hidden="1"/>
    <cellStyle name="Hyperlink" xfId="938" builtinId="8" hidden="1"/>
    <cellStyle name="Hyperlink" xfId="940" builtinId="8" hidden="1"/>
    <cellStyle name="Hyperlink" xfId="942" builtinId="8" hidden="1"/>
    <cellStyle name="Hyperlink" xfId="944" builtinId="8" hidden="1"/>
    <cellStyle name="Hyperlink" xfId="946" builtinId="8" hidden="1"/>
    <cellStyle name="Hyperlink" xfId="976" builtinId="8" hidden="1"/>
    <cellStyle name="Hyperlink" xfId="978" builtinId="8" hidden="1"/>
    <cellStyle name="Hyperlink" xfId="980" builtinId="8" hidden="1"/>
    <cellStyle name="Hyperlink" xfId="982" builtinId="8" hidden="1"/>
    <cellStyle name="Hyperlink" xfId="984" builtinId="8" hidden="1"/>
    <cellStyle name="Hyperlink" xfId="986" builtinId="8" hidden="1"/>
    <cellStyle name="Hyperlink" xfId="989" builtinId="8" hidden="1"/>
    <cellStyle name="Hyperlink" xfId="991" builtinId="8" hidden="1"/>
    <cellStyle name="Hyperlink" xfId="993" builtinId="8" hidden="1"/>
    <cellStyle name="Hyperlink" xfId="995" builtinId="8" hidden="1"/>
    <cellStyle name="Hyperlink" xfId="997" builtinId="8" hidden="1"/>
    <cellStyle name="Hyperlink" xfId="999" builtinId="8" hidden="1"/>
    <cellStyle name="Hyperlink" xfId="1001" builtinId="8" hidden="1"/>
    <cellStyle name="Hyperlink" xfId="1003" builtinId="8" hidden="1"/>
    <cellStyle name="Hyperlink" xfId="1005" builtinId="8" hidden="1"/>
    <cellStyle name="Hyperlink" xfId="1007" builtinId="8" hidden="1"/>
    <cellStyle name="Hyperlink" xfId="1009" builtinId="8" hidden="1"/>
    <cellStyle name="Hyperlink" xfId="1011" builtinId="8" hidden="1"/>
    <cellStyle name="Hyperlink" xfId="1013" builtinId="8" hidden="1"/>
    <cellStyle name="Hyperlink" xfId="1015" builtinId="8" hidden="1"/>
    <cellStyle name="Hyperlink" xfId="1017" builtinId="8" hidden="1"/>
    <cellStyle name="Hyperlink" xfId="1019" builtinId="8" hidden="1"/>
    <cellStyle name="Hyperlink" xfId="1021" builtinId="8" hidden="1"/>
    <cellStyle name="Hyperlink" xfId="1023" builtinId="8" hidden="1"/>
    <cellStyle name="Hyperlink" xfId="1025" builtinId="8" hidden="1"/>
    <cellStyle name="Hyperlink" xfId="1027" builtinId="8" hidden="1"/>
    <cellStyle name="Hyperlink" xfId="1031" builtinId="8" hidden="1"/>
    <cellStyle name="Hyperlink" xfId="1033" builtinId="8" hidden="1"/>
    <cellStyle name="Hyperlink" xfId="1035" builtinId="8" hidden="1"/>
    <cellStyle name="Hyperlink" xfId="1037" builtinId="8" hidden="1"/>
    <cellStyle name="Hyperlink" xfId="1039" builtinId="8" hidden="1"/>
    <cellStyle name="Hyperlink" xfId="1041" builtinId="8" hidden="1"/>
    <cellStyle name="Hyperlink" xfId="1043" builtinId="8" hidden="1"/>
    <cellStyle name="Hyperlink" xfId="1045" builtinId="8" hidden="1"/>
    <cellStyle name="Hyperlink" xfId="1047" builtinId="8" hidden="1"/>
    <cellStyle name="Hyperlink" xfId="1049" builtinId="8" hidden="1"/>
    <cellStyle name="Hyperlink" xfId="1051" builtinId="8" hidden="1"/>
    <cellStyle name="Hyperlink" xfId="1053" builtinId="8" hidden="1"/>
    <cellStyle name="Hyperlink" xfId="1055" builtinId="8" hidden="1"/>
    <cellStyle name="Hyperlink" xfId="1057" builtinId="8" hidden="1"/>
    <cellStyle name="Hyperlink" xfId="1059" builtinId="8" hidden="1"/>
    <cellStyle name="Hyperlink" xfId="1061" builtinId="8" hidden="1"/>
    <cellStyle name="Hyperlink" xfId="1063" builtinId="8" hidden="1"/>
    <cellStyle name="Hyperlink" xfId="1065" builtinId="8" hidden="1"/>
    <cellStyle name="Hyperlink" xfId="1067" builtinId="8" hidden="1"/>
    <cellStyle name="Hyperlink" xfId="1069" builtinId="8" hidden="1"/>
    <cellStyle name="Hyperlink" xfId="1071" builtinId="8" hidden="1"/>
    <cellStyle name="Hyperlink" xfId="1073" builtinId="8" hidden="1"/>
    <cellStyle name="Hyperlink" xfId="1075" builtinId="8" hidden="1"/>
    <cellStyle name="Hyperlink" xfId="1077" builtinId="8" hidden="1"/>
    <cellStyle name="Hyperlink" xfId="1079" builtinId="8" hidden="1"/>
    <cellStyle name="Hyperlink" xfId="1081" builtinId="8" hidden="1"/>
    <cellStyle name="Hyperlink" xfId="1083" builtinId="8" hidden="1"/>
    <cellStyle name="Hyperlink" xfId="1085" builtinId="8" hidden="1"/>
    <cellStyle name="Hyperlink" xfId="1087" builtinId="8" hidden="1"/>
    <cellStyle name="Hyperlink" xfId="1089" builtinId="8"/>
    <cellStyle name="Input [yellow]" xfId="30" xr:uid="{00000000-0005-0000-0000-00001D040000}"/>
    <cellStyle name="Normal" xfId="0" builtinId="0"/>
    <cellStyle name="Normal - Style1" xfId="31" xr:uid="{00000000-0005-0000-0000-00001F040000}"/>
    <cellStyle name="Normal 10 2 2" xfId="1093" xr:uid="{076EFD60-689C-2341-8DE0-799B51457EBB}"/>
    <cellStyle name="Normal 2" xfId="28" xr:uid="{00000000-0005-0000-0000-000020040000}"/>
    <cellStyle name="Normal 3" xfId="133" xr:uid="{00000000-0005-0000-0000-000021040000}"/>
    <cellStyle name="Normal 3 2" xfId="951" xr:uid="{00000000-0005-0000-0000-000022040000}"/>
    <cellStyle name="Normal 4" xfId="411" xr:uid="{00000000-0005-0000-0000-000023040000}"/>
    <cellStyle name="Normal 5" xfId="414" xr:uid="{00000000-0005-0000-0000-000024040000}"/>
    <cellStyle name="Normal 6" xfId="1094" xr:uid="{0B697091-3BE5-8C4D-9E4F-D4D231046DA6}"/>
    <cellStyle name="Percent" xfId="7" builtinId="5"/>
    <cellStyle name="Percent [2]" xfId="32" xr:uid="{00000000-0005-0000-0000-000026040000}"/>
    <cellStyle name="Percent 10" xfId="959" xr:uid="{00000000-0005-0000-0000-000027040000}"/>
    <cellStyle name="Percent 11" xfId="960" xr:uid="{00000000-0005-0000-0000-000028040000}"/>
    <cellStyle name="Percent 12" xfId="961" xr:uid="{00000000-0005-0000-0000-000029040000}"/>
    <cellStyle name="Percent 13" xfId="962" xr:uid="{00000000-0005-0000-0000-00002A040000}"/>
    <cellStyle name="Percent 14" xfId="963" xr:uid="{00000000-0005-0000-0000-00002B040000}"/>
    <cellStyle name="Percent 15" xfId="964" xr:uid="{00000000-0005-0000-0000-00002C040000}"/>
    <cellStyle name="Percent 16" xfId="965" xr:uid="{00000000-0005-0000-0000-00002D040000}"/>
    <cellStyle name="Percent 17" xfId="966" xr:uid="{00000000-0005-0000-0000-00002E040000}"/>
    <cellStyle name="Percent 18" xfId="967" xr:uid="{00000000-0005-0000-0000-00002F040000}"/>
    <cellStyle name="Percent 19" xfId="968" xr:uid="{00000000-0005-0000-0000-000030040000}"/>
    <cellStyle name="Percent 2" xfId="805" xr:uid="{00000000-0005-0000-0000-000031040000}"/>
    <cellStyle name="Percent 20" xfId="969" xr:uid="{00000000-0005-0000-0000-000032040000}"/>
    <cellStyle name="Percent 21" xfId="970" xr:uid="{00000000-0005-0000-0000-000033040000}"/>
    <cellStyle name="Percent 22" xfId="971" xr:uid="{00000000-0005-0000-0000-000034040000}"/>
    <cellStyle name="Percent 23" xfId="972" xr:uid="{00000000-0005-0000-0000-000035040000}"/>
    <cellStyle name="Percent 24" xfId="973" xr:uid="{00000000-0005-0000-0000-000036040000}"/>
    <cellStyle name="Percent 25" xfId="974" xr:uid="{00000000-0005-0000-0000-000037040000}"/>
    <cellStyle name="Percent 26" xfId="975" xr:uid="{00000000-0005-0000-0000-000038040000}"/>
    <cellStyle name="Percent 27" xfId="988" xr:uid="{00000000-0005-0000-0000-000039040000}"/>
    <cellStyle name="Percent 28" xfId="1029" xr:uid="{00000000-0005-0000-0000-00003A040000}"/>
    <cellStyle name="Percent 3" xfId="948" xr:uid="{00000000-0005-0000-0000-00003B040000}"/>
    <cellStyle name="Percent 4" xfId="953" xr:uid="{00000000-0005-0000-0000-00003C040000}"/>
    <cellStyle name="Percent 5" xfId="954" xr:uid="{00000000-0005-0000-0000-00003D040000}"/>
    <cellStyle name="Percent 6" xfId="955" xr:uid="{00000000-0005-0000-0000-00003E040000}"/>
    <cellStyle name="Percent 7" xfId="956" xr:uid="{00000000-0005-0000-0000-00003F040000}"/>
    <cellStyle name="Percent 8" xfId="957" xr:uid="{00000000-0005-0000-0000-000040040000}"/>
    <cellStyle name="Percent 9" xfId="958" xr:uid="{00000000-0005-0000-0000-000041040000}"/>
  </cellStyles>
  <dxfs count="55">
    <dxf>
      <font>
        <color theme="0" tint="-0.24994659260841701"/>
      </font>
      <fill>
        <patternFill>
          <fgColor theme="0" tint="-0.24994659260841701"/>
          <bgColor theme="0" tint="-0.24994659260841701"/>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ont>
        <color theme="1"/>
      </font>
      <fill>
        <patternFill>
          <bgColor theme="9"/>
        </patternFill>
      </fill>
    </dxf>
    <dxf>
      <fill>
        <patternFill patternType="mediumGray">
          <fgColor auto="1"/>
          <bgColor auto="1"/>
        </patternFill>
      </fill>
      <border>
        <left/>
        <right/>
        <top/>
        <bottom/>
      </border>
    </dxf>
    <dxf>
      <font>
        <color theme="0" tint="-0.24994659260841701"/>
      </font>
      <fill>
        <patternFill patternType="solid">
          <fgColor theme="0" tint="-0.24994659260841701"/>
          <bgColor theme="0" tint="-0.24994659260841701"/>
        </patternFill>
      </fill>
      <border>
        <left/>
        <right/>
        <top/>
        <bottom/>
        <vertical/>
        <horizontal/>
      </border>
    </dxf>
    <dxf>
      <font>
        <color auto="1"/>
      </font>
      <fill>
        <patternFill patternType="mediumGray">
          <fgColor indexed="64"/>
          <bgColor indexed="65"/>
        </patternFill>
      </fill>
    </dxf>
    <dxf>
      <fill>
        <patternFill>
          <bgColor theme="9"/>
        </patternFill>
      </fill>
    </dxf>
    <dxf>
      <fill>
        <patternFill>
          <bgColor theme="9"/>
        </patternFill>
      </fill>
    </dxf>
    <dxf>
      <fill>
        <patternFill>
          <bgColor theme="9"/>
        </patternFill>
      </fill>
    </dxf>
    <dxf>
      <font>
        <u val="none"/>
        <color theme="0" tint="-0.24994659260841701"/>
      </font>
      <fill>
        <patternFill>
          <fgColor theme="0" tint="-0.24994659260841701"/>
          <bgColor theme="0" tint="-0.24994659260841701"/>
        </patternFill>
      </fill>
      <border>
        <left/>
        <right/>
        <top/>
        <bottom/>
        <vertical/>
        <horizontal/>
      </border>
    </dxf>
    <dxf>
      <font>
        <u val="none"/>
        <color theme="0" tint="-0.24994659260841701"/>
      </font>
      <fill>
        <patternFill>
          <fgColor theme="0" tint="-0.24994659260841701"/>
          <bgColor theme="0" tint="-0.24994659260841701"/>
        </patternFill>
      </fill>
      <border>
        <left/>
        <right/>
        <top/>
        <bottom/>
        <vertical/>
        <horizontal/>
      </border>
    </dxf>
    <dxf>
      <font>
        <color theme="0" tint="-0.24994659260841701"/>
      </font>
      <fill>
        <patternFill patternType="mediumGray">
          <fgColor theme="0" tint="-0.24994659260841701"/>
          <bgColor theme="0" tint="-0.24994659260841701"/>
        </patternFill>
      </fill>
      <border>
        <left/>
        <right/>
        <top/>
        <bottom/>
        <vertical/>
        <horizontal/>
      </border>
    </dxf>
    <dxf>
      <font>
        <b val="0"/>
        <i/>
        <color theme="0" tint="-0.24994659260841701"/>
      </font>
      <fill>
        <patternFill patternType="mediumGray">
          <fgColor theme="0" tint="-0.24994659260841701"/>
          <bgColor theme="0" tint="-0.24994659260841701"/>
        </patternFill>
      </fill>
      <border>
        <left/>
        <right/>
        <top/>
        <bottom/>
      </border>
    </dxf>
    <dxf>
      <font>
        <color theme="0" tint="-0.24994659260841701"/>
      </font>
      <fill>
        <patternFill patternType="solid">
          <fgColor theme="0" tint="-0.24994659260841701"/>
          <bgColor theme="0" tint="-0.24994659260841701"/>
        </patternFill>
      </fill>
      <border>
        <left/>
        <right/>
        <top/>
        <bottom/>
        <vertical/>
        <horizontal/>
      </border>
    </dxf>
    <dxf>
      <font>
        <color theme="0" tint="-0.24994659260841701"/>
      </font>
      <fill>
        <patternFill>
          <fgColor theme="0" tint="-0.24994659260841701"/>
          <bgColor theme="0" tint="-0.24994659260841701"/>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ont>
        <color rgb="FFFF0000"/>
      </font>
      <fill>
        <patternFill>
          <fgColor theme="0"/>
        </patternFill>
      </fill>
    </dxf>
    <dxf>
      <fill>
        <patternFill patternType="mediumGray">
          <bgColor theme="0"/>
        </patternFill>
      </fill>
      <border>
        <left/>
        <right/>
        <top/>
        <bottom/>
      </border>
    </dxf>
    <dxf>
      <font>
        <color theme="0"/>
      </font>
      <fill>
        <patternFill patternType="solid">
          <fgColor indexed="64"/>
          <bgColor rgb="FF3366FF"/>
        </patternFill>
      </fill>
    </dxf>
    <dxf>
      <font>
        <color theme="0"/>
      </font>
      <fill>
        <patternFill patternType="solid">
          <fgColor indexed="64"/>
          <bgColor rgb="FF660066"/>
        </patternFill>
      </fill>
    </dxf>
    <dxf>
      <font>
        <color theme="0"/>
      </font>
      <fill>
        <patternFill patternType="solid">
          <fgColor indexed="64"/>
          <bgColor rgb="FF660066"/>
        </patternFill>
      </fill>
    </dxf>
    <dxf>
      <font>
        <color theme="0"/>
      </font>
      <fill>
        <patternFill patternType="solid">
          <fgColor indexed="64"/>
          <bgColor rgb="FF3366FF"/>
        </patternFill>
      </fill>
    </dxf>
    <dxf>
      <fill>
        <patternFill>
          <bgColor rgb="FF00B050"/>
        </patternFill>
      </fill>
    </dxf>
    <dxf>
      <fill>
        <patternFill>
          <bgColor rgb="FF00B050"/>
        </patternFill>
      </fill>
    </dxf>
    <dxf>
      <font>
        <color theme="0" tint="-0.24994659260841701"/>
      </font>
      <fill>
        <patternFill patternType="mediumGray">
          <bgColor theme="0"/>
        </patternFill>
      </fill>
      <border>
        <left/>
        <right/>
        <top/>
        <bottom/>
      </border>
    </dxf>
    <dxf>
      <font>
        <u val="none"/>
        <color theme="0" tint="-0.24994659260841701"/>
      </font>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bgColor theme="0"/>
        </patternFill>
      </fill>
      <border>
        <left/>
        <right/>
        <top/>
        <bottom/>
      </border>
    </dxf>
    <dxf>
      <fill>
        <patternFill patternType="mediumGray"/>
      </fill>
      <border>
        <left/>
        <right/>
        <top/>
        <bottom/>
        <vertical/>
        <horizontal/>
      </border>
    </dxf>
  </dxfs>
  <tableStyles count="0" defaultTableStyle="TableStyleMedium9" defaultPivotStyle="PivotStyleMedium4"/>
  <colors>
    <mruColors>
      <color rgb="FF2E3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12701</xdr:colOff>
      <xdr:row>0</xdr:row>
      <xdr:rowOff>0</xdr:rowOff>
    </xdr:from>
    <xdr:to>
      <xdr:col>0</xdr:col>
      <xdr:colOff>587024</xdr:colOff>
      <xdr:row>0</xdr:row>
      <xdr:rowOff>552450</xdr:rowOff>
    </xdr:to>
    <xdr:pic>
      <xdr:nvPicPr>
        <xdr:cNvPr id="4" name="Picture 3">
          <a:extLst>
            <a:ext uri="{FF2B5EF4-FFF2-40B4-BE49-F238E27FC236}">
              <a16:creationId xmlns:a16="http://schemas.microsoft.com/office/drawing/2014/main" id="{145BADAE-97E6-4C15-80AC-27563DE716C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701" y="0"/>
          <a:ext cx="574323" cy="552450"/>
        </a:xfrm>
        <a:prstGeom prst="rect">
          <a:avLst/>
        </a:prstGeom>
      </xdr:spPr>
    </xdr:pic>
    <xdr:clientData/>
  </xdr:twoCellAnchor>
  <xdr:twoCellAnchor editAs="oneCell">
    <xdr:from>
      <xdr:col>2</xdr:col>
      <xdr:colOff>10521662</xdr:colOff>
      <xdr:row>0</xdr:row>
      <xdr:rowOff>0</xdr:rowOff>
    </xdr:from>
    <xdr:to>
      <xdr:col>2</xdr:col>
      <xdr:colOff>11092810</xdr:colOff>
      <xdr:row>0</xdr:row>
      <xdr:rowOff>552450</xdr:rowOff>
    </xdr:to>
    <xdr:pic>
      <xdr:nvPicPr>
        <xdr:cNvPr id="6" name="Picture 5">
          <a:extLst>
            <a:ext uri="{FF2B5EF4-FFF2-40B4-BE49-F238E27FC236}">
              <a16:creationId xmlns:a16="http://schemas.microsoft.com/office/drawing/2014/main" id="{235001DC-4BFC-46E8-8AC3-464A6FD1CB3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829685" y="0"/>
          <a:ext cx="571148" cy="5524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11114</xdr:colOff>
      <xdr:row>0</xdr:row>
      <xdr:rowOff>11365</xdr:rowOff>
    </xdr:from>
    <xdr:to>
      <xdr:col>0</xdr:col>
      <xdr:colOff>504491</xdr:colOff>
      <xdr:row>1</xdr:row>
      <xdr:rowOff>247099</xdr:rowOff>
    </xdr:to>
    <xdr:pic>
      <xdr:nvPicPr>
        <xdr:cNvPr id="2" name="Picture 1">
          <a:extLst>
            <a:ext uri="{FF2B5EF4-FFF2-40B4-BE49-F238E27FC236}">
              <a16:creationId xmlns:a16="http://schemas.microsoft.com/office/drawing/2014/main" id="{F5A84E75-FF7E-864A-AC45-F68B5F45661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114" y="11365"/>
          <a:ext cx="490202" cy="491405"/>
        </a:xfrm>
        <a:prstGeom prst="rect">
          <a:avLst/>
        </a:prstGeom>
      </xdr:spPr>
    </xdr:pic>
    <xdr:clientData/>
  </xdr:twoCellAnchor>
  <xdr:twoCellAnchor editAs="oneCell">
    <xdr:from>
      <xdr:col>6</xdr:col>
      <xdr:colOff>2499178</xdr:colOff>
      <xdr:row>0</xdr:row>
      <xdr:rowOff>6803</xdr:rowOff>
    </xdr:from>
    <xdr:to>
      <xdr:col>7</xdr:col>
      <xdr:colOff>11038</xdr:colOff>
      <xdr:row>1</xdr:row>
      <xdr:rowOff>246492</xdr:rowOff>
    </xdr:to>
    <xdr:pic>
      <xdr:nvPicPr>
        <xdr:cNvPr id="4" name="Picture 3">
          <a:extLst>
            <a:ext uri="{FF2B5EF4-FFF2-40B4-BE49-F238E27FC236}">
              <a16:creationId xmlns:a16="http://schemas.microsoft.com/office/drawing/2014/main" id="{0B04A183-CD15-4CB8-B143-F4F66BA8377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203714" y="6803"/>
          <a:ext cx="500240" cy="4982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7938</xdr:colOff>
      <xdr:row>0</xdr:row>
      <xdr:rowOff>0</xdr:rowOff>
    </xdr:from>
    <xdr:to>
      <xdr:col>0</xdr:col>
      <xdr:colOff>523361</xdr:colOff>
      <xdr:row>1</xdr:row>
      <xdr:rowOff>258763</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938" y="0"/>
          <a:ext cx="515423" cy="512763"/>
        </a:xfrm>
        <a:prstGeom prst="rect">
          <a:avLst/>
        </a:prstGeom>
      </xdr:spPr>
    </xdr:pic>
    <xdr:clientData/>
  </xdr:twoCellAnchor>
  <xdr:twoCellAnchor editAs="oneCell">
    <xdr:from>
      <xdr:col>9</xdr:col>
      <xdr:colOff>707784</xdr:colOff>
      <xdr:row>0</xdr:row>
      <xdr:rowOff>0</xdr:rowOff>
    </xdr:from>
    <xdr:to>
      <xdr:col>10</xdr:col>
      <xdr:colOff>295</xdr:colOff>
      <xdr:row>1</xdr:row>
      <xdr:rowOff>255588</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475797" y="0"/>
          <a:ext cx="534288" cy="51125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527049</xdr:colOff>
      <xdr:row>2</xdr:row>
      <xdr:rowOff>3174</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23874" cy="533399"/>
        </a:xfrm>
        <a:prstGeom prst="rect">
          <a:avLst/>
        </a:prstGeom>
      </xdr:spPr>
    </xdr:pic>
    <xdr:clientData/>
  </xdr:twoCellAnchor>
  <xdr:twoCellAnchor editAs="oneCell">
    <xdr:from>
      <xdr:col>4</xdr:col>
      <xdr:colOff>1207559</xdr:colOff>
      <xdr:row>0</xdr:row>
      <xdr:rowOff>0</xdr:rowOff>
    </xdr:from>
    <xdr:to>
      <xdr:col>5</xdr:col>
      <xdr:colOff>754</xdr:colOff>
      <xdr:row>2</xdr:row>
      <xdr:rowOff>2116</xdr:rowOff>
    </xdr:to>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821459" y="0"/>
          <a:ext cx="529166" cy="53234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523874</xdr:colOff>
      <xdr:row>2</xdr:row>
      <xdr:rowOff>3174</xdr:rowOff>
    </xdr:to>
    <xdr:pic>
      <xdr:nvPicPr>
        <xdr:cNvPr id="2" name="Picture 1">
          <a:extLst>
            <a:ext uri="{FF2B5EF4-FFF2-40B4-BE49-F238E27FC236}">
              <a16:creationId xmlns:a16="http://schemas.microsoft.com/office/drawing/2014/main" id="{F134EC21-461E-8C44-8B79-87589DCD201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23874" cy="533399"/>
        </a:xfrm>
        <a:prstGeom prst="rect">
          <a:avLst/>
        </a:prstGeom>
      </xdr:spPr>
    </xdr:pic>
    <xdr:clientData/>
  </xdr:twoCellAnchor>
  <xdr:twoCellAnchor editAs="oneCell">
    <xdr:from>
      <xdr:col>3</xdr:col>
      <xdr:colOff>1220162</xdr:colOff>
      <xdr:row>0</xdr:row>
      <xdr:rowOff>1540</xdr:rowOff>
    </xdr:from>
    <xdr:to>
      <xdr:col>4</xdr:col>
      <xdr:colOff>2184</xdr:colOff>
      <xdr:row>2</xdr:row>
      <xdr:rowOff>17414</xdr:rowOff>
    </xdr:to>
    <xdr:pic>
      <xdr:nvPicPr>
        <xdr:cNvPr id="3" name="Picture 2">
          <a:extLst>
            <a:ext uri="{FF2B5EF4-FFF2-40B4-BE49-F238E27FC236}">
              <a16:creationId xmlns:a16="http://schemas.microsoft.com/office/drawing/2014/main" id="{7B2F101F-17D1-0746-B8C2-EB41B75971C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844617" y="1540"/>
          <a:ext cx="522499" cy="53541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527049</xdr:colOff>
      <xdr:row>2</xdr:row>
      <xdr:rowOff>3174</xdr:rowOff>
    </xdr:to>
    <xdr:pic>
      <xdr:nvPicPr>
        <xdr:cNvPr id="2" name="Picture 1">
          <a:extLst>
            <a:ext uri="{FF2B5EF4-FFF2-40B4-BE49-F238E27FC236}">
              <a16:creationId xmlns:a16="http://schemas.microsoft.com/office/drawing/2014/main" id="{873696D2-CCD2-4A4F-93C4-F695840FDFB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23874" cy="533399"/>
        </a:xfrm>
        <a:prstGeom prst="rect">
          <a:avLst/>
        </a:prstGeom>
      </xdr:spPr>
    </xdr:pic>
    <xdr:clientData/>
  </xdr:twoCellAnchor>
  <xdr:twoCellAnchor editAs="oneCell">
    <xdr:from>
      <xdr:col>5</xdr:col>
      <xdr:colOff>1207559</xdr:colOff>
      <xdr:row>0</xdr:row>
      <xdr:rowOff>0</xdr:rowOff>
    </xdr:from>
    <xdr:to>
      <xdr:col>6</xdr:col>
      <xdr:colOff>1059</xdr:colOff>
      <xdr:row>2</xdr:row>
      <xdr:rowOff>2116</xdr:rowOff>
    </xdr:to>
    <xdr:pic>
      <xdr:nvPicPr>
        <xdr:cNvPr id="3" name="Picture 2">
          <a:extLst>
            <a:ext uri="{FF2B5EF4-FFF2-40B4-BE49-F238E27FC236}">
              <a16:creationId xmlns:a16="http://schemas.microsoft.com/office/drawing/2014/main" id="{76F7CB95-4591-4541-94FA-8CCA74F580C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821459" y="0"/>
          <a:ext cx="529166" cy="53234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10502</xdr:colOff>
      <xdr:row>0</xdr:row>
      <xdr:rowOff>0</xdr:rowOff>
    </xdr:from>
    <xdr:to>
      <xdr:col>0</xdr:col>
      <xdr:colOff>540726</xdr:colOff>
      <xdr:row>2</xdr:row>
      <xdr:rowOff>731</xdr:rowOff>
    </xdr:to>
    <xdr:pic>
      <xdr:nvPicPr>
        <xdr:cNvPr id="2" name="Picture 1">
          <a:extLst>
            <a:ext uri="{FF2B5EF4-FFF2-40B4-BE49-F238E27FC236}">
              <a16:creationId xmlns:a16="http://schemas.microsoft.com/office/drawing/2014/main" id="{093462EF-14EC-FC4C-B396-4E74E092CAA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502" y="0"/>
          <a:ext cx="527049" cy="513616"/>
        </a:xfrm>
        <a:prstGeom prst="rect">
          <a:avLst/>
        </a:prstGeom>
      </xdr:spPr>
    </xdr:pic>
    <xdr:clientData/>
  </xdr:twoCellAnchor>
  <xdr:twoCellAnchor editAs="oneCell">
    <xdr:from>
      <xdr:col>4</xdr:col>
      <xdr:colOff>2006111</xdr:colOff>
      <xdr:row>0</xdr:row>
      <xdr:rowOff>5862</xdr:rowOff>
    </xdr:from>
    <xdr:to>
      <xdr:col>5</xdr:col>
      <xdr:colOff>2197</xdr:colOff>
      <xdr:row>2</xdr:row>
      <xdr:rowOff>9768</xdr:rowOff>
    </xdr:to>
    <xdr:pic>
      <xdr:nvPicPr>
        <xdr:cNvPr id="4" name="Picture 3">
          <a:extLst>
            <a:ext uri="{FF2B5EF4-FFF2-40B4-BE49-F238E27FC236}">
              <a16:creationId xmlns:a16="http://schemas.microsoft.com/office/drawing/2014/main" id="{0DFEBD02-0ED6-493D-9CE6-018AA50F5CD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314842" y="5862"/>
          <a:ext cx="523874" cy="51361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485775</xdr:colOff>
      <xdr:row>1</xdr:row>
      <xdr:rowOff>219075</xdr:rowOff>
    </xdr:to>
    <xdr:pic>
      <xdr:nvPicPr>
        <xdr:cNvPr id="3" name="Picture 2">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485775" cy="485775"/>
        </a:xfrm>
        <a:prstGeom prst="rect">
          <a:avLst/>
        </a:prstGeom>
      </xdr:spPr>
    </xdr:pic>
    <xdr:clientData/>
  </xdr:twoCellAnchor>
  <xdr:twoCellAnchor editAs="oneCell">
    <xdr:from>
      <xdr:col>11</xdr:col>
      <xdr:colOff>1081768</xdr:colOff>
      <xdr:row>0</xdr:row>
      <xdr:rowOff>566</xdr:rowOff>
    </xdr:from>
    <xdr:to>
      <xdr:col>12</xdr:col>
      <xdr:colOff>2115</xdr:colOff>
      <xdr:row>2</xdr:row>
      <xdr:rowOff>213</xdr:rowOff>
    </xdr:to>
    <xdr:pic>
      <xdr:nvPicPr>
        <xdr:cNvPr id="4" name="Picture 3">
          <a:extLst>
            <a:ext uri="{FF2B5EF4-FFF2-40B4-BE49-F238E27FC236}">
              <a16:creationId xmlns:a16="http://schemas.microsoft.com/office/drawing/2014/main" id="{00000000-0008-0000-06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6825232" y="566"/>
          <a:ext cx="525839" cy="518986"/>
        </a:xfrm>
        <a:prstGeom prst="rect">
          <a:avLst/>
        </a:prstGeom>
      </xdr:spPr>
    </xdr:pic>
    <xdr:clientData/>
  </xdr:twoCellAnchor>
  <xdr:twoCellAnchor editAs="oneCell">
    <xdr:from>
      <xdr:col>0</xdr:col>
      <xdr:colOff>6804</xdr:colOff>
      <xdr:row>0</xdr:row>
      <xdr:rowOff>9979</xdr:rowOff>
    </xdr:from>
    <xdr:to>
      <xdr:col>0</xdr:col>
      <xdr:colOff>543832</xdr:colOff>
      <xdr:row>1</xdr:row>
      <xdr:rowOff>244929</xdr:rowOff>
    </xdr:to>
    <xdr:pic>
      <xdr:nvPicPr>
        <xdr:cNvPr id="5" name="Picture 4">
          <a:extLst>
            <a:ext uri="{FF2B5EF4-FFF2-40B4-BE49-F238E27FC236}">
              <a16:creationId xmlns:a16="http://schemas.microsoft.com/office/drawing/2014/main" id="{48D1BF8A-46DB-F447-93C7-69338A702F1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804" y="9979"/>
          <a:ext cx="530678" cy="50028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850</xdr:colOff>
      <xdr:row>0</xdr:row>
      <xdr:rowOff>0</xdr:rowOff>
    </xdr:from>
    <xdr:to>
      <xdr:col>0</xdr:col>
      <xdr:colOff>488156</xdr:colOff>
      <xdr:row>1</xdr:row>
      <xdr:rowOff>220235</xdr:rowOff>
    </xdr:to>
    <xdr:pic>
      <xdr:nvPicPr>
        <xdr:cNvPr id="5" name="Picture 4">
          <a:extLst>
            <a:ext uri="{FF2B5EF4-FFF2-40B4-BE49-F238E27FC236}">
              <a16:creationId xmlns:a16="http://schemas.microsoft.com/office/drawing/2014/main" id="{BBA94E61-7075-46E4-8DED-BE40F6FAA12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0" y="0"/>
          <a:ext cx="487306" cy="476219"/>
        </a:xfrm>
        <a:prstGeom prst="rect">
          <a:avLst/>
        </a:prstGeom>
      </xdr:spPr>
    </xdr:pic>
    <xdr:clientData/>
  </xdr:twoCellAnchor>
  <xdr:twoCellAnchor editAs="oneCell">
    <xdr:from>
      <xdr:col>5</xdr:col>
      <xdr:colOff>991394</xdr:colOff>
      <xdr:row>0</xdr:row>
      <xdr:rowOff>0</xdr:rowOff>
    </xdr:from>
    <xdr:to>
      <xdr:col>5</xdr:col>
      <xdr:colOff>1475525</xdr:colOff>
      <xdr:row>1</xdr:row>
      <xdr:rowOff>217060</xdr:rowOff>
    </xdr:to>
    <xdr:pic>
      <xdr:nvPicPr>
        <xdr:cNvPr id="7" name="Picture 6">
          <a:extLst>
            <a:ext uri="{FF2B5EF4-FFF2-40B4-BE49-F238E27FC236}">
              <a16:creationId xmlns:a16="http://schemas.microsoft.com/office/drawing/2014/main" id="{934AFDA2-E42F-4DEB-9D38-CD8F07601A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879535" y="0"/>
          <a:ext cx="484131" cy="47304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xdr:colOff>
      <xdr:row>0</xdr:row>
      <xdr:rowOff>2</xdr:rowOff>
    </xdr:from>
    <xdr:to>
      <xdr:col>0</xdr:col>
      <xdr:colOff>448235</xdr:colOff>
      <xdr:row>1</xdr:row>
      <xdr:rowOff>187694</xdr:rowOff>
    </xdr:to>
    <xdr:pic>
      <xdr:nvPicPr>
        <xdr:cNvPr id="2" name="Picture 1">
          <a:extLst>
            <a:ext uri="{FF2B5EF4-FFF2-40B4-BE49-F238E27FC236}">
              <a16:creationId xmlns:a16="http://schemas.microsoft.com/office/drawing/2014/main" id="{87464BF6-F485-AF40-BAEE-9C4FF32487D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2"/>
          <a:ext cx="448234" cy="453178"/>
        </a:xfrm>
        <a:prstGeom prst="rect">
          <a:avLst/>
        </a:prstGeom>
      </xdr:spPr>
    </xdr:pic>
    <xdr:clientData/>
  </xdr:twoCellAnchor>
  <xdr:twoCellAnchor editAs="oneCell">
    <xdr:from>
      <xdr:col>43</xdr:col>
      <xdr:colOff>844149</xdr:colOff>
      <xdr:row>0</xdr:row>
      <xdr:rowOff>2</xdr:rowOff>
    </xdr:from>
    <xdr:to>
      <xdr:col>44</xdr:col>
      <xdr:colOff>7409</xdr:colOff>
      <xdr:row>2</xdr:row>
      <xdr:rowOff>1371</xdr:rowOff>
    </xdr:to>
    <xdr:pic>
      <xdr:nvPicPr>
        <xdr:cNvPr id="3" name="Picture 2">
          <a:extLst>
            <a:ext uri="{FF2B5EF4-FFF2-40B4-BE49-F238E27FC236}">
              <a16:creationId xmlns:a16="http://schemas.microsoft.com/office/drawing/2014/main" id="{23FF27F8-D4C5-F943-9DD6-F66650532A2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5428303" y="2"/>
          <a:ext cx="451252" cy="455238"/>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8188</xdr:colOff>
      <xdr:row>0</xdr:row>
      <xdr:rowOff>0</xdr:rowOff>
    </xdr:from>
    <xdr:to>
      <xdr:col>0</xdr:col>
      <xdr:colOff>503961</xdr:colOff>
      <xdr:row>1</xdr:row>
      <xdr:rowOff>245645</xdr:rowOff>
    </xdr:to>
    <xdr:pic>
      <xdr:nvPicPr>
        <xdr:cNvPr id="5" name="Picture 4">
          <a:extLst>
            <a:ext uri="{FF2B5EF4-FFF2-40B4-BE49-F238E27FC236}">
              <a16:creationId xmlns:a16="http://schemas.microsoft.com/office/drawing/2014/main" id="{158F66A1-847E-471E-9AFA-889C045FBD0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188" y="0"/>
          <a:ext cx="492598" cy="501316"/>
        </a:xfrm>
        <a:prstGeom prst="rect">
          <a:avLst/>
        </a:prstGeom>
      </xdr:spPr>
    </xdr:pic>
    <xdr:clientData/>
  </xdr:twoCellAnchor>
  <xdr:twoCellAnchor editAs="oneCell">
    <xdr:from>
      <xdr:col>35</xdr:col>
      <xdr:colOff>330868</xdr:colOff>
      <xdr:row>0</xdr:row>
      <xdr:rowOff>0</xdr:rowOff>
    </xdr:from>
    <xdr:to>
      <xdr:col>35</xdr:col>
      <xdr:colOff>830317</xdr:colOff>
      <xdr:row>1</xdr:row>
      <xdr:rowOff>245645</xdr:rowOff>
    </xdr:to>
    <xdr:pic>
      <xdr:nvPicPr>
        <xdr:cNvPr id="6" name="Picture 5">
          <a:extLst>
            <a:ext uri="{FF2B5EF4-FFF2-40B4-BE49-F238E27FC236}">
              <a16:creationId xmlns:a16="http://schemas.microsoft.com/office/drawing/2014/main" id="{8D4ADF10-387A-4C9D-8F61-5307921AE4C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5157276" y="0"/>
          <a:ext cx="496274" cy="50131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12700</xdr:colOff>
      <xdr:row>0</xdr:row>
      <xdr:rowOff>0</xdr:rowOff>
    </xdr:from>
    <xdr:to>
      <xdr:col>0</xdr:col>
      <xdr:colOff>542925</xdr:colOff>
      <xdr:row>2</xdr:row>
      <xdr:rowOff>0</xdr:rowOff>
    </xdr:to>
    <xdr:pic>
      <xdr:nvPicPr>
        <xdr:cNvPr id="2" name="Picture 1">
          <a:extLst>
            <a:ext uri="{FF2B5EF4-FFF2-40B4-BE49-F238E27FC236}">
              <a16:creationId xmlns:a16="http://schemas.microsoft.com/office/drawing/2014/main" id="{5CB38627-3510-0E44-9318-1040685AA70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700" y="0"/>
          <a:ext cx="530225" cy="546100"/>
        </a:xfrm>
        <a:prstGeom prst="rect">
          <a:avLst/>
        </a:prstGeom>
      </xdr:spPr>
    </xdr:pic>
    <xdr:clientData/>
  </xdr:twoCellAnchor>
  <xdr:oneCellAnchor>
    <xdr:from>
      <xdr:col>17</xdr:col>
      <xdr:colOff>846818</xdr:colOff>
      <xdr:row>0</xdr:row>
      <xdr:rowOff>0</xdr:rowOff>
    </xdr:from>
    <xdr:ext cx="523573" cy="509966"/>
    <xdr:pic>
      <xdr:nvPicPr>
        <xdr:cNvPr id="3" name="Picture 2">
          <a:extLst>
            <a:ext uri="{FF2B5EF4-FFF2-40B4-BE49-F238E27FC236}">
              <a16:creationId xmlns:a16="http://schemas.microsoft.com/office/drawing/2014/main" id="{02F0C9F6-4663-0543-A749-4010C2986AA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1166818" y="0"/>
          <a:ext cx="523573" cy="509966"/>
        </a:xfrm>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0</xdr:col>
      <xdr:colOff>514633</xdr:colOff>
      <xdr:row>1</xdr:row>
      <xdr:rowOff>253588</xdr:rowOff>
    </xdr:to>
    <xdr:pic>
      <xdr:nvPicPr>
        <xdr:cNvPr id="3" name="Picture 2">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514633" cy="513360"/>
        </a:xfrm>
        <a:prstGeom prst="rect">
          <a:avLst/>
        </a:prstGeom>
      </xdr:spPr>
    </xdr:pic>
    <xdr:clientData/>
  </xdr:twoCellAnchor>
  <xdr:twoCellAnchor editAs="oneCell">
    <xdr:from>
      <xdr:col>13</xdr:col>
      <xdr:colOff>664811</xdr:colOff>
      <xdr:row>0</xdr:row>
      <xdr:rowOff>1</xdr:rowOff>
    </xdr:from>
    <xdr:to>
      <xdr:col>13</xdr:col>
      <xdr:colOff>1177758</xdr:colOff>
      <xdr:row>1</xdr:row>
      <xdr:rowOff>254069</xdr:rowOff>
    </xdr:to>
    <xdr:pic>
      <xdr:nvPicPr>
        <xdr:cNvPr id="4" name="Picture 3">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323415" y="1"/>
          <a:ext cx="512947" cy="51384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eprojectbuilder.lbl.gov/home/"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8" Type="http://schemas.openxmlformats.org/officeDocument/2006/relationships/hyperlink" Target="http://www.epa.gov/climatechange/emissions/downloads09/GHG-MRR-Full%20Version.pdf" TargetMode="External"/><Relationship Id="rId13" Type="http://schemas.openxmlformats.org/officeDocument/2006/relationships/hyperlink" Target="http://www.epa.gov/climateleadership/documents/emission-factors.pdf" TargetMode="External"/><Relationship Id="rId3" Type="http://schemas.openxmlformats.org/officeDocument/2006/relationships/hyperlink" Target="http://www.epa.gov/climatechange/emissions/downloads09/GHG-MRR-Full%20Version.pdf" TargetMode="External"/><Relationship Id="rId7" Type="http://schemas.openxmlformats.org/officeDocument/2006/relationships/hyperlink" Target="http://www.epa.gov/climatechange/emissions/downloads09/GHG-MRR-Full%20Version.pdf" TargetMode="External"/><Relationship Id="rId12" Type="http://schemas.openxmlformats.org/officeDocument/2006/relationships/hyperlink" Target="http://www.epa.gov/ghgreporting/documents/pdf/2009/GHG-MRR-FinalRule.pdf" TargetMode="External"/><Relationship Id="rId2" Type="http://schemas.openxmlformats.org/officeDocument/2006/relationships/hyperlink" Target="http://www.epa.gov/climatechange/emissions/downloads09/GHG-MRR-Full%20Version.pdf" TargetMode="External"/><Relationship Id="rId16" Type="http://schemas.openxmlformats.org/officeDocument/2006/relationships/comments" Target="../comments1.xml"/><Relationship Id="rId1" Type="http://schemas.openxmlformats.org/officeDocument/2006/relationships/hyperlink" Target="http://www.epa.gov/climateleadership/documents/emission-factors.pdf" TargetMode="External"/><Relationship Id="rId6" Type="http://schemas.openxmlformats.org/officeDocument/2006/relationships/hyperlink" Target="http://www.epa.gov/climatechange/emissions/downloads09/GHG-MRR-Full%20Version.pdf" TargetMode="External"/><Relationship Id="rId11" Type="http://schemas.openxmlformats.org/officeDocument/2006/relationships/hyperlink" Target="http://www.epa.gov/ghgreporting/documents/pdf/2009/GHG-MRR-FinalRule.pdf" TargetMode="External"/><Relationship Id="rId5" Type="http://schemas.openxmlformats.org/officeDocument/2006/relationships/hyperlink" Target="http://www.epa.gov/climatechange/emissions/downloads09/GHG-MRR-Full%20Version.pdf" TargetMode="External"/><Relationship Id="rId15" Type="http://schemas.openxmlformats.org/officeDocument/2006/relationships/vmlDrawing" Target="../drawings/vmlDrawing1.vml"/><Relationship Id="rId10" Type="http://schemas.openxmlformats.org/officeDocument/2006/relationships/hyperlink" Target="http://www.epa.gov/climatechange/emissions/downloads09/GHG-MRR-Full%20Version.pdf" TargetMode="External"/><Relationship Id="rId4" Type="http://schemas.openxmlformats.org/officeDocument/2006/relationships/hyperlink" Target="http://www.epa.gov/climatechange/emissions/downloads09/GHG-MRR-Full%20Version.pdf" TargetMode="External"/><Relationship Id="rId9" Type="http://schemas.openxmlformats.org/officeDocument/2006/relationships/hyperlink" Target="http://www.epa.gov/climatechange/emissions/downloads09/GHG-MRR-Full%20Version.pdf" TargetMode="External"/><Relationship Id="rId14" Type="http://schemas.openxmlformats.org/officeDocument/2006/relationships/hyperlink" Target="http://www.epa.gov/climateleadership/documents/emission-factors.pdf"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dimension ref="A1:D24"/>
  <sheetViews>
    <sheetView zoomScale="90" zoomScaleNormal="90" workbookViewId="0">
      <selection sqref="A1:C1"/>
    </sheetView>
  </sheetViews>
  <sheetFormatPr defaultColWidth="11" defaultRowHeight="15.5"/>
  <cols>
    <col min="1" max="1" width="39.5" customWidth="1"/>
    <col min="2" max="2" width="30.1640625" customWidth="1"/>
    <col min="3" max="3" width="145.6640625" customWidth="1"/>
    <col min="4" max="4" width="30" customWidth="1"/>
  </cols>
  <sheetData>
    <row r="1" spans="1:4" ht="44" customHeight="1">
      <c r="A1" s="400" t="s">
        <v>284</v>
      </c>
      <c r="B1" s="400"/>
      <c r="C1" s="400"/>
    </row>
    <row r="2" spans="1:4">
      <c r="A2" s="144" t="s">
        <v>254</v>
      </c>
      <c r="B2" s="144" t="s">
        <v>255</v>
      </c>
      <c r="C2" s="145" t="s">
        <v>190</v>
      </c>
    </row>
    <row r="3" spans="1:4" ht="32">
      <c r="A3" s="401" t="s">
        <v>261</v>
      </c>
      <c r="B3" s="403" t="s">
        <v>256</v>
      </c>
      <c r="C3" s="163" t="s">
        <v>266</v>
      </c>
    </row>
    <row r="4" spans="1:4" ht="16">
      <c r="A4" s="401"/>
      <c r="B4" s="404"/>
      <c r="C4" s="164" t="s">
        <v>243</v>
      </c>
    </row>
    <row r="5" spans="1:4" ht="16">
      <c r="A5" s="401"/>
      <c r="B5" s="404"/>
      <c r="C5" s="164" t="s">
        <v>244</v>
      </c>
    </row>
    <row r="6" spans="1:4" ht="16">
      <c r="A6" s="401"/>
      <c r="B6" s="404"/>
      <c r="C6" s="164" t="s">
        <v>245</v>
      </c>
    </row>
    <row r="7" spans="1:4" ht="16">
      <c r="A7" s="401"/>
      <c r="B7" s="404"/>
      <c r="C7" s="164" t="s">
        <v>246</v>
      </c>
    </row>
    <row r="8" spans="1:4" ht="16">
      <c r="A8" s="401"/>
      <c r="B8" s="404"/>
      <c r="C8" s="164" t="s">
        <v>247</v>
      </c>
    </row>
    <row r="9" spans="1:4" ht="48">
      <c r="A9" s="161" t="s">
        <v>248</v>
      </c>
      <c r="B9" s="159" t="s">
        <v>256</v>
      </c>
      <c r="C9" s="143" t="s">
        <v>272</v>
      </c>
    </row>
    <row r="10" spans="1:4" ht="93.75" customHeight="1">
      <c r="A10" s="161" t="s">
        <v>250</v>
      </c>
      <c r="B10" s="160" t="s">
        <v>280</v>
      </c>
      <c r="C10" s="143" t="s">
        <v>285</v>
      </c>
      <c r="D10" s="148"/>
    </row>
    <row r="11" spans="1:4" ht="48">
      <c r="A11" s="162" t="s">
        <v>251</v>
      </c>
      <c r="B11" s="157" t="s">
        <v>271</v>
      </c>
      <c r="C11" s="158" t="s">
        <v>279</v>
      </c>
    </row>
    <row r="12" spans="1:4" ht="48">
      <c r="A12" s="162" t="s">
        <v>297</v>
      </c>
      <c r="B12" s="157" t="s">
        <v>311</v>
      </c>
      <c r="C12" s="158" t="s">
        <v>300</v>
      </c>
    </row>
    <row r="13" spans="1:4" ht="48">
      <c r="A13" s="162" t="s">
        <v>298</v>
      </c>
      <c r="B13" s="157" t="s">
        <v>311</v>
      </c>
      <c r="C13" s="158" t="s">
        <v>301</v>
      </c>
    </row>
    <row r="14" spans="1:4" ht="32">
      <c r="A14" s="161" t="s">
        <v>252</v>
      </c>
      <c r="B14" s="159" t="s">
        <v>256</v>
      </c>
      <c r="C14" s="143" t="s">
        <v>273</v>
      </c>
      <c r="D14" s="148"/>
    </row>
    <row r="15" spans="1:4" ht="32">
      <c r="A15" s="161" t="s">
        <v>262</v>
      </c>
      <c r="B15" s="160" t="s">
        <v>281</v>
      </c>
      <c r="C15" s="152" t="s">
        <v>274</v>
      </c>
    </row>
    <row r="16" spans="1:4" ht="16">
      <c r="A16" s="402" t="s">
        <v>253</v>
      </c>
      <c r="B16" s="405" t="s">
        <v>256</v>
      </c>
      <c r="C16" s="143" t="s">
        <v>275</v>
      </c>
    </row>
    <row r="17" spans="1:3" ht="48">
      <c r="A17" s="402"/>
      <c r="B17" s="406"/>
      <c r="C17" s="143" t="s">
        <v>276</v>
      </c>
    </row>
    <row r="18" spans="1:3" ht="48">
      <c r="A18" s="402"/>
      <c r="B18" s="406"/>
      <c r="C18" s="143" t="s">
        <v>249</v>
      </c>
    </row>
    <row r="19" spans="1:3" ht="48">
      <c r="A19" s="161" t="s">
        <v>263</v>
      </c>
      <c r="B19" s="159" t="s">
        <v>256</v>
      </c>
      <c r="C19" s="150" t="s">
        <v>277</v>
      </c>
    </row>
    <row r="20" spans="1:3" ht="48">
      <c r="A20" s="161" t="s">
        <v>496</v>
      </c>
      <c r="B20" s="159" t="s">
        <v>256</v>
      </c>
      <c r="C20" s="150" t="s">
        <v>497</v>
      </c>
    </row>
    <row r="21" spans="1:3" ht="32">
      <c r="A21" s="161" t="s">
        <v>264</v>
      </c>
      <c r="B21" s="151" t="s">
        <v>265</v>
      </c>
      <c r="C21" s="143" t="s">
        <v>278</v>
      </c>
    </row>
    <row r="22" spans="1:3" s="1" customFormat="1" ht="16">
      <c r="A22" s="399" t="s">
        <v>260</v>
      </c>
      <c r="B22" s="399"/>
      <c r="C22" s="399"/>
    </row>
    <row r="24" spans="1:3">
      <c r="C24" s="149"/>
    </row>
  </sheetData>
  <sheetProtection algorithmName="SHA-512" hashValue="A3hv+QyVSSQ4xWi4pa+5+tnCzkUW1tC1Y4k4pzezf2FWMZJRHs0pCwDD1Hv9VbeAidQsyfaOuLpaS45NgMIc4Q==" saltValue="fDkDumG6x0e08r25bca51g==" spinCount="100000" sheet="1" objects="1" scenarios="1"/>
  <mergeCells count="6">
    <mergeCell ref="A22:C22"/>
    <mergeCell ref="A1:C1"/>
    <mergeCell ref="A3:A8"/>
    <mergeCell ref="A16:A18"/>
    <mergeCell ref="B3:B8"/>
    <mergeCell ref="B16:B18"/>
  </mergeCells>
  <phoneticPr fontId="5" type="noConversion"/>
  <hyperlinks>
    <hyperlink ref="A22" r:id="rId1" location="/help" display="/help" xr:uid="{00000000-0004-0000-0000-000000000000}"/>
    <hyperlink ref="A3:A8" location="'Summary Schedule'!A1" display="Summary Schedule" xr:uid="{00000000-0004-0000-0000-000001000000}"/>
    <hyperlink ref="A9" location="'Annual Escalation Rates'!A1" display="Annual Escalation Rates" xr:uid="{00000000-0004-0000-0000-000002000000}"/>
    <hyperlink ref="A10" location="'Sch1-Ann Cost Sav &amp; Pymts'!A1" display="Sch1-Ann Cost Sav &amp; Pymts" xr:uid="{00000000-0004-0000-0000-000003000000}"/>
    <hyperlink ref="A11" location="'Sch1u-Ann Cost Sav &amp; Pymts-UESC'!A1" display="Sch1u-Ann Cost Sav &amp; Pymts-UESC" xr:uid="{00000000-0004-0000-0000-000004000000}"/>
    <hyperlink ref="A14" location="'Sch2a-Imp Price by ECM'!A1" display="Sch2a-Imp Price by ECM" xr:uid="{00000000-0004-0000-0000-000005000000}"/>
    <hyperlink ref="A15" location="'Sch2b-Project Imp Pricing'!A1" display="Sch2b-Project Imp Pricing" xr:uid="{00000000-0004-0000-0000-000006000000}"/>
    <hyperlink ref="A16:A18" location="'Sch3-Perf Period Cash Flow'!A1" display="Sch3-Perf Period Cash Flow" xr:uid="{00000000-0004-0000-0000-000007000000}"/>
    <hyperlink ref="A19" location="'Sch4-Cost Savings by ECM'!A1" display="Sch4-Cost Savings by ECM" xr:uid="{00000000-0004-0000-0000-000008000000}"/>
    <hyperlink ref="A21" location="'Sch5-Cancellation Ceilings'!A1" display="Sch5-Cancellation Ceilings" xr:uid="{00000000-0004-0000-0000-000009000000}"/>
    <hyperlink ref="A20" location="'Sch4g-GHG'!A1" display="Sch4g-GHG" xr:uid="{9A07C436-8576-5A49-B188-891528FFAA37}"/>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1AD505-0F89-CB4F-A3CA-BC97F970B5D7}">
  <sheetPr codeName="Sheet1">
    <pageSetUpPr fitToPage="1"/>
  </sheetPr>
  <dimension ref="A1:V54"/>
  <sheetViews>
    <sheetView tabSelected="1" zoomScale="90" zoomScaleNormal="90" workbookViewId="0">
      <selection sqref="A1:G1"/>
    </sheetView>
  </sheetViews>
  <sheetFormatPr defaultColWidth="11" defaultRowHeight="16"/>
  <cols>
    <col min="1" max="1" width="24.6640625" style="16" customWidth="1"/>
    <col min="2" max="2" width="34" style="16" customWidth="1"/>
    <col min="3" max="3" width="31.83203125" style="16" customWidth="1"/>
    <col min="4" max="4" width="25" style="16" customWidth="1"/>
    <col min="5" max="5" width="21.83203125" style="16" customWidth="1"/>
    <col min="6" max="6" width="32.33203125" style="16" customWidth="1"/>
    <col min="7" max="7" width="39.33203125" style="16" customWidth="1"/>
    <col min="8" max="8" width="14.1640625" style="16" customWidth="1"/>
    <col min="9" max="10" width="11" style="16" customWidth="1"/>
    <col min="11" max="16384" width="11" style="16"/>
  </cols>
  <sheetData>
    <row r="1" spans="1:22" ht="20">
      <c r="A1" s="400" t="str">
        <f>"SUMMARY SCHEDULE"</f>
        <v>SUMMARY SCHEDULE</v>
      </c>
      <c r="B1" s="400"/>
      <c r="C1" s="400"/>
      <c r="D1" s="400"/>
      <c r="E1" s="400"/>
      <c r="F1" s="400"/>
      <c r="G1" s="400"/>
      <c r="H1" s="227"/>
      <c r="I1" s="84"/>
      <c r="J1" s="84"/>
    </row>
    <row r="2" spans="1:22" ht="20.5" thickBot="1">
      <c r="A2" s="400" t="s">
        <v>55</v>
      </c>
      <c r="B2" s="400"/>
      <c r="C2" s="400"/>
      <c r="D2" s="400"/>
      <c r="E2" s="400"/>
      <c r="F2" s="400"/>
      <c r="G2" s="400"/>
      <c r="H2" s="227"/>
      <c r="I2" s="84"/>
      <c r="J2" s="84"/>
    </row>
    <row r="3" spans="1:22" ht="18" thickBot="1">
      <c r="A3" s="228"/>
      <c r="B3" s="34"/>
      <c r="C3" s="34"/>
      <c r="D3" s="34"/>
      <c r="E3" s="34"/>
      <c r="F3" s="34"/>
      <c r="G3" s="34"/>
      <c r="H3" s="156"/>
      <c r="I3" s="84"/>
      <c r="J3" s="84"/>
    </row>
    <row r="4" spans="1:22" ht="59" customHeight="1" thickBot="1">
      <c r="A4" s="229" t="s">
        <v>270</v>
      </c>
      <c r="B4" s="230" t="s">
        <v>314</v>
      </c>
      <c r="C4" s="140"/>
      <c r="D4" s="328" t="str">
        <f>IF(C4="ESA", IF((COUNTIF('Sch2a-Imp Price by ECM'!C9:C258,"Yes")&gt;0),"","At least one ECM must be marked as an ESA on Schedule 2a, and isn't currently"),"")</f>
        <v/>
      </c>
      <c r="E4" s="155"/>
      <c r="F4" s="155"/>
      <c r="G4" s="155"/>
      <c r="H4" s="156"/>
      <c r="I4" s="84"/>
      <c r="J4" s="84"/>
    </row>
    <row r="5" spans="1:22" ht="18" thickBot="1">
      <c r="A5" s="39"/>
      <c r="B5" s="155"/>
      <c r="C5" s="155"/>
      <c r="D5" s="155"/>
      <c r="E5" s="155"/>
      <c r="F5" s="155"/>
      <c r="G5" s="155"/>
      <c r="H5" s="156"/>
      <c r="I5" s="84"/>
      <c r="J5" s="84"/>
    </row>
    <row r="6" spans="1:22" ht="18" thickBot="1">
      <c r="A6" s="409" t="s">
        <v>63</v>
      </c>
      <c r="B6" s="231" t="s">
        <v>152</v>
      </c>
      <c r="C6" s="35" t="s">
        <v>153</v>
      </c>
      <c r="D6" s="35" t="s">
        <v>154</v>
      </c>
      <c r="E6" s="35" t="s">
        <v>155</v>
      </c>
      <c r="F6" s="35" t="s">
        <v>156</v>
      </c>
      <c r="G6" s="232" t="s">
        <v>157</v>
      </c>
      <c r="H6" s="233"/>
      <c r="I6" s="233"/>
    </row>
    <row r="7" spans="1:22" ht="42.75" customHeight="1" thickBot="1">
      <c r="A7" s="410"/>
      <c r="B7" s="322" t="s">
        <v>324</v>
      </c>
      <c r="C7" s="129"/>
      <c r="D7" s="235"/>
      <c r="E7" s="118"/>
      <c r="F7" s="119"/>
      <c r="G7" s="236"/>
      <c r="H7" s="233"/>
      <c r="I7" s="233"/>
    </row>
    <row r="8" spans="1:22" ht="42.75" customHeight="1" thickBot="1">
      <c r="A8" s="410"/>
      <c r="B8" s="237" t="s">
        <v>325</v>
      </c>
      <c r="C8" s="320"/>
      <c r="D8" s="320"/>
      <c r="E8" s="320"/>
      <c r="F8" s="321"/>
      <c r="G8" s="241"/>
      <c r="H8" s="233"/>
      <c r="I8" s="233"/>
    </row>
    <row r="9" spans="1:22" ht="41.25" customHeight="1" thickBot="1">
      <c r="A9" s="410"/>
      <c r="B9" s="238" t="str">
        <f>IF(C4="UESC", "Utility","Contractor")</f>
        <v>Contractor</v>
      </c>
      <c r="C9" s="124"/>
      <c r="D9" s="124"/>
      <c r="E9" s="124"/>
      <c r="F9" s="239"/>
      <c r="G9" s="240"/>
      <c r="H9" s="233"/>
      <c r="I9" s="233"/>
    </row>
    <row r="10" spans="1:22" ht="45" customHeight="1" thickBot="1">
      <c r="A10" s="410"/>
      <c r="B10" s="238" t="str">
        <f>IF(C4="UESC", "Primary FEMP Contact","Finance Specialist")</f>
        <v>Finance Specialist</v>
      </c>
      <c r="C10" s="239"/>
      <c r="D10" s="124"/>
      <c r="E10" s="124"/>
      <c r="F10" s="119"/>
      <c r="G10" s="240"/>
      <c r="H10" s="233"/>
    </row>
    <row r="11" spans="1:22" ht="40.5" customHeight="1" thickBot="1">
      <c r="A11" s="410"/>
      <c r="B11" s="238" t="s">
        <v>326</v>
      </c>
      <c r="C11" s="239"/>
      <c r="D11" s="124"/>
      <c r="E11" s="124"/>
      <c r="F11" s="119"/>
      <c r="G11" s="241"/>
      <c r="H11" s="233"/>
      <c r="V11" s="16" t="s">
        <v>315</v>
      </c>
    </row>
    <row r="12" spans="1:22" ht="18" thickBot="1">
      <c r="A12" s="39"/>
      <c r="B12" s="155"/>
      <c r="C12" s="155"/>
      <c r="D12" s="155"/>
      <c r="E12" s="155"/>
      <c r="F12" s="155"/>
      <c r="G12" s="155"/>
      <c r="H12" s="233"/>
    </row>
    <row r="13" spans="1:22" ht="18" customHeight="1" thickBot="1">
      <c r="A13" s="409" t="s">
        <v>65</v>
      </c>
      <c r="B13" s="412" t="s">
        <v>158</v>
      </c>
      <c r="C13" s="413"/>
      <c r="D13" s="39"/>
      <c r="E13" s="39"/>
      <c r="F13" s="414" t="s">
        <v>159</v>
      </c>
      <c r="G13" s="415"/>
    </row>
    <row r="14" spans="1:22" ht="35.5" customHeight="1" thickBot="1">
      <c r="A14" s="410"/>
      <c r="B14" s="234" t="s">
        <v>136</v>
      </c>
      <c r="C14" s="242"/>
      <c r="D14" s="39"/>
      <c r="E14" s="39"/>
      <c r="F14" s="37" t="s">
        <v>148</v>
      </c>
      <c r="G14" s="243"/>
    </row>
    <row r="15" spans="1:22" ht="16.5" thickBot="1">
      <c r="A15" s="410"/>
      <c r="B15" s="234" t="s">
        <v>84</v>
      </c>
      <c r="C15" s="120"/>
      <c r="D15" s="39"/>
      <c r="E15" s="39"/>
      <c r="F15" s="244" t="s">
        <v>149</v>
      </c>
      <c r="G15" s="245"/>
    </row>
    <row r="16" spans="1:22" ht="46.5" customHeight="1" thickBot="1">
      <c r="A16" s="410"/>
      <c r="B16" s="238" t="s">
        <v>143</v>
      </c>
      <c r="C16" s="81"/>
      <c r="D16" s="39"/>
      <c r="E16" s="39"/>
      <c r="F16" s="244" t="s">
        <v>316</v>
      </c>
      <c r="G16" s="246"/>
    </row>
    <row r="17" spans="1:9" ht="18" customHeight="1" thickBot="1">
      <c r="A17" s="410"/>
      <c r="B17" s="247" t="s">
        <v>144</v>
      </c>
      <c r="C17" s="82"/>
      <c r="D17" s="39"/>
      <c r="E17" s="39"/>
      <c r="F17" s="244" t="s">
        <v>147</v>
      </c>
      <c r="G17" s="248"/>
      <c r="I17" s="249"/>
    </row>
    <row r="18" spans="1:9" ht="35.5" customHeight="1" thickBot="1">
      <c r="A18" s="410"/>
      <c r="B18" s="247" t="s">
        <v>145</v>
      </c>
      <c r="C18" s="82"/>
      <c r="D18" s="39"/>
      <c r="E18" s="39"/>
      <c r="F18" s="250" t="s">
        <v>317</v>
      </c>
      <c r="G18" s="251"/>
      <c r="I18" s="249"/>
    </row>
    <row r="19" spans="1:9" ht="47" customHeight="1" thickBot="1">
      <c r="A19" s="410"/>
      <c r="B19" s="237" t="s">
        <v>146</v>
      </c>
      <c r="C19" s="142"/>
      <c r="D19" s="39"/>
      <c r="E19" s="39"/>
      <c r="F19" s="37" t="s">
        <v>83</v>
      </c>
      <c r="G19" s="251"/>
      <c r="I19" s="249"/>
    </row>
    <row r="20" spans="1:9" ht="18" customHeight="1" thickBot="1">
      <c r="A20" s="410"/>
      <c r="B20" s="252" t="s">
        <v>318</v>
      </c>
      <c r="C20" s="253"/>
      <c r="D20" s="39"/>
      <c r="E20" s="39"/>
      <c r="F20" s="254" t="s">
        <v>319</v>
      </c>
      <c r="G20" s="251"/>
      <c r="I20" s="249"/>
    </row>
    <row r="21" spans="1:9" ht="18" customHeight="1" thickBot="1">
      <c r="A21" s="411"/>
      <c r="B21" s="255" t="s">
        <v>135</v>
      </c>
      <c r="C21" s="253"/>
      <c r="D21" s="39"/>
      <c r="E21" s="39"/>
      <c r="F21" s="254" t="s">
        <v>499</v>
      </c>
      <c r="G21" s="372"/>
      <c r="I21" s="249"/>
    </row>
    <row r="22" spans="1:9" ht="18" customHeight="1" thickBot="1">
      <c r="A22" s="411"/>
      <c r="B22" s="255" t="s">
        <v>150</v>
      </c>
      <c r="C22" s="253"/>
      <c r="D22" s="56"/>
      <c r="E22" s="39"/>
      <c r="F22" s="39"/>
      <c r="G22" s="39"/>
      <c r="I22" s="249"/>
    </row>
    <row r="23" spans="1:9">
      <c r="A23" s="416"/>
      <c r="B23" s="39"/>
      <c r="C23" s="39"/>
      <c r="D23" s="39"/>
      <c r="E23" s="39"/>
      <c r="F23" s="39"/>
      <c r="G23" s="39"/>
      <c r="I23" s="249"/>
    </row>
    <row r="24" spans="1:9" ht="16.5" thickBot="1">
      <c r="A24" s="416"/>
      <c r="B24" s="256"/>
      <c r="C24" s="257"/>
      <c r="D24" s="39"/>
      <c r="E24" s="39"/>
      <c r="F24" s="39"/>
      <c r="G24" s="39"/>
      <c r="I24" s="249"/>
    </row>
    <row r="25" spans="1:9" ht="16.5" thickBot="1">
      <c r="A25" s="409" t="str">
        <f>IF(C4="Direct-Funded","Award Date", "Costs &amp; Financials")</f>
        <v>Costs &amp; Financials</v>
      </c>
      <c r="B25" s="417" t="str">
        <f>IF(C4="Direct-Funded","", "Financing Terms")</f>
        <v>Financing Terms</v>
      </c>
      <c r="C25" s="418"/>
      <c r="D25" s="36"/>
      <c r="E25" s="39"/>
      <c r="F25" s="419" t="str">
        <f>IF(C4="Direct-Funded","", "Project Capitalization")</f>
        <v>Project Capitalization</v>
      </c>
      <c r="G25" s="420"/>
      <c r="I25" s="249"/>
    </row>
    <row r="26" spans="1:9" ht="41.5" customHeight="1" thickBot="1">
      <c r="A26" s="410"/>
      <c r="B26" s="258" t="str">
        <f>IF(C4="UESC", "Applicable Financial Index ", IF(C4="Direct-Funded","","Applicable Financial Index"))</f>
        <v>Applicable Financial Index</v>
      </c>
      <c r="C26" s="120"/>
      <c r="D26" s="39"/>
      <c r="E26" s="39"/>
      <c r="F26" s="259" t="str">
        <f>IF(C4="Direct-Funded","","Total Implementation Price (from Schedule-2a Total)")</f>
        <v>Total Implementation Price (from Schedule-2a Total)</v>
      </c>
      <c r="G26" s="260">
        <f>IF(C4="Direct-Funded", "",'Sch2a-Imp Price by ECM'!L259)</f>
        <v>0</v>
      </c>
      <c r="I26" s="249"/>
    </row>
    <row r="27" spans="1:9" ht="52.5" customHeight="1" thickBot="1">
      <c r="A27" s="410"/>
      <c r="B27" s="261" t="str">
        <f>IF(C4="UESC", "Performance Period (years) ", IF(C4="Direct-Funded","","Performance Period (years) "))</f>
        <v xml:space="preserve">Performance Period (years) </v>
      </c>
      <c r="C27" s="210"/>
      <c r="D27" s="39"/>
      <c r="E27" s="39"/>
      <c r="F27" s="262" t="str">
        <f>IF(C4="Direct-Funded","","PLUS Financing Procurement Price-capitalized construction period interest ($)")</f>
        <v>PLUS Financing Procurement Price-capitalized construction period interest ($)</v>
      </c>
      <c r="G27" s="263"/>
      <c r="I27" s="249"/>
    </row>
    <row r="28" spans="1:9" ht="35.5" customHeight="1" thickBot="1">
      <c r="A28" s="410"/>
      <c r="B28" s="264" t="str">
        <f>IF(C4="UESC", "Index Rate*", IF(C4="Direct-Funded","","Index Rate"))</f>
        <v>Index Rate</v>
      </c>
      <c r="C28" s="121"/>
      <c r="D28" s="39"/>
      <c r="E28" s="39"/>
      <c r="F28" s="262" t="str">
        <f>IF(C4="Direct-Funded","","PLUS Financing Procurement Price-other expenses ($)")</f>
        <v>PLUS Financing Procurement Price-other expenses ($)</v>
      </c>
      <c r="G28" s="263"/>
      <c r="I28" s="249"/>
    </row>
    <row r="29" spans="1:9" ht="35.5" customHeight="1" thickBot="1">
      <c r="A29" s="410"/>
      <c r="B29" s="264" t="str">
        <f>IF(C4="UESC", "Added Premium (adjusted for tax incentives)*", IF(C4="Direct-Funded","","Added Premium (adjusted for tax incentives)"))</f>
        <v>Added Premium (adjusted for tax incentives)</v>
      </c>
      <c r="C29" s="265"/>
      <c r="D29" s="39"/>
      <c r="E29" s="39"/>
      <c r="F29" s="266" t="str">
        <f>IF(C4="Direct-Funded","","LESS Implementation Period Payments (from Schedule-1, (c))")</f>
        <v>LESS Implementation Period Payments (from Schedule-1, (c))</v>
      </c>
      <c r="G29" s="267">
        <f xml:space="preserve"> IF(C4="Direct-Funded","",IF(C4="UESC",
   IF('Sch1u-Ann Cost Sav &amp; Pymts'!C6=0,0,'Sch1u-Ann Cost Sav &amp; Pymts'!C6),
 IF('Sch1-Ann Cost Sav &amp; Pymts'!D6=0,0,'Sch1-Ann Cost Sav &amp; Pymts'!D6)))</f>
        <v>0</v>
      </c>
      <c r="I29" s="249"/>
    </row>
    <row r="30" spans="1:9" ht="35.5" customHeight="1" thickBot="1">
      <c r="A30" s="410"/>
      <c r="B30" s="268" t="str">
        <f>IF(C4="UESC", "Project Interest Rate (sum of two above inputs)", IF(C4="Direct-Funded","","Project Interest Rate (sum of two above inputs)"))</f>
        <v>Project Interest Rate (sum of two above inputs)</v>
      </c>
      <c r="C30" s="265"/>
      <c r="D30" s="39"/>
      <c r="E30" s="39"/>
      <c r="F30" s="269" t="str">
        <f>IF(C4="Direct-Funded","","Total Amount Financed (principal)")</f>
        <v>Total Amount Financed (principal)</v>
      </c>
      <c r="G30" s="263"/>
      <c r="I30" s="249"/>
    </row>
    <row r="31" spans="1:9" ht="16.5" thickBot="1">
      <c r="A31" s="410"/>
      <c r="B31" s="258" t="str">
        <f>IF(C4="UESC", "Financing Issue Date (mm/dd/yyyy)", IF(C4="Direct-Funded","","Financing Issue Date (mm/dd/yyyy)"))</f>
        <v>Financing Issue Date (mm/dd/yyyy)</v>
      </c>
      <c r="C31" s="122"/>
      <c r="D31" s="39"/>
      <c r="E31" s="39"/>
      <c r="F31" s="269" t="str">
        <f>IF(C4="Direct-Funded","","Bonded Amount")</f>
        <v>Bonded Amount</v>
      </c>
      <c r="G31" s="263"/>
    </row>
    <row r="32" spans="1:9" ht="35.5" customHeight="1" thickBot="1">
      <c r="A32" s="410"/>
      <c r="B32" s="230" t="s">
        <v>320</v>
      </c>
      <c r="C32" s="122"/>
      <c r="D32" s="39"/>
      <c r="E32" s="39"/>
      <c r="F32" s="269" t="str">
        <f>IF(C4="Direct-Funded","","Start date of Performance Period (mm/dd/yyyy) ")</f>
        <v xml:space="preserve">Start date of Performance Period (mm/dd/yyyy) </v>
      </c>
      <c r="G32" s="638"/>
    </row>
    <row r="33" spans="1:8" ht="20.5" customHeight="1" thickBot="1">
      <c r="A33" s="410"/>
      <c r="B33" s="270" t="str">
        <f>IF(C4="Direct-Funded","","Effective Through (mm/dd/yyyy)")</f>
        <v>Effective Through (mm/dd/yyyy)</v>
      </c>
      <c r="C33" s="122"/>
      <c r="D33" s="39"/>
      <c r="E33" s="39"/>
      <c r="F33" s="421"/>
      <c r="G33" s="422"/>
    </row>
    <row r="34" spans="1:8" ht="39" customHeight="1" thickBot="1">
      <c r="A34" s="410"/>
      <c r="B34" s="270" t="str">
        <f>IF(C4="Direct-Funded","","Primary Type of Financing (choose from list) ")</f>
        <v xml:space="preserve">Primary Type of Financing (choose from list) </v>
      </c>
      <c r="C34" s="123"/>
      <c r="D34" s="39"/>
      <c r="E34" s="39"/>
      <c r="F34" s="423" t="s">
        <v>160</v>
      </c>
      <c r="G34" s="424"/>
    </row>
    <row r="35" spans="1:8" ht="35.5" customHeight="1" thickBot="1">
      <c r="A35" s="410"/>
      <c r="B35" s="270" t="str">
        <f>IF(C4="Direct-Funded","","Secondary Type of Financing (choose from list)")</f>
        <v>Secondary Type of Financing (choose from list)</v>
      </c>
      <c r="C35" s="123"/>
      <c r="D35" s="39"/>
      <c r="E35" s="39"/>
      <c r="F35" s="288" t="s">
        <v>133</v>
      </c>
      <c r="G35" s="324" t="str">
        <f>IF(C4="ESA",
IF('Sch1esa-ESA Pymts'!B5=0,"",IF('Sch4-Cost Savings by ECM'!Z258+(('Sch1esa-ESA Pymts'!C9/'Sch1esa-ESA Pymts'!B5)*0.003412)=0,"",'Sch4-Cost Savings by ECM'!Z258+(('Sch1esa-ESA Pymts'!C9/'Sch1esa-ESA Pymts'!B5)*0.003412))),
IF('Sch4-Cost Savings by ECM'!Z258=0,"",'Sch4-Cost Savings by ECM'!Z258))</f>
        <v/>
      </c>
    </row>
    <row r="36" spans="1:8" ht="35.5" customHeight="1" thickBot="1">
      <c r="A36" s="410"/>
      <c r="B36" s="230" t="str">
        <f>IF(C4="Direct-Funded","","Payment Timing")</f>
        <v>Payment Timing</v>
      </c>
      <c r="C36" s="124"/>
      <c r="D36" s="124"/>
      <c r="E36" s="39"/>
      <c r="F36" s="288" t="s">
        <v>134</v>
      </c>
      <c r="G36" s="324" t="str">
        <f>IF('Sch4-Cost Savings by ECM'!AB258=0,"",'Sch4-Cost Savings by ECM'!AB258)</f>
        <v/>
      </c>
      <c r="H36" s="57"/>
    </row>
    <row r="37" spans="1:8" ht="18" customHeight="1" thickBot="1">
      <c r="A37" s="39"/>
      <c r="B37" s="39"/>
      <c r="C37" s="39"/>
      <c r="D37" s="39"/>
      <c r="E37" s="39"/>
      <c r="F37" s="288" t="s">
        <v>132</v>
      </c>
      <c r="G37" s="324" t="str">
        <f>IF(C4="ESA",
IF('Sch1esa-ESA Pymts'!B5=0,"",IF('Sch1ee-Ann Cost Sav &amp; Pymts'!B49+'Sch1ee-Ann Cost Sav &amp; Pymts'!B6+('Sch1esa-ESA Pymts'!D34/'Sch1esa-ESA Pymts'!B5)=0,"",'Sch1ee-Ann Cost Sav &amp; Pymts'!B49+'Sch1ee-Ann Cost Sav &amp; Pymts'!B6+('Sch1esa-ESA Pymts'!D34/'Sch1esa-ESA Pymts'!B5))),
IF(C4="UESC",
IF('Sch1u-Ann Cost Sav &amp; Pymts'!B49+'Sch1u-Ann Cost Sav &amp; Pymts'!B6=0,"",'Sch1u-Ann Cost Sav &amp; Pymts'!B49+'Sch1u-Ann Cost Sav &amp; Pymts'!B6),
IF('Sch1-Ann Cost Sav &amp; Pymts'!B49+'Sch1-Ann Cost Sav &amp; Pymts'!B6=0,"",'Sch1-Ann Cost Sav &amp; Pymts'!B49+'Sch1-Ann Cost Sav &amp; Pymts'!B6)))</f>
        <v/>
      </c>
    </row>
    <row r="38" spans="1:8" ht="18" customHeight="1" thickBot="1">
      <c r="A38" s="409" t="s">
        <v>64</v>
      </c>
      <c r="B38" s="271" t="str">
        <f>IF('Summary Schedule'!C4="UESC","% Savings Devoted to Payments",IF('Summary Schedule'!C4="Direct-Funded","","Guarantee % of Estimated Savings"))</f>
        <v>Guarantee % of Estimated Savings</v>
      </c>
      <c r="C38" s="125"/>
      <c r="D38" s="39"/>
      <c r="E38" s="39"/>
      <c r="F38" s="86" t="str">
        <f>IF(C4="Direct-Funded","","Total Guaranteed Cost Savings")</f>
        <v>Total Guaranteed Cost Savings</v>
      </c>
      <c r="G38" s="324" t="str">
        <f>IF(C4="ESA",
IF('Sch1ee-Ann Cost Sav &amp; Pymts'!C52=0,"",'Sch1ee-Ann Cost Sav &amp; Pymts'!C52),
IF(C4="UESC",0,
IF('Sch1-Ann Cost Sav &amp; Pymts'!C52=0,"",'Sch1-Ann Cost Sav &amp; Pymts'!C52)))</f>
        <v/>
      </c>
    </row>
    <row r="39" spans="1:8" ht="18" customHeight="1" thickBot="1">
      <c r="A39" s="409"/>
      <c r="B39" s="237" t="s">
        <v>87</v>
      </c>
      <c r="C39" s="74"/>
      <c r="D39" s="39"/>
      <c r="E39" s="39"/>
      <c r="F39" s="38" t="str">
        <f>IF(C4="Direct-Funded","","Total Payments")</f>
        <v>Total Payments</v>
      </c>
      <c r="G39" s="324" t="str">
        <f>IF(C4="ESA",
IF('Sch1ee-Ann Cost Sav &amp; Pymts'!D52=0,"",'Sch1ee-Ann Cost Sav &amp; Pymts'!D52),
IF(C4="UESC",
IF('Sch1u-Ann Cost Sav &amp; Pymts'!C52=0,"",'Sch1u-Ann Cost Sav &amp; Pymts'!C52),
IF('Sch1-Ann Cost Sav &amp; Pymts'!D52=0,"",'Sch1-Ann Cost Sav &amp; Pymts'!D52)))</f>
        <v/>
      </c>
    </row>
    <row r="40" spans="1:8" ht="18" customHeight="1" thickBot="1">
      <c r="A40" s="409"/>
      <c r="B40" s="69" t="s">
        <v>80</v>
      </c>
      <c r="C40" s="146"/>
      <c r="D40" s="39"/>
      <c r="E40" s="39"/>
      <c r="F40" s="39"/>
      <c r="G40" s="39"/>
    </row>
    <row r="41" spans="1:8" ht="30" customHeight="1" thickBot="1">
      <c r="A41" s="409"/>
      <c r="B41" s="69" t="s">
        <v>81</v>
      </c>
      <c r="C41" s="146"/>
      <c r="D41" s="39"/>
      <c r="E41" s="39"/>
      <c r="F41" s="432" t="s">
        <v>151</v>
      </c>
      <c r="G41" s="433"/>
    </row>
    <row r="42" spans="1:8" ht="37" customHeight="1" thickBot="1">
      <c r="A42" s="409"/>
      <c r="B42" s="69" t="s">
        <v>82</v>
      </c>
      <c r="C42" s="147"/>
      <c r="D42" s="39"/>
      <c r="E42" s="39"/>
      <c r="F42" s="138"/>
      <c r="G42" s="272"/>
    </row>
    <row r="43" spans="1:8" ht="16.5" thickBot="1">
      <c r="A43" s="39"/>
      <c r="B43" s="39"/>
      <c r="C43" s="39"/>
      <c r="D43" s="39"/>
      <c r="E43" s="39"/>
      <c r="F43" s="139"/>
      <c r="G43" s="273"/>
    </row>
    <row r="44" spans="1:8" ht="17" customHeight="1" thickBot="1">
      <c r="A44" s="39"/>
      <c r="B44" s="274"/>
      <c r="C44" s="275"/>
      <c r="D44" s="39"/>
      <c r="E44" s="39"/>
      <c r="F44" s="39"/>
      <c r="G44" s="39"/>
    </row>
    <row r="45" spans="1:8" ht="16" customHeight="1">
      <c r="A45" s="434" t="str">
        <f>IF(C4="Direct-Funded", "", "IMPORTANT INFORMATION:")</f>
        <v>IMPORTANT INFORMATION:</v>
      </c>
      <c r="B45" s="435"/>
      <c r="C45" s="435"/>
      <c r="D45" s="435"/>
      <c r="E45" s="435"/>
      <c r="F45" s="435"/>
      <c r="G45" s="435"/>
    </row>
    <row r="46" spans="1:8" ht="16" customHeight="1">
      <c r="A46" s="436" t="str">
        <f>IF(C4="Direct-Funded", "","(1) These schedules should not be altered or changed in any way except to add notes (see below).  Please consult ePB documentation for assistance with completing these schedules, terminology, etc.")</f>
        <v>(1) These schedules should not be altered or changed in any way except to add notes (see below).  Please consult ePB documentation for assistance with completing these schedules, terminology, etc.</v>
      </c>
      <c r="B46" s="437"/>
      <c r="C46" s="437"/>
      <c r="D46" s="437"/>
      <c r="E46" s="437"/>
      <c r="F46" s="437"/>
      <c r="G46" s="437"/>
    </row>
    <row r="47" spans="1:8">
      <c r="A47" s="436" t="str">
        <f>IF(C4="Direct-Funded", "","(2) If selected, the contractor shall complete the installation of all proposed ECMs no later than the implementation period identified in the contract.")</f>
        <v>(2) If selected, the contractor shall complete the installation of all proposed ECMs no later than the implementation period identified in the contract.</v>
      </c>
      <c r="B47" s="437"/>
      <c r="C47" s="437"/>
      <c r="D47" s="437"/>
      <c r="E47" s="437"/>
      <c r="F47" s="437"/>
      <c r="G47" s="437"/>
    </row>
    <row r="48" spans="1:8">
      <c r="A48" s="430" t="str">
        <f>IF(C4="Direct-Funded", "", "(3) If applicable, the contractor shall propose Bonded Amount representing the basis of establishing performance and payment bonds.")</f>
        <v>(3) If applicable, the contractor shall propose Bonded Amount representing the basis of establishing performance and payment bonds.</v>
      </c>
      <c r="B48" s="431"/>
      <c r="C48" s="431"/>
      <c r="D48" s="431"/>
      <c r="E48" s="431"/>
      <c r="F48" s="431"/>
      <c r="G48" s="431"/>
    </row>
    <row r="49" spans="1:7" ht="29" customHeight="1">
      <c r="A49" s="425" t="str">
        <f>IF(C4="Direct-Funded","",CONCATENATE("(4) Prior to award, the stated interest rate is considered preliminary and subject to change. "," The final interest rate will be based on market conditions at the time of award.","The rate will be locked at time of award and will be fixed through the performance period."))</f>
        <v>(4) Prior to award, the stated interest rate is considered preliminary and subject to change.  The final interest rate will be based on market conditions at the time of award.The rate will be locked at time of award and will be fixed through the performance period.</v>
      </c>
      <c r="B49" s="408"/>
      <c r="C49" s="408"/>
      <c r="D49" s="408"/>
      <c r="E49" s="408"/>
      <c r="F49" s="408"/>
      <c r="G49" s="408"/>
    </row>
    <row r="50" spans="1:7" ht="16" customHeight="1" thickBot="1">
      <c r="A50" s="426" t="str">
        <f>IF(OR((C4="UESC"),(C4="Direct-Funded")),"","(5) Guaranteed % of Estimated Savings""is share of project estimated savings that ESCO is guaranteeing.")</f>
        <v>(5) Guaranteed % of Estimated Savings"is share of project estimated savings that ESCO is guaranteeing.</v>
      </c>
      <c r="B50" s="427"/>
      <c r="C50" s="427"/>
      <c r="D50" s="427"/>
      <c r="E50" s="427"/>
      <c r="F50" s="427"/>
      <c r="G50" s="427"/>
    </row>
    <row r="51" spans="1:7" ht="31" customHeight="1">
      <c r="A51" s="428" t="s">
        <v>113</v>
      </c>
      <c r="B51" s="429"/>
      <c r="C51" s="429"/>
      <c r="D51" s="429"/>
      <c r="E51" s="429"/>
      <c r="F51" s="429"/>
      <c r="G51" s="429"/>
    </row>
    <row r="52" spans="1:7" ht="98" customHeight="1">
      <c r="A52" s="407"/>
      <c r="B52" s="408"/>
      <c r="C52" s="408"/>
      <c r="D52" s="408"/>
      <c r="E52" s="408"/>
      <c r="F52" s="408"/>
      <c r="G52" s="408"/>
    </row>
    <row r="53" spans="1:7">
      <c r="A53" s="293" t="s">
        <v>542</v>
      </c>
    </row>
    <row r="54" spans="1:7">
      <c r="A54" s="154" t="s">
        <v>545</v>
      </c>
    </row>
  </sheetData>
  <sheetProtection algorithmName="SHA-512" hashValue="wISXU8aTrfTa7eIHhQya9EMSq6NLul6vkeiRbCAZQZ13sSc4ZrM7zT80BudX9CXfoOE4PwPOdW93Eilwj7WonQ==" saltValue="GhDgKhFqBzjBBSKaufUl5A==" spinCount="100000" sheet="1" objects="1" scenarios="1"/>
  <mergeCells count="22">
    <mergeCell ref="A48:G48"/>
    <mergeCell ref="A38:A42"/>
    <mergeCell ref="F41:G41"/>
    <mergeCell ref="A45:G45"/>
    <mergeCell ref="A46:G46"/>
    <mergeCell ref="A47:G47"/>
    <mergeCell ref="A52:G52"/>
    <mergeCell ref="A1:G1"/>
    <mergeCell ref="A2:G2"/>
    <mergeCell ref="A6:A11"/>
    <mergeCell ref="A13:A22"/>
    <mergeCell ref="B13:C13"/>
    <mergeCell ref="F13:G13"/>
    <mergeCell ref="A23:A24"/>
    <mergeCell ref="A25:A36"/>
    <mergeCell ref="B25:C25"/>
    <mergeCell ref="F25:G25"/>
    <mergeCell ref="F33:G33"/>
    <mergeCell ref="F34:G34"/>
    <mergeCell ref="A49:G49"/>
    <mergeCell ref="A50:G50"/>
    <mergeCell ref="A51:G51"/>
  </mergeCells>
  <conditionalFormatting sqref="B25:C25">
    <cfRule type="expression" dxfId="54" priority="17">
      <formula>$C4="Direct-Funded"</formula>
    </cfRule>
  </conditionalFormatting>
  <conditionalFormatting sqref="B26:C26">
    <cfRule type="expression" dxfId="53" priority="38">
      <formula>$C4="Direct-Funded"</formula>
    </cfRule>
  </conditionalFormatting>
  <conditionalFormatting sqref="B27:C27">
    <cfRule type="expression" dxfId="52" priority="37">
      <formula>$C4="Direct-Funded"</formula>
    </cfRule>
  </conditionalFormatting>
  <conditionalFormatting sqref="B28:C28">
    <cfRule type="expression" dxfId="51" priority="36">
      <formula>$C4="Direct-Funded"</formula>
    </cfRule>
  </conditionalFormatting>
  <conditionalFormatting sqref="B29:C29">
    <cfRule type="expression" dxfId="50" priority="35">
      <formula>$C4="Direct-Funded"</formula>
    </cfRule>
  </conditionalFormatting>
  <conditionalFormatting sqref="B30">
    <cfRule type="expression" dxfId="49" priority="34">
      <formula>$C4="Direct-Funded"</formula>
    </cfRule>
  </conditionalFormatting>
  <conditionalFormatting sqref="B31:C31">
    <cfRule type="expression" dxfId="48" priority="33">
      <formula>$C4="Direct-Funded"</formula>
    </cfRule>
  </conditionalFormatting>
  <conditionalFormatting sqref="B33">
    <cfRule type="expression" dxfId="47" priority="32">
      <formula>$C4="Direct-Funded"</formula>
    </cfRule>
  </conditionalFormatting>
  <conditionalFormatting sqref="B34:C34">
    <cfRule type="expression" dxfId="46" priority="31">
      <formula>$C4="Direct-Funded"</formula>
    </cfRule>
  </conditionalFormatting>
  <conditionalFormatting sqref="B35:C35">
    <cfRule type="expression" dxfId="45" priority="30">
      <formula>$C4="Direct-Funded"</formula>
    </cfRule>
  </conditionalFormatting>
  <conditionalFormatting sqref="B38:C38">
    <cfRule type="expression" dxfId="44" priority="28">
      <formula>$C4="Direct-Funded"</formula>
    </cfRule>
  </conditionalFormatting>
  <conditionalFormatting sqref="B36:D36">
    <cfRule type="expression" dxfId="43" priority="29">
      <formula>$C4="Direct-Funded"</formula>
    </cfRule>
  </conditionalFormatting>
  <conditionalFormatting sqref="B10:G10">
    <cfRule type="expression" dxfId="42" priority="40">
      <formula>$C4="Direct-Funded"</formula>
    </cfRule>
  </conditionalFormatting>
  <conditionalFormatting sqref="B11:G11">
    <cfRule type="expression" dxfId="41" priority="39">
      <formula>$C4="Direct-Funded"</formula>
    </cfRule>
  </conditionalFormatting>
  <conditionalFormatting sqref="C4">
    <cfRule type="containsText" dxfId="40" priority="43" operator="containsText" text="Direct-Funded">
      <formula>NOT(ISERROR(SEARCH("Direct-Funded",C4)))</formula>
    </cfRule>
    <cfRule type="containsText" dxfId="39" priority="16" operator="containsText" text="Direct-Funded">
      <formula>NOT(ISERROR(SEARCH("Direct-Funded",C4)))</formula>
    </cfRule>
    <cfRule type="containsText" dxfId="38" priority="15" operator="containsText" text="ESA">
      <formula>NOT(ISERROR(SEARCH("ESA",C4)))</formula>
    </cfRule>
    <cfRule type="containsText" dxfId="37" priority="14" operator="containsText" text="UESC">
      <formula>NOT(ISERROR(SEARCH("UESC",C4)))</formula>
    </cfRule>
    <cfRule type="containsText" dxfId="36" priority="41" operator="containsText" text="UESC">
      <formula>NOT(ISERROR(SEARCH("UESC",C4)))</formula>
    </cfRule>
    <cfRule type="containsText" dxfId="35" priority="42" operator="containsText" text="ESA">
      <formula>NOT(ISERROR(SEARCH("ESA",C4)))</formula>
    </cfRule>
  </conditionalFormatting>
  <conditionalFormatting sqref="D4">
    <cfRule type="expression" dxfId="33" priority="12">
      <formula>$C$4="ESA"</formula>
    </cfRule>
  </conditionalFormatting>
  <conditionalFormatting sqref="F38">
    <cfRule type="expression" dxfId="32" priority="20">
      <formula>$C4="Direct-Funded"</formula>
    </cfRule>
  </conditionalFormatting>
  <conditionalFormatting sqref="F39">
    <cfRule type="expression" dxfId="31" priority="19">
      <formula>$C4="Direct-Funded"</formula>
    </cfRule>
  </conditionalFormatting>
  <conditionalFormatting sqref="F25:G25">
    <cfRule type="expression" dxfId="30" priority="18">
      <formula>$C4="Direct-Funded"</formula>
    </cfRule>
  </conditionalFormatting>
  <conditionalFormatting sqref="F26:G26">
    <cfRule type="expression" dxfId="29" priority="27">
      <formula>$C$4="Direct-Funded"</formula>
    </cfRule>
  </conditionalFormatting>
  <conditionalFormatting sqref="F27:G27">
    <cfRule type="expression" dxfId="28" priority="26">
      <formula>$C4="Direct-Funded"</formula>
    </cfRule>
  </conditionalFormatting>
  <conditionalFormatting sqref="F28">
    <cfRule type="expression" dxfId="27" priority="25">
      <formula>$C4="Direct-Funded"</formula>
    </cfRule>
  </conditionalFormatting>
  <conditionalFormatting sqref="F29:G29">
    <cfRule type="expression" dxfId="26" priority="24">
      <formula>$C4="Direct-Funded"</formula>
    </cfRule>
  </conditionalFormatting>
  <conditionalFormatting sqref="F30">
    <cfRule type="expression" dxfId="25" priority="23">
      <formula>$C4="Direct-Funded"</formula>
    </cfRule>
  </conditionalFormatting>
  <conditionalFormatting sqref="F31">
    <cfRule type="expression" dxfId="24" priority="22">
      <formula>$C4="Direct-Funded"</formula>
    </cfRule>
  </conditionalFormatting>
  <conditionalFormatting sqref="F32">
    <cfRule type="expression" dxfId="23" priority="21">
      <formula>$C4="Direct-Funded"</formula>
    </cfRule>
  </conditionalFormatting>
  <conditionalFormatting sqref="C30">
    <cfRule type="expression" dxfId="9" priority="9">
      <formula>$C5="Direct-Funded"</formula>
    </cfRule>
  </conditionalFormatting>
  <conditionalFormatting sqref="C32">
    <cfRule type="expression" dxfId="8" priority="8">
      <formula>$C5="Direct-Funded"</formula>
    </cfRule>
  </conditionalFormatting>
  <conditionalFormatting sqref="C33">
    <cfRule type="expression" dxfId="7" priority="7">
      <formula>$C6="Direct-Funded"</formula>
    </cfRule>
  </conditionalFormatting>
  <conditionalFormatting sqref="G32">
    <cfRule type="expression" dxfId="4" priority="4">
      <formula>$C5="Direct-Funded"</formula>
    </cfRule>
  </conditionalFormatting>
  <conditionalFormatting sqref="G28">
    <cfRule type="expression" dxfId="3" priority="3">
      <formula>$C5="Direct-Funded"</formula>
    </cfRule>
  </conditionalFormatting>
  <conditionalFormatting sqref="G30">
    <cfRule type="expression" dxfId="2" priority="2">
      <formula>$C7="Direct-Funded"</formula>
    </cfRule>
  </conditionalFormatting>
  <conditionalFormatting sqref="G31">
    <cfRule type="expression" dxfId="1" priority="1">
      <formula>$C8="Direct-Funded"</formula>
    </cfRule>
  </conditionalFormatting>
  <dataValidations count="17">
    <dataValidation type="whole" allowBlank="1" showErrorMessage="1" errorTitle="Data Input Error" error="Please enter a number - the performance period in years" sqref="C27" xr:uid="{3A2D9096-B83E-1E48-95B7-7AEC3843D2AF}">
      <formula1>0</formula1>
      <formula2>100</formula2>
    </dataValidation>
    <dataValidation type="list" allowBlank="1" showInputMessage="1" showErrorMessage="1" sqref="C4" xr:uid="{787A448A-65F4-E340-8502-B9CFE3A557F8}">
      <formula1>"Guaranteed Savings,Build-own-operate/Chauffage, Shared Savings,Direct-Funded, PPA, UESC, ESA,Other"</formula1>
    </dataValidation>
    <dataValidation type="textLength" operator="lessThanOrEqual" allowBlank="1" showErrorMessage="1" errorTitle="Project ID# Input Error" error="Project ID# can not exceed 20 characters" promptTitle="Project ID# Input Error" sqref="C22" xr:uid="{509701F6-61FD-2644-9CD5-67B344FDA110}">
      <formula1>20</formula1>
    </dataValidation>
    <dataValidation type="list" allowBlank="1" showInputMessage="1" showErrorMessage="1" sqref="C34:C35" xr:uid="{6BBC3F44-5FAC-E943-88F7-192E9859030F}">
      <formula1>"Appropriation/Cash,Grant,Loan (ESCO),Loan (Customer),State/Local Bond,Lease,Loan (Utility),Other"</formula1>
    </dataValidation>
    <dataValidation type="list" allowBlank="1" showInputMessage="1" showErrorMessage="1" sqref="D36" xr:uid="{55B976C2-3DEA-C347-B9F8-E8BE37AB8441}">
      <formula1>"Annual, Biannual, Quarter, Month"</formula1>
    </dataValidation>
    <dataValidation type="decimal" allowBlank="1" showInputMessage="1" showErrorMessage="1" errorTitle="Input Data Error" error="Enter a percentage between 0 and 100" sqref="C28:C30" xr:uid="{24864978-18CA-A144-9150-7B05217BFAC1}">
      <formula1>0</formula1>
      <formula2>1</formula2>
    </dataValidation>
    <dataValidation allowBlank="1" showInputMessage="1" sqref="B9" xr:uid="{A91B1370-8772-4F4F-B591-AAEB84A387F0}"/>
    <dataValidation type="list" allowBlank="1" showInputMessage="1" showErrorMessage="1" sqref="C36" xr:uid="{388A432E-70A3-4D4D-A614-57834E69A100}">
      <formula1>"Beginning, End"</formula1>
    </dataValidation>
    <dataValidation type="whole" allowBlank="1" showInputMessage="1" showErrorMessage="1" error="Please enter a valid value" sqref="I33" xr:uid="{93DB8FA0-10C6-4143-AC15-24F6A0D84787}">
      <formula1>0</formula1>
      <formula2>1000000000</formula2>
    </dataValidation>
    <dataValidation operator="lessThan" allowBlank="1" showInputMessage="1" showErrorMessage="1" sqref="C10:C11 C7" xr:uid="{DCCA4D15-9A1B-4C43-B538-3249EF303830}"/>
    <dataValidation type="decimal" allowBlank="1" showInputMessage="1" showErrorMessage="1" error="Please enter a percentage between 0 and 100%." sqref="C38" xr:uid="{B7E28B8F-F251-914E-9BF5-6D57AD49B54C}">
      <formula1>0</formula1>
      <formula2>1</formula2>
    </dataValidation>
    <dataValidation allowBlank="1" sqref="B8" xr:uid="{BF45455E-F3B2-7F41-9380-18301D69E5FC}"/>
    <dataValidation type="textLength" operator="equal" allowBlank="1" showInputMessage="1" showErrorMessage="1" error="Please enter a phone number as 10 digits." sqref="G7:G11" xr:uid="{24CB1911-756F-BE48-9627-E2ED18A68BB9}">
      <formula1>10</formula1>
    </dataValidation>
    <dataValidation type="whole" allowBlank="1" showInputMessage="1" showErrorMessage="1" sqref="G15" xr:uid="{56EC4118-216C-9043-A2A7-05E2C7B353B2}">
      <formula1>1</formula1>
      <formula2>250</formula2>
    </dataValidation>
    <dataValidation type="list" allowBlank="1" showInputMessage="1" showErrorMessage="1" sqref="G21" xr:uid="{BA479B77-B0B6-5A41-85DB-A4F7212D341A}">
      <formula1>"FEMP 2.2, FEMP 3.0, FEMP 4.0, FEMP 5.0, IPMVP, Other"</formula1>
    </dataValidation>
    <dataValidation type="date" operator="greaterThan" allowBlank="1" showInputMessage="1" showErrorMessage="1" error="Enter date format mm/dd/yyyy" sqref="C31:C33 G32" xr:uid="{FD686E30-B4C2-4D39-8099-5F0D8B786653}">
      <formula1>36526</formula1>
    </dataValidation>
    <dataValidation type="whole" allowBlank="1" showInputMessage="1" showErrorMessage="1" error="Enter a number" sqref="G27:G28 G30:G31 G18:G20" xr:uid="{B0D52F5E-C22A-4C22-AD50-9E78399850E2}">
      <formula1>0</formula1>
      <formula2>1000000000</formula2>
    </dataValidation>
  </dataValidations>
  <pageMargins left="0.75" right="0.75" top="1" bottom="1" header="0.5" footer="0.5"/>
  <pageSetup scale="45" orientation="portrait" horizontalDpi="4294967292" verticalDpi="4294967292"/>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K53"/>
  <sheetViews>
    <sheetView zoomScale="90" zoomScaleNormal="90" zoomScalePageLayoutView="125" workbookViewId="0">
      <selection sqref="A1:J2"/>
    </sheetView>
  </sheetViews>
  <sheetFormatPr defaultColWidth="8.83203125" defaultRowHeight="15.5"/>
  <cols>
    <col min="1" max="1" width="35.1640625" customWidth="1"/>
    <col min="2" max="4" width="14" customWidth="1"/>
    <col min="5" max="6" width="22.83203125" customWidth="1"/>
    <col min="7" max="7" width="14.83203125" customWidth="1"/>
    <col min="8" max="8" width="12.5" customWidth="1"/>
    <col min="9" max="9" width="14.83203125" customWidth="1"/>
    <col min="10" max="10" width="16.33203125" customWidth="1"/>
    <col min="11" max="11" width="42.1640625" customWidth="1"/>
  </cols>
  <sheetData>
    <row r="1" spans="1:11" ht="20.25" customHeight="1">
      <c r="A1" s="446" t="s">
        <v>70</v>
      </c>
      <c r="B1" s="447"/>
      <c r="C1" s="447"/>
      <c r="D1" s="447"/>
      <c r="E1" s="447"/>
      <c r="F1" s="447"/>
      <c r="G1" s="447"/>
      <c r="H1" s="447"/>
      <c r="I1" s="447"/>
      <c r="J1" s="448"/>
    </row>
    <row r="2" spans="1:11" ht="21" customHeight="1" thickBot="1">
      <c r="A2" s="449"/>
      <c r="B2" s="450"/>
      <c r="C2" s="450"/>
      <c r="D2" s="450"/>
      <c r="E2" s="450"/>
      <c r="F2" s="450"/>
      <c r="G2" s="450"/>
      <c r="H2" s="450"/>
      <c r="I2" s="450"/>
      <c r="J2" s="451"/>
    </row>
    <row r="3" spans="1:11" ht="16.5" thickBot="1">
      <c r="A3" s="51"/>
      <c r="B3" s="52"/>
      <c r="C3" s="52"/>
      <c r="D3" s="52"/>
      <c r="E3" s="52"/>
      <c r="F3" s="52"/>
      <c r="G3" s="52"/>
      <c r="H3" s="52"/>
      <c r="I3" s="52"/>
      <c r="J3" s="53"/>
    </row>
    <row r="4" spans="1:11" ht="69" customHeight="1" thickBot="1">
      <c r="A4" s="55" t="s">
        <v>69</v>
      </c>
      <c r="B4" s="55" t="s">
        <v>48</v>
      </c>
      <c r="C4" s="55" t="s">
        <v>49</v>
      </c>
      <c r="D4" s="55" t="s">
        <v>38</v>
      </c>
      <c r="E4" s="70" t="s">
        <v>85</v>
      </c>
      <c r="F4" s="70" t="s">
        <v>86</v>
      </c>
      <c r="G4" s="55" t="s">
        <v>39</v>
      </c>
      <c r="H4" s="55" t="s">
        <v>505</v>
      </c>
      <c r="I4" s="55" t="s">
        <v>40</v>
      </c>
      <c r="J4" s="55" t="s">
        <v>269</v>
      </c>
    </row>
    <row r="5" spans="1:11" ht="16.5" thickBot="1">
      <c r="A5" s="65" t="s">
        <v>88</v>
      </c>
      <c r="B5" s="131"/>
      <c r="C5" s="131"/>
      <c r="D5" s="131"/>
      <c r="E5" s="131"/>
      <c r="F5" s="131"/>
      <c r="G5" s="131"/>
      <c r="H5" s="131"/>
      <c r="I5" s="131"/>
      <c r="J5" s="131"/>
    </row>
    <row r="6" spans="1:11" ht="16.5" thickBot="1">
      <c r="A6" s="54">
        <v>2</v>
      </c>
      <c r="B6" s="131"/>
      <c r="C6" s="131"/>
      <c r="D6" s="131"/>
      <c r="E6" s="131"/>
      <c r="F6" s="131"/>
      <c r="G6" s="131"/>
      <c r="H6" s="131"/>
      <c r="I6" s="131"/>
      <c r="J6" s="131"/>
    </row>
    <row r="7" spans="1:11" ht="17" thickBot="1">
      <c r="A7" s="54">
        <v>3</v>
      </c>
      <c r="B7" s="131"/>
      <c r="C7" s="131"/>
      <c r="D7" s="131"/>
      <c r="E7" s="131"/>
      <c r="F7" s="131"/>
      <c r="G7" s="131"/>
      <c r="H7" s="131"/>
      <c r="I7" s="131"/>
      <c r="J7" s="131"/>
      <c r="K7" s="68"/>
    </row>
    <row r="8" spans="1:11" ht="16.5" thickBot="1">
      <c r="A8" s="54">
        <v>4</v>
      </c>
      <c r="B8" s="131"/>
      <c r="C8" s="131"/>
      <c r="D8" s="131"/>
      <c r="E8" s="131"/>
      <c r="F8" s="131"/>
      <c r="G8" s="131"/>
      <c r="H8" s="131"/>
      <c r="I8" s="131"/>
      <c r="J8" s="131"/>
    </row>
    <row r="9" spans="1:11" ht="16.5" thickBot="1">
      <c r="A9" s="54">
        <v>5</v>
      </c>
      <c r="B9" s="131"/>
      <c r="C9" s="131"/>
      <c r="D9" s="131"/>
      <c r="E9" s="131"/>
      <c r="F9" s="131"/>
      <c r="G9" s="131"/>
      <c r="H9" s="131"/>
      <c r="I9" s="131"/>
      <c r="J9" s="131"/>
    </row>
    <row r="10" spans="1:11" ht="16.5" thickBot="1">
      <c r="A10" s="54">
        <v>6</v>
      </c>
      <c r="B10" s="131"/>
      <c r="C10" s="131"/>
      <c r="D10" s="131"/>
      <c r="E10" s="131"/>
      <c r="F10" s="131"/>
      <c r="G10" s="131"/>
      <c r="H10" s="131"/>
      <c r="I10" s="131"/>
      <c r="J10" s="131"/>
    </row>
    <row r="11" spans="1:11" ht="16.5" thickBot="1">
      <c r="A11" s="54">
        <v>7</v>
      </c>
      <c r="B11" s="131"/>
      <c r="C11" s="131"/>
      <c r="D11" s="131"/>
      <c r="E11" s="131"/>
      <c r="F11" s="131"/>
      <c r="G11" s="131"/>
      <c r="H11" s="131"/>
      <c r="I11" s="131"/>
      <c r="J11" s="131"/>
    </row>
    <row r="12" spans="1:11" ht="16.5" thickBot="1">
      <c r="A12" s="54">
        <v>8</v>
      </c>
      <c r="B12" s="131"/>
      <c r="C12" s="131"/>
      <c r="D12" s="131"/>
      <c r="E12" s="131"/>
      <c r="F12" s="131"/>
      <c r="G12" s="131"/>
      <c r="H12" s="131"/>
      <c r="I12" s="131"/>
      <c r="J12" s="131"/>
    </row>
    <row r="13" spans="1:11" ht="16.5" thickBot="1">
      <c r="A13" s="54">
        <v>9</v>
      </c>
      <c r="B13" s="131"/>
      <c r="C13" s="131"/>
      <c r="D13" s="131"/>
      <c r="E13" s="131"/>
      <c r="F13" s="131"/>
      <c r="G13" s="131"/>
      <c r="H13" s="131"/>
      <c r="I13" s="131"/>
      <c r="J13" s="131"/>
    </row>
    <row r="14" spans="1:11" ht="16.5" thickBot="1">
      <c r="A14" s="54">
        <v>10</v>
      </c>
      <c r="B14" s="131"/>
      <c r="C14" s="131"/>
      <c r="D14" s="131"/>
      <c r="E14" s="131"/>
      <c r="F14" s="131"/>
      <c r="G14" s="131"/>
      <c r="H14" s="131"/>
      <c r="I14" s="131"/>
      <c r="J14" s="131"/>
    </row>
    <row r="15" spans="1:11" ht="16.5" thickBot="1">
      <c r="A15" s="54">
        <v>11</v>
      </c>
      <c r="B15" s="131"/>
      <c r="C15" s="131"/>
      <c r="D15" s="131"/>
      <c r="E15" s="131"/>
      <c r="F15" s="131"/>
      <c r="G15" s="131"/>
      <c r="H15" s="131"/>
      <c r="I15" s="131"/>
      <c r="J15" s="131"/>
    </row>
    <row r="16" spans="1:11" ht="16.5" thickBot="1">
      <c r="A16" s="54">
        <v>12</v>
      </c>
      <c r="B16" s="131"/>
      <c r="C16" s="131"/>
      <c r="D16" s="131"/>
      <c r="E16" s="131"/>
      <c r="F16" s="131"/>
      <c r="G16" s="131"/>
      <c r="H16" s="131"/>
      <c r="I16" s="131"/>
      <c r="J16" s="131"/>
    </row>
    <row r="17" spans="1:10" ht="16.5" thickBot="1">
      <c r="A17" s="54">
        <v>13</v>
      </c>
      <c r="B17" s="131"/>
      <c r="C17" s="131"/>
      <c r="D17" s="131"/>
      <c r="E17" s="131"/>
      <c r="F17" s="131"/>
      <c r="G17" s="131"/>
      <c r="H17" s="131"/>
      <c r="I17" s="131"/>
      <c r="J17" s="131"/>
    </row>
    <row r="18" spans="1:10" ht="16.5" thickBot="1">
      <c r="A18" s="54">
        <v>14</v>
      </c>
      <c r="B18" s="131"/>
      <c r="C18" s="131"/>
      <c r="D18" s="131"/>
      <c r="E18" s="131"/>
      <c r="F18" s="131"/>
      <c r="G18" s="131"/>
      <c r="H18" s="131"/>
      <c r="I18" s="131"/>
      <c r="J18" s="131"/>
    </row>
    <row r="19" spans="1:10" ht="16.5" thickBot="1">
      <c r="A19" s="54">
        <v>15</v>
      </c>
      <c r="B19" s="131"/>
      <c r="C19" s="131"/>
      <c r="D19" s="131"/>
      <c r="E19" s="131"/>
      <c r="F19" s="131"/>
      <c r="G19" s="131"/>
      <c r="H19" s="131"/>
      <c r="I19" s="131"/>
      <c r="J19" s="131"/>
    </row>
    <row r="20" spans="1:10" ht="16.5" thickBot="1">
      <c r="A20" s="54">
        <v>16</v>
      </c>
      <c r="B20" s="131"/>
      <c r="C20" s="131"/>
      <c r="D20" s="131"/>
      <c r="E20" s="131"/>
      <c r="F20" s="131"/>
      <c r="G20" s="131"/>
      <c r="H20" s="131"/>
      <c r="I20" s="131"/>
      <c r="J20" s="131"/>
    </row>
    <row r="21" spans="1:10" ht="16.5" thickBot="1">
      <c r="A21" s="54">
        <v>17</v>
      </c>
      <c r="B21" s="131"/>
      <c r="C21" s="131"/>
      <c r="D21" s="131"/>
      <c r="E21" s="131"/>
      <c r="F21" s="131"/>
      <c r="G21" s="131"/>
      <c r="H21" s="131"/>
      <c r="I21" s="131"/>
      <c r="J21" s="131"/>
    </row>
    <row r="22" spans="1:10" ht="16.5" thickBot="1">
      <c r="A22" s="54">
        <v>18</v>
      </c>
      <c r="B22" s="131"/>
      <c r="C22" s="131"/>
      <c r="D22" s="131"/>
      <c r="E22" s="131"/>
      <c r="F22" s="131"/>
      <c r="G22" s="131"/>
      <c r="H22" s="131"/>
      <c r="I22" s="131"/>
      <c r="J22" s="131"/>
    </row>
    <row r="23" spans="1:10" ht="16.5" thickBot="1">
      <c r="A23" s="54">
        <v>19</v>
      </c>
      <c r="B23" s="131"/>
      <c r="C23" s="131"/>
      <c r="D23" s="131"/>
      <c r="E23" s="131"/>
      <c r="F23" s="131"/>
      <c r="G23" s="131"/>
      <c r="H23" s="131"/>
      <c r="I23" s="131"/>
      <c r="J23" s="131"/>
    </row>
    <row r="24" spans="1:10" ht="16.5" thickBot="1">
      <c r="A24" s="54">
        <v>20</v>
      </c>
      <c r="B24" s="131"/>
      <c r="C24" s="131"/>
      <c r="D24" s="131"/>
      <c r="E24" s="131"/>
      <c r="F24" s="131"/>
      <c r="G24" s="131"/>
      <c r="H24" s="131"/>
      <c r="I24" s="131"/>
      <c r="J24" s="131"/>
    </row>
    <row r="25" spans="1:10" ht="16.5" thickBot="1">
      <c r="A25" s="54">
        <v>21</v>
      </c>
      <c r="B25" s="131"/>
      <c r="C25" s="131"/>
      <c r="D25" s="131"/>
      <c r="E25" s="131"/>
      <c r="F25" s="131"/>
      <c r="G25" s="131"/>
      <c r="H25" s="131"/>
      <c r="I25" s="131"/>
      <c r="J25" s="131"/>
    </row>
    <row r="26" spans="1:10" ht="16.5" thickBot="1">
      <c r="A26" s="54">
        <v>22</v>
      </c>
      <c r="B26" s="131"/>
      <c r="C26" s="131"/>
      <c r="D26" s="131"/>
      <c r="E26" s="131"/>
      <c r="F26" s="131"/>
      <c r="G26" s="131"/>
      <c r="H26" s="131"/>
      <c r="I26" s="131"/>
      <c r="J26" s="131"/>
    </row>
    <row r="27" spans="1:10" ht="16.5" thickBot="1">
      <c r="A27" s="54">
        <v>23</v>
      </c>
      <c r="B27" s="131"/>
      <c r="C27" s="131"/>
      <c r="D27" s="131"/>
      <c r="E27" s="131"/>
      <c r="F27" s="131"/>
      <c r="G27" s="131"/>
      <c r="H27" s="131"/>
      <c r="I27" s="131"/>
      <c r="J27" s="131"/>
    </row>
    <row r="28" spans="1:10" ht="16.5" thickBot="1">
      <c r="A28" s="54">
        <v>24</v>
      </c>
      <c r="B28" s="131"/>
      <c r="C28" s="131"/>
      <c r="D28" s="131"/>
      <c r="E28" s="131"/>
      <c r="F28" s="131"/>
      <c r="G28" s="131"/>
      <c r="H28" s="131"/>
      <c r="I28" s="131"/>
      <c r="J28" s="131"/>
    </row>
    <row r="29" spans="1:10" ht="16.5" thickBot="1">
      <c r="A29" s="54">
        <v>25</v>
      </c>
      <c r="B29" s="131"/>
      <c r="C29" s="131"/>
      <c r="D29" s="131"/>
      <c r="E29" s="131"/>
      <c r="F29" s="131"/>
      <c r="G29" s="131"/>
      <c r="H29" s="131"/>
      <c r="I29" s="131"/>
      <c r="J29" s="131"/>
    </row>
    <row r="30" spans="1:10" ht="16.5" thickBot="1">
      <c r="A30" s="54">
        <v>26</v>
      </c>
      <c r="B30" s="131"/>
      <c r="C30" s="131"/>
      <c r="D30" s="131"/>
      <c r="E30" s="131"/>
      <c r="F30" s="131"/>
      <c r="G30" s="131"/>
      <c r="H30" s="131"/>
      <c r="I30" s="131"/>
      <c r="J30" s="131"/>
    </row>
    <row r="31" spans="1:10" ht="16.5" thickBot="1">
      <c r="A31" s="54">
        <v>27</v>
      </c>
      <c r="B31" s="131"/>
      <c r="C31" s="131"/>
      <c r="D31" s="131"/>
      <c r="E31" s="131"/>
      <c r="F31" s="131"/>
      <c r="G31" s="131"/>
      <c r="H31" s="131"/>
      <c r="I31" s="131"/>
      <c r="J31" s="131"/>
    </row>
    <row r="32" spans="1:10" ht="16.5" thickBot="1">
      <c r="A32" s="54">
        <v>28</v>
      </c>
      <c r="B32" s="131"/>
      <c r="C32" s="131"/>
      <c r="D32" s="131"/>
      <c r="E32" s="131"/>
      <c r="F32" s="131"/>
      <c r="G32" s="131"/>
      <c r="H32" s="131"/>
      <c r="I32" s="131"/>
      <c r="J32" s="131"/>
    </row>
    <row r="33" spans="1:10" ht="16.5" thickBot="1">
      <c r="A33" s="54">
        <v>29</v>
      </c>
      <c r="B33" s="131"/>
      <c r="C33" s="131"/>
      <c r="D33" s="131"/>
      <c r="E33" s="131"/>
      <c r="F33" s="131"/>
      <c r="G33" s="131"/>
      <c r="H33" s="131"/>
      <c r="I33" s="131"/>
      <c r="J33" s="131"/>
    </row>
    <row r="34" spans="1:10" ht="16.5" thickBot="1">
      <c r="A34" s="54">
        <v>30</v>
      </c>
      <c r="B34" s="131"/>
      <c r="C34" s="131"/>
      <c r="D34" s="131"/>
      <c r="E34" s="131"/>
      <c r="F34" s="131"/>
      <c r="G34" s="131"/>
      <c r="H34" s="131"/>
      <c r="I34" s="131"/>
      <c r="J34" s="131"/>
    </row>
    <row r="35" spans="1:10" ht="16.5" thickBot="1">
      <c r="A35" s="54">
        <v>31</v>
      </c>
      <c r="B35" s="131"/>
      <c r="C35" s="131"/>
      <c r="D35" s="131"/>
      <c r="E35" s="131"/>
      <c r="F35" s="131"/>
      <c r="G35" s="131"/>
      <c r="H35" s="131"/>
      <c r="I35" s="131"/>
      <c r="J35" s="131"/>
    </row>
    <row r="36" spans="1:10" ht="16.5" thickBot="1">
      <c r="A36" s="54">
        <v>32</v>
      </c>
      <c r="B36" s="131"/>
      <c r="C36" s="131"/>
      <c r="D36" s="131"/>
      <c r="E36" s="131"/>
      <c r="F36" s="131"/>
      <c r="G36" s="131"/>
      <c r="H36" s="131"/>
      <c r="I36" s="131"/>
      <c r="J36" s="131"/>
    </row>
    <row r="37" spans="1:10" ht="16.5" thickBot="1">
      <c r="A37" s="54">
        <v>33</v>
      </c>
      <c r="B37" s="131"/>
      <c r="C37" s="131"/>
      <c r="D37" s="131"/>
      <c r="E37" s="131"/>
      <c r="F37" s="131"/>
      <c r="G37" s="131"/>
      <c r="H37" s="131"/>
      <c r="I37" s="131"/>
      <c r="J37" s="131"/>
    </row>
    <row r="38" spans="1:10" ht="16.5" thickBot="1">
      <c r="A38" s="54">
        <v>34</v>
      </c>
      <c r="B38" s="131"/>
      <c r="C38" s="131"/>
      <c r="D38" s="131"/>
      <c r="E38" s="131"/>
      <c r="F38" s="131"/>
      <c r="G38" s="131"/>
      <c r="H38" s="131"/>
      <c r="I38" s="131"/>
      <c r="J38" s="131"/>
    </row>
    <row r="39" spans="1:10" ht="16.5" thickBot="1">
      <c r="A39" s="54">
        <v>35</v>
      </c>
      <c r="B39" s="131"/>
      <c r="C39" s="131"/>
      <c r="D39" s="131"/>
      <c r="E39" s="131"/>
      <c r="F39" s="131"/>
      <c r="G39" s="131"/>
      <c r="H39" s="131"/>
      <c r="I39" s="131"/>
      <c r="J39" s="131"/>
    </row>
    <row r="40" spans="1:10" ht="16.5" thickBot="1">
      <c r="A40" s="54">
        <v>36</v>
      </c>
      <c r="B40" s="131"/>
      <c r="C40" s="131"/>
      <c r="D40" s="131"/>
      <c r="E40" s="131"/>
      <c r="F40" s="131"/>
      <c r="G40" s="131"/>
      <c r="H40" s="131"/>
      <c r="I40" s="131"/>
      <c r="J40" s="131"/>
    </row>
    <row r="41" spans="1:10" ht="16.5" thickBot="1">
      <c r="A41" s="54">
        <v>37</v>
      </c>
      <c r="B41" s="131"/>
      <c r="C41" s="131"/>
      <c r="D41" s="131"/>
      <c r="E41" s="131"/>
      <c r="F41" s="131"/>
      <c r="G41" s="131"/>
      <c r="H41" s="131"/>
      <c r="I41" s="131"/>
      <c r="J41" s="131"/>
    </row>
    <row r="42" spans="1:10" ht="16.5" thickBot="1">
      <c r="A42" s="54">
        <v>38</v>
      </c>
      <c r="B42" s="131"/>
      <c r="C42" s="131"/>
      <c r="D42" s="131"/>
      <c r="E42" s="131"/>
      <c r="F42" s="131"/>
      <c r="G42" s="131"/>
      <c r="H42" s="131"/>
      <c r="I42" s="131"/>
      <c r="J42" s="131"/>
    </row>
    <row r="43" spans="1:10" ht="16.5" thickBot="1">
      <c r="A43" s="54">
        <v>39</v>
      </c>
      <c r="B43" s="131"/>
      <c r="C43" s="131"/>
      <c r="D43" s="131"/>
      <c r="E43" s="131"/>
      <c r="F43" s="131"/>
      <c r="G43" s="131"/>
      <c r="H43" s="131"/>
      <c r="I43" s="131"/>
      <c r="J43" s="131"/>
    </row>
    <row r="44" spans="1:10" ht="16.5" thickBot="1">
      <c r="A44" s="54">
        <v>40</v>
      </c>
      <c r="B44" s="131"/>
      <c r="C44" s="131"/>
      <c r="D44" s="131"/>
      <c r="E44" s="131"/>
      <c r="F44" s="131"/>
      <c r="G44" s="131"/>
      <c r="H44" s="131"/>
      <c r="I44" s="131"/>
      <c r="J44" s="131"/>
    </row>
    <row r="45" spans="1:10" ht="16.5" thickBot="1">
      <c r="A45" s="51"/>
      <c r="B45" s="52"/>
      <c r="C45" s="52"/>
      <c r="D45" s="52"/>
      <c r="E45" s="52"/>
      <c r="F45" s="52"/>
      <c r="G45" s="52"/>
      <c r="H45" s="52"/>
      <c r="I45" s="52"/>
      <c r="J45" s="53"/>
    </row>
    <row r="46" spans="1:10" ht="19.5" customHeight="1">
      <c r="A46" s="455" t="s">
        <v>15</v>
      </c>
      <c r="B46" s="456"/>
      <c r="C46" s="456"/>
      <c r="D46" s="456"/>
      <c r="E46" s="456"/>
      <c r="F46" s="456"/>
      <c r="G46" s="456"/>
      <c r="H46" s="456"/>
      <c r="I46" s="456"/>
      <c r="J46" s="457"/>
    </row>
    <row r="47" spans="1:10" ht="40" customHeight="1">
      <c r="A47" s="452" t="s">
        <v>93</v>
      </c>
      <c r="B47" s="453"/>
      <c r="C47" s="453"/>
      <c r="D47" s="453"/>
      <c r="E47" s="453"/>
      <c r="F47" s="453"/>
      <c r="G47" s="453"/>
      <c r="H47" s="453"/>
      <c r="I47" s="453"/>
      <c r="J47" s="454"/>
    </row>
    <row r="48" spans="1:10" ht="32" customHeight="1">
      <c r="A48" s="452" t="s">
        <v>89</v>
      </c>
      <c r="B48" s="453"/>
      <c r="C48" s="453"/>
      <c r="D48" s="453"/>
      <c r="E48" s="453"/>
      <c r="F48" s="453"/>
      <c r="G48" s="453"/>
      <c r="H48" s="453"/>
      <c r="I48" s="453"/>
      <c r="J48" s="454"/>
    </row>
    <row r="49" spans="1:10" ht="16" thickBot="1">
      <c r="A49" s="458" t="s">
        <v>78</v>
      </c>
      <c r="B49" s="459"/>
      <c r="C49" s="459"/>
      <c r="D49" s="459"/>
      <c r="E49" s="459"/>
      <c r="F49" s="459"/>
      <c r="G49" s="459"/>
      <c r="H49" s="459"/>
      <c r="I49" s="459"/>
      <c r="J49" s="460"/>
    </row>
    <row r="50" spans="1:10" ht="16" customHeight="1">
      <c r="A50" s="442" t="s">
        <v>113</v>
      </c>
      <c r="B50" s="443"/>
      <c r="C50" s="443"/>
      <c r="D50" s="443"/>
      <c r="E50" s="443"/>
      <c r="F50" s="443"/>
      <c r="G50" s="444"/>
      <c r="H50" s="444"/>
      <c r="I50" s="444"/>
      <c r="J50" s="445"/>
    </row>
    <row r="51" spans="1:10" ht="75" customHeight="1" thickBot="1">
      <c r="A51" s="438"/>
      <c r="B51" s="439"/>
      <c r="C51" s="439"/>
      <c r="D51" s="439"/>
      <c r="E51" s="439"/>
      <c r="F51" s="439"/>
      <c r="G51" s="440"/>
      <c r="H51" s="440"/>
      <c r="I51" s="440"/>
      <c r="J51" s="441"/>
    </row>
    <row r="52" spans="1:10" ht="16">
      <c r="A52" s="292" t="str">
        <f>'Summary Schedule'!A53</f>
        <v>4.2.9.n</v>
      </c>
    </row>
    <row r="53" spans="1:10" ht="16">
      <c r="A53" s="292" t="str">
        <f>'Summary Schedule'!A54</f>
        <v>02072025</v>
      </c>
    </row>
  </sheetData>
  <sheetProtection algorithmName="SHA-512" hashValue="ODES+qNR5eAJ5BS4+E0Um9is1/1fnFERDhPIbl7mnGTZOq5k3/MLBZQgUTzIeM4Hz/nxAygnlb1yYsrjfWzwZg==" saltValue="Xlv4nc7Ffz8stpO38GPmVQ==" spinCount="100000" sheet="1" objects="1" scenarios="1"/>
  <mergeCells count="7">
    <mergeCell ref="A51:J51"/>
    <mergeCell ref="A50:J50"/>
    <mergeCell ref="A1:J2"/>
    <mergeCell ref="A47:J47"/>
    <mergeCell ref="A48:J48"/>
    <mergeCell ref="A46:J46"/>
    <mergeCell ref="A49:J49"/>
  </mergeCells>
  <conditionalFormatting sqref="A52:A53">
    <cfRule type="expression" dxfId="22" priority="1">
      <formula>#REF!="UESC"</formula>
    </cfRule>
    <cfRule type="expression" dxfId="21" priority="2">
      <formula>#REF!="ESA"</formula>
    </cfRule>
  </conditionalFormatting>
  <dataValidations count="1">
    <dataValidation type="decimal" allowBlank="1" showInputMessage="1" showErrorMessage="1" error="Please enter a percentage between 0 and 100%." sqref="B5:J45" xr:uid="{00000000-0002-0000-0200-000000000000}">
      <formula1>0</formula1>
      <formula2>1</formula2>
    </dataValidation>
  </dataValidations>
  <pageMargins left="0.7" right="0.7" top="0.75" bottom="0.75" header="0.3" footer="0.3"/>
  <pageSetup scale="57" orientation="portrait" horizontalDpi="4294967292" verticalDpi="4294967292"/>
  <drawing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1000000}">
          <x14:formula1>
            <xm:f>ECM!$B$3:$B$11</xm:f>
          </x14:formula1>
          <xm:sqref>E4</xm:sqref>
        </x14:dataValidation>
        <x14:dataValidation type="list" allowBlank="1" showInputMessage="1" showErrorMessage="1" xr:uid="{00000000-0002-0000-0200-000002000000}">
          <x14:formula1>
            <xm:f>ECM!$C$3:$C$11</xm:f>
          </x14:formula1>
          <xm:sqref>F4</xm:sqref>
        </x14:dataValidation>
      </x14:dataValidations>
    </ex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theme="9" tint="-0.249977111117893"/>
    <pageSetUpPr fitToPage="1"/>
  </sheetPr>
  <dimension ref="A1:I64"/>
  <sheetViews>
    <sheetView zoomScale="90" zoomScaleNormal="90" zoomScalePageLayoutView="150" workbookViewId="0">
      <selection sqref="A1:E1"/>
    </sheetView>
  </sheetViews>
  <sheetFormatPr defaultColWidth="11" defaultRowHeight="16"/>
  <cols>
    <col min="1" max="1" width="23.1640625" style="1" customWidth="1"/>
    <col min="2" max="2" width="27.1640625" style="1" customWidth="1"/>
    <col min="3" max="4" width="27" style="1" customWidth="1"/>
    <col min="5" max="5" width="22.83203125" style="1" customWidth="1"/>
    <col min="6" max="6" width="16.6640625" style="1" customWidth="1"/>
    <col min="7" max="7" width="14.6640625" style="1" bestFit="1" customWidth="1"/>
    <col min="8" max="8" width="12.83203125" style="1" bestFit="1" customWidth="1"/>
    <col min="9" max="9" width="14.6640625" style="1" bestFit="1" customWidth="1"/>
    <col min="10" max="16384" width="11" style="1"/>
  </cols>
  <sheetData>
    <row r="1" spans="1:9" ht="20">
      <c r="A1" s="447" t="s">
        <v>66</v>
      </c>
      <c r="B1" s="447"/>
      <c r="C1" s="447"/>
      <c r="D1" s="447"/>
      <c r="E1" s="411"/>
    </row>
    <row r="2" spans="1:9" ht="20.5" thickBot="1">
      <c r="A2" s="450" t="s">
        <v>96</v>
      </c>
      <c r="B2" s="450"/>
      <c r="C2" s="450"/>
      <c r="D2" s="450"/>
      <c r="E2" s="467"/>
    </row>
    <row r="3" spans="1:9" ht="19.5" customHeight="1" thickBot="1">
      <c r="A3" s="51"/>
      <c r="B3" s="52"/>
      <c r="C3" s="58"/>
      <c r="D3" s="58"/>
      <c r="E3" s="52"/>
      <c r="F3" s="28"/>
    </row>
    <row r="4" spans="1:9" ht="15" customHeight="1" thickBot="1">
      <c r="A4" s="468" t="s">
        <v>98</v>
      </c>
      <c r="B4" s="165" t="s">
        <v>0</v>
      </c>
      <c r="C4" s="165" t="s">
        <v>1</v>
      </c>
      <c r="D4" s="165" t="s">
        <v>2</v>
      </c>
      <c r="E4" s="279"/>
    </row>
    <row r="5" spans="1:9" ht="24" customHeight="1" thickBot="1">
      <c r="A5" s="468"/>
      <c r="B5" s="165" t="s">
        <v>321</v>
      </c>
      <c r="C5" s="165" t="s">
        <v>323</v>
      </c>
      <c r="D5" s="165" t="s">
        <v>322</v>
      </c>
      <c r="E5" s="279"/>
    </row>
    <row r="6" spans="1:9" ht="16.5" thickBot="1">
      <c r="A6" s="468"/>
      <c r="B6" s="71"/>
      <c r="C6" s="71"/>
      <c r="D6" s="71"/>
      <c r="E6" s="280"/>
    </row>
    <row r="7" spans="1:9" ht="16.5" thickBot="1">
      <c r="A7" s="468" t="s">
        <v>161</v>
      </c>
      <c r="B7" s="165" t="s">
        <v>3</v>
      </c>
      <c r="C7" s="165" t="s">
        <v>4</v>
      </c>
      <c r="D7" s="165" t="s">
        <v>5</v>
      </c>
      <c r="E7" s="168" t="s">
        <v>97</v>
      </c>
      <c r="F7" s="29"/>
    </row>
    <row r="8" spans="1:9" ht="30.75" customHeight="1" thickBot="1">
      <c r="A8" s="468"/>
      <c r="B8" s="165" t="s">
        <v>37</v>
      </c>
      <c r="C8" s="165" t="s">
        <v>75</v>
      </c>
      <c r="D8" s="165" t="s">
        <v>94</v>
      </c>
      <c r="E8" s="168" t="s">
        <v>90</v>
      </c>
    </row>
    <row r="9" spans="1:9" ht="18" customHeight="1" thickBot="1">
      <c r="A9" s="59">
        <v>1</v>
      </c>
      <c r="B9" s="71"/>
      <c r="C9" s="71"/>
      <c r="D9" s="71"/>
      <c r="E9" s="282" t="str">
        <f>IFERROR(IF(A9&lt;=#REF!,C9-D9,""),"")</f>
        <v/>
      </c>
      <c r="F9" s="50"/>
      <c r="G9" s="50"/>
      <c r="H9" s="13"/>
      <c r="I9" s="13"/>
    </row>
    <row r="10" spans="1:9" ht="18" customHeight="1" thickBot="1">
      <c r="A10" s="59">
        <v>2</v>
      </c>
      <c r="B10" s="71"/>
      <c r="C10" s="71"/>
      <c r="D10" s="71"/>
      <c r="E10" s="282" t="str">
        <f>IFERROR(IF(A10&lt;=#REF!,C10-D10,""),"")</f>
        <v/>
      </c>
      <c r="F10" s="50"/>
      <c r="G10" s="13"/>
      <c r="H10" s="13"/>
      <c r="I10" s="13"/>
    </row>
    <row r="11" spans="1:9" ht="18" customHeight="1" thickBot="1">
      <c r="A11" s="59">
        <v>3</v>
      </c>
      <c r="B11" s="71"/>
      <c r="C11" s="71"/>
      <c r="D11" s="71"/>
      <c r="E11" s="282" t="str">
        <f>IFERROR(IF(A11&lt;=#REF!,C11-D11,""),"")</f>
        <v/>
      </c>
      <c r="F11" s="50"/>
      <c r="G11" s="13"/>
      <c r="H11" s="13"/>
      <c r="I11" s="13"/>
    </row>
    <row r="12" spans="1:9" ht="18" customHeight="1" thickBot="1">
      <c r="A12" s="59">
        <v>4</v>
      </c>
      <c r="B12" s="71"/>
      <c r="C12" s="71"/>
      <c r="D12" s="71"/>
      <c r="E12" s="282" t="str">
        <f>IFERROR(IF(A12&lt;=#REF!,C12-D12,""),"")</f>
        <v/>
      </c>
      <c r="F12" s="50"/>
      <c r="G12" s="13"/>
      <c r="H12" s="13"/>
      <c r="I12" s="13"/>
    </row>
    <row r="13" spans="1:9" ht="18" customHeight="1" thickBot="1">
      <c r="A13" s="59">
        <v>5</v>
      </c>
      <c r="B13" s="71"/>
      <c r="C13" s="71"/>
      <c r="D13" s="71"/>
      <c r="E13" s="282" t="str">
        <f>IFERROR(IF(A13&lt;=#REF!,C13-D13,""),"")</f>
        <v/>
      </c>
      <c r="F13" s="50"/>
      <c r="G13" s="13"/>
      <c r="H13" s="13"/>
      <c r="I13" s="13"/>
    </row>
    <row r="14" spans="1:9" ht="18" customHeight="1" thickBot="1">
      <c r="A14" s="59">
        <v>6</v>
      </c>
      <c r="B14" s="71"/>
      <c r="C14" s="71"/>
      <c r="D14" s="71"/>
      <c r="E14" s="282" t="str">
        <f>IFERROR(IF(A14&lt;=#REF!,C14-D14,""),"")</f>
        <v/>
      </c>
      <c r="F14" s="50"/>
      <c r="G14" s="13"/>
      <c r="H14" s="13"/>
      <c r="I14" s="13"/>
    </row>
    <row r="15" spans="1:9" ht="18" customHeight="1" thickBot="1">
      <c r="A15" s="59">
        <v>7</v>
      </c>
      <c r="B15" s="71"/>
      <c r="C15" s="71"/>
      <c r="D15" s="71"/>
      <c r="E15" s="282" t="str">
        <f>IFERROR(IF(A15&lt;=#REF!,C15-D15,""),"")</f>
        <v/>
      </c>
      <c r="F15" s="50"/>
      <c r="G15" s="13"/>
      <c r="H15" s="13"/>
      <c r="I15" s="13"/>
    </row>
    <row r="16" spans="1:9" ht="18" customHeight="1" thickBot="1">
      <c r="A16" s="59">
        <v>8</v>
      </c>
      <c r="B16" s="71"/>
      <c r="C16" s="71"/>
      <c r="D16" s="71"/>
      <c r="E16" s="282" t="str">
        <f>IFERROR(IF(A16&lt;=#REF!,C16-D16,""),"")</f>
        <v/>
      </c>
      <c r="F16" s="50"/>
      <c r="G16" s="13"/>
      <c r="H16" s="13"/>
      <c r="I16" s="13"/>
    </row>
    <row r="17" spans="1:9" ht="18" customHeight="1" thickBot="1">
      <c r="A17" s="59">
        <v>9</v>
      </c>
      <c r="B17" s="71"/>
      <c r="C17" s="71"/>
      <c r="D17" s="71"/>
      <c r="E17" s="282" t="str">
        <f>IFERROR(IF(A17&lt;=#REF!,C17-D17,""),"")</f>
        <v/>
      </c>
      <c r="F17" s="50"/>
      <c r="G17" s="13"/>
      <c r="H17" s="13"/>
      <c r="I17" s="13"/>
    </row>
    <row r="18" spans="1:9" ht="18" customHeight="1" thickBot="1">
      <c r="A18" s="59">
        <v>10</v>
      </c>
      <c r="B18" s="71"/>
      <c r="C18" s="71"/>
      <c r="D18" s="71"/>
      <c r="E18" s="282" t="str">
        <f>IFERROR(IF(A18&lt;=#REF!,C18-D18,""),"")</f>
        <v/>
      </c>
      <c r="F18" s="50"/>
      <c r="G18" s="13"/>
      <c r="H18" s="13"/>
      <c r="I18" s="13"/>
    </row>
    <row r="19" spans="1:9" ht="18" customHeight="1" thickBot="1">
      <c r="A19" s="59">
        <v>11</v>
      </c>
      <c r="B19" s="71"/>
      <c r="C19" s="71"/>
      <c r="D19" s="71"/>
      <c r="E19" s="282" t="str">
        <f>IFERROR(IF(A19&lt;=#REF!,C19-D19,""),"")</f>
        <v/>
      </c>
      <c r="F19" s="50"/>
      <c r="G19" s="13"/>
      <c r="H19" s="13"/>
      <c r="I19" s="13"/>
    </row>
    <row r="20" spans="1:9" ht="18" customHeight="1" thickBot="1">
      <c r="A20" s="59">
        <v>12</v>
      </c>
      <c r="B20" s="71"/>
      <c r="C20" s="71"/>
      <c r="D20" s="71"/>
      <c r="E20" s="282" t="str">
        <f>IFERROR(IF(A20&lt;=#REF!,C20-D20,""),"")</f>
        <v/>
      </c>
      <c r="F20" s="50"/>
    </row>
    <row r="21" spans="1:9" ht="18" customHeight="1" thickBot="1">
      <c r="A21" s="59">
        <v>13</v>
      </c>
      <c r="B21" s="71"/>
      <c r="C21" s="71"/>
      <c r="D21" s="71"/>
      <c r="E21" s="282" t="str">
        <f>IFERROR(IF(A21&lt;=#REF!,C21-D21,""),"")</f>
        <v/>
      </c>
      <c r="F21" s="50"/>
    </row>
    <row r="22" spans="1:9" ht="18" customHeight="1" thickBot="1">
      <c r="A22" s="59">
        <v>14</v>
      </c>
      <c r="B22" s="71"/>
      <c r="C22" s="71"/>
      <c r="D22" s="71"/>
      <c r="E22" s="282" t="str">
        <f>IFERROR(IF(A22&lt;=#REF!,C22-D22,""),"")</f>
        <v/>
      </c>
      <c r="F22" s="50"/>
    </row>
    <row r="23" spans="1:9" ht="18" customHeight="1" thickBot="1">
      <c r="A23" s="59">
        <v>15</v>
      </c>
      <c r="B23" s="71"/>
      <c r="C23" s="71"/>
      <c r="D23" s="71"/>
      <c r="E23" s="282" t="str">
        <f>IFERROR(IF(A23&lt;=#REF!,C23-D23,""),"")</f>
        <v/>
      </c>
      <c r="F23" s="50"/>
    </row>
    <row r="24" spans="1:9" ht="18" customHeight="1" thickBot="1">
      <c r="A24" s="59">
        <v>16</v>
      </c>
      <c r="B24" s="71"/>
      <c r="C24" s="71"/>
      <c r="D24" s="71"/>
      <c r="E24" s="282" t="str">
        <f>IFERROR(IF(A24&lt;=#REF!,C24-D24,""),"")</f>
        <v/>
      </c>
      <c r="F24" s="50"/>
    </row>
    <row r="25" spans="1:9" ht="18" customHeight="1" thickBot="1">
      <c r="A25" s="59">
        <v>17</v>
      </c>
      <c r="B25" s="71"/>
      <c r="C25" s="71"/>
      <c r="D25" s="71"/>
      <c r="E25" s="282" t="str">
        <f>IFERROR(IF(A25&lt;=#REF!,C25-D25,""),"")</f>
        <v/>
      </c>
      <c r="F25" s="50"/>
    </row>
    <row r="26" spans="1:9" ht="18" customHeight="1" thickBot="1">
      <c r="A26" s="59">
        <v>18</v>
      </c>
      <c r="B26" s="71"/>
      <c r="C26" s="71"/>
      <c r="D26" s="71"/>
      <c r="E26" s="282" t="str">
        <f>IFERROR(IF(A26&lt;=#REF!,C26-D26,""),"")</f>
        <v/>
      </c>
      <c r="F26" s="50"/>
    </row>
    <row r="27" spans="1:9" ht="18" customHeight="1" thickBot="1">
      <c r="A27" s="59">
        <v>19</v>
      </c>
      <c r="B27" s="71"/>
      <c r="C27" s="71"/>
      <c r="D27" s="71"/>
      <c r="E27" s="282" t="str">
        <f>IFERROR(IF(A27&lt;=#REF!,C27-D27,""),"")</f>
        <v/>
      </c>
      <c r="F27" s="50"/>
    </row>
    <row r="28" spans="1:9" ht="18" customHeight="1" thickBot="1">
      <c r="A28" s="59">
        <v>20</v>
      </c>
      <c r="B28" s="71"/>
      <c r="C28" s="71"/>
      <c r="D28" s="71"/>
      <c r="E28" s="282" t="str">
        <f>IFERROR(IF(A28&lt;=#REF!,C28-D28,""),"")</f>
        <v/>
      </c>
      <c r="F28" s="50"/>
    </row>
    <row r="29" spans="1:9" ht="18" customHeight="1" thickBot="1">
      <c r="A29" s="59">
        <v>21</v>
      </c>
      <c r="B29" s="71"/>
      <c r="C29" s="71"/>
      <c r="D29" s="71"/>
      <c r="E29" s="282" t="str">
        <f>IFERROR(IF(A29&lt;=#REF!,C29-D29,""),"")</f>
        <v/>
      </c>
      <c r="F29" s="50"/>
    </row>
    <row r="30" spans="1:9" ht="18" customHeight="1" thickBot="1">
      <c r="A30" s="59">
        <v>22</v>
      </c>
      <c r="B30" s="71"/>
      <c r="C30" s="71"/>
      <c r="D30" s="71"/>
      <c r="E30" s="282" t="str">
        <f>IFERROR(IF(A30&lt;=#REF!,C30-D30,""),"")</f>
        <v/>
      </c>
      <c r="F30" s="50"/>
    </row>
    <row r="31" spans="1:9" ht="18" customHeight="1" thickBot="1">
      <c r="A31" s="59">
        <v>23</v>
      </c>
      <c r="B31" s="71"/>
      <c r="C31" s="71"/>
      <c r="D31" s="71"/>
      <c r="E31" s="282" t="str">
        <f>IFERROR(IF(A31&lt;=#REF!,C31-D31,""),"")</f>
        <v/>
      </c>
      <c r="F31" s="50"/>
    </row>
    <row r="32" spans="1:9" ht="18" customHeight="1" thickBot="1">
      <c r="A32" s="59">
        <v>24</v>
      </c>
      <c r="B32" s="71"/>
      <c r="C32" s="71"/>
      <c r="D32" s="71"/>
      <c r="E32" s="282" t="str">
        <f>IFERROR(IF(A32&lt;=#REF!,C32-D32,""),"")</f>
        <v/>
      </c>
      <c r="F32" s="50"/>
    </row>
    <row r="33" spans="1:6" ht="18" customHeight="1" thickBot="1">
      <c r="A33" s="59">
        <v>25</v>
      </c>
      <c r="B33" s="71"/>
      <c r="C33" s="71"/>
      <c r="D33" s="71"/>
      <c r="E33" s="282" t="str">
        <f>IFERROR(IF(A33&lt;=#REF!,C33-D33,""),"")</f>
        <v/>
      </c>
      <c r="F33" s="50"/>
    </row>
    <row r="34" spans="1:6" ht="18" hidden="1" customHeight="1" thickBot="1">
      <c r="A34" s="59">
        <v>26</v>
      </c>
      <c r="B34" s="211"/>
      <c r="C34" s="211"/>
      <c r="D34" s="211"/>
      <c r="E34" s="282" t="str">
        <f>IFERROR(IF(A34&lt;=#REF!,C34-D34,""),"")</f>
        <v/>
      </c>
      <c r="F34" s="50"/>
    </row>
    <row r="35" spans="1:6" ht="18" hidden="1" customHeight="1" thickBot="1">
      <c r="A35" s="59">
        <v>27</v>
      </c>
      <c r="B35" s="211"/>
      <c r="C35" s="211"/>
      <c r="D35" s="211"/>
      <c r="E35" s="282" t="str">
        <f>IFERROR(IF(A35&lt;=#REF!,C35-D35,""),"")</f>
        <v/>
      </c>
      <c r="F35" s="50"/>
    </row>
    <row r="36" spans="1:6" ht="18" hidden="1" customHeight="1" thickBot="1">
      <c r="A36" s="59">
        <v>28</v>
      </c>
      <c r="B36" s="211"/>
      <c r="C36" s="211"/>
      <c r="D36" s="211"/>
      <c r="E36" s="282" t="str">
        <f>IFERROR(IF(A36&lt;=#REF!,C36-D36,""),"")</f>
        <v/>
      </c>
      <c r="F36" s="50"/>
    </row>
    <row r="37" spans="1:6" ht="18" hidden="1" customHeight="1" thickBot="1">
      <c r="A37" s="59">
        <v>29</v>
      </c>
      <c r="B37" s="211"/>
      <c r="C37" s="211"/>
      <c r="D37" s="211"/>
      <c r="E37" s="282" t="str">
        <f>IFERROR(IF(A37&lt;=#REF!,C37-D37,""),"")</f>
        <v/>
      </c>
      <c r="F37" s="50"/>
    </row>
    <row r="38" spans="1:6" ht="18" hidden="1" customHeight="1" thickBot="1">
      <c r="A38" s="59">
        <v>30</v>
      </c>
      <c r="B38" s="211"/>
      <c r="C38" s="211"/>
      <c r="D38" s="211"/>
      <c r="E38" s="282" t="str">
        <f>IFERROR(IF(A38&lt;=#REF!,C38-D38,""),"")</f>
        <v/>
      </c>
      <c r="F38" s="50"/>
    </row>
    <row r="39" spans="1:6" ht="18" hidden="1" customHeight="1" thickBot="1">
      <c r="A39" s="59">
        <v>31</v>
      </c>
      <c r="B39" s="211"/>
      <c r="C39" s="211"/>
      <c r="D39" s="211"/>
      <c r="E39" s="282" t="str">
        <f>IFERROR(IF(A39&lt;=#REF!,C39-D39,""),"")</f>
        <v/>
      </c>
      <c r="F39" s="50"/>
    </row>
    <row r="40" spans="1:6" ht="18" hidden="1" customHeight="1" thickBot="1">
      <c r="A40" s="59">
        <v>32</v>
      </c>
      <c r="B40" s="211"/>
      <c r="C40" s="211"/>
      <c r="D40" s="211"/>
      <c r="E40" s="282" t="str">
        <f>IFERROR(IF(A40&lt;=#REF!,C40-D40,""),"")</f>
        <v/>
      </c>
      <c r="F40" s="50"/>
    </row>
    <row r="41" spans="1:6" ht="18" hidden="1" customHeight="1" thickBot="1">
      <c r="A41" s="59">
        <v>33</v>
      </c>
      <c r="B41" s="211"/>
      <c r="C41" s="211"/>
      <c r="D41" s="211"/>
      <c r="E41" s="282" t="str">
        <f>IFERROR(IF(A41&lt;=#REF!,C41-D41,""),"")</f>
        <v/>
      </c>
      <c r="F41" s="50"/>
    </row>
    <row r="42" spans="1:6" ht="18" hidden="1" customHeight="1" thickBot="1">
      <c r="A42" s="59">
        <v>34</v>
      </c>
      <c r="B42" s="211"/>
      <c r="C42" s="211"/>
      <c r="D42" s="211"/>
      <c r="E42" s="282" t="str">
        <f>IFERROR(IF(A42&lt;=#REF!,C42-D42,""),"")</f>
        <v/>
      </c>
      <c r="F42" s="50"/>
    </row>
    <row r="43" spans="1:6" ht="18" hidden="1" customHeight="1" thickBot="1">
      <c r="A43" s="59">
        <v>35</v>
      </c>
      <c r="B43" s="211"/>
      <c r="C43" s="211"/>
      <c r="D43" s="211"/>
      <c r="E43" s="282" t="str">
        <f>IFERROR(IF(A43&lt;=#REF!,C43-D43,""),"")</f>
        <v/>
      </c>
      <c r="F43" s="50"/>
    </row>
    <row r="44" spans="1:6" ht="18" hidden="1" customHeight="1" thickBot="1">
      <c r="A44" s="59">
        <v>36</v>
      </c>
      <c r="B44" s="211"/>
      <c r="C44" s="211"/>
      <c r="D44" s="211"/>
      <c r="E44" s="282" t="str">
        <f>IFERROR(IF(A44&lt;=#REF!,C44-D44,""),"")</f>
        <v/>
      </c>
      <c r="F44" s="50"/>
    </row>
    <row r="45" spans="1:6" ht="18" hidden="1" customHeight="1" thickBot="1">
      <c r="A45" s="59">
        <v>37</v>
      </c>
      <c r="B45" s="211"/>
      <c r="C45" s="211"/>
      <c r="D45" s="211"/>
      <c r="E45" s="282" t="str">
        <f>IFERROR(IF(A45&lt;=#REF!,C45-D45,""),"")</f>
        <v/>
      </c>
      <c r="F45" s="50"/>
    </row>
    <row r="46" spans="1:6" ht="18" hidden="1" customHeight="1" thickBot="1">
      <c r="A46" s="59">
        <v>38</v>
      </c>
      <c r="B46" s="211"/>
      <c r="C46" s="211"/>
      <c r="D46" s="211"/>
      <c r="E46" s="282" t="str">
        <f>IFERROR(IF(A46&lt;=#REF!,C46-D46,""),"")</f>
        <v/>
      </c>
      <c r="F46" s="50"/>
    </row>
    <row r="47" spans="1:6" ht="18" hidden="1" customHeight="1" thickBot="1">
      <c r="A47" s="59">
        <v>39</v>
      </c>
      <c r="B47" s="211"/>
      <c r="C47" s="211"/>
      <c r="D47" s="211"/>
      <c r="E47" s="282" t="str">
        <f>IFERROR(IF(A47&lt;=#REF!,C47-D47,""),"")</f>
        <v/>
      </c>
      <c r="F47" s="50"/>
    </row>
    <row r="48" spans="1:6" ht="18" hidden="1" customHeight="1" thickBot="1">
      <c r="A48" s="59">
        <v>40</v>
      </c>
      <c r="B48" s="211"/>
      <c r="C48" s="211"/>
      <c r="D48" s="211"/>
      <c r="E48" s="282" t="str">
        <f>IFERROR(IF(A48&lt;=#REF!,C48-D48,""),"")</f>
        <v/>
      </c>
      <c r="F48" s="50"/>
    </row>
    <row r="49" spans="1:7" ht="32.25" customHeight="1" thickBot="1">
      <c r="A49" s="60" t="s">
        <v>53</v>
      </c>
      <c r="B49" s="212">
        <f>SUM(B9:B48)</f>
        <v>0</v>
      </c>
      <c r="C49" s="212">
        <f t="shared" ref="C49:E49" si="0">SUM(C9:C48)</f>
        <v>0</v>
      </c>
      <c r="D49" s="212">
        <f t="shared" si="0"/>
        <v>0</v>
      </c>
      <c r="E49" s="212">
        <f t="shared" si="0"/>
        <v>0</v>
      </c>
      <c r="F49" s="30"/>
      <c r="G49" s="30"/>
    </row>
    <row r="50" spans="1:7" ht="20" customHeight="1">
      <c r="A50" s="469" t="s">
        <v>23</v>
      </c>
      <c r="B50" s="470"/>
      <c r="C50" s="475" t="s">
        <v>6</v>
      </c>
      <c r="D50" s="477" t="s">
        <v>95</v>
      </c>
      <c r="E50" s="284"/>
      <c r="F50" s="30"/>
      <c r="G50" s="30"/>
    </row>
    <row r="51" spans="1:7" ht="16.5" thickBot="1">
      <c r="A51" s="471"/>
      <c r="B51" s="472"/>
      <c r="C51" s="476"/>
      <c r="D51" s="478"/>
      <c r="E51" s="279"/>
      <c r="F51" s="30"/>
      <c r="G51" s="30"/>
    </row>
    <row r="52" spans="1:7" ht="18" customHeight="1" thickBot="1">
      <c r="A52" s="473"/>
      <c r="B52" s="474"/>
      <c r="C52" s="214">
        <f>C49+C6</f>
        <v>0</v>
      </c>
      <c r="D52" s="215">
        <f>D49+D6</f>
        <v>0</v>
      </c>
      <c r="E52" s="279"/>
      <c r="F52" s="30"/>
      <c r="G52" s="30"/>
    </row>
    <row r="53" spans="1:7" ht="16.5" thickBot="1">
      <c r="A53" s="31"/>
      <c r="B53" s="32"/>
      <c r="C53" s="33"/>
      <c r="D53" s="33"/>
      <c r="E53" s="323"/>
      <c r="F53" s="30"/>
      <c r="G53" s="30"/>
    </row>
    <row r="54" spans="1:7">
      <c r="A54" s="462" t="s">
        <v>15</v>
      </c>
      <c r="B54" s="463"/>
      <c r="C54" s="463"/>
      <c r="D54" s="463"/>
      <c r="E54" s="444"/>
    </row>
    <row r="55" spans="1:7" ht="55" customHeight="1">
      <c r="A55" s="464" t="s">
        <v>268</v>
      </c>
      <c r="B55" s="465"/>
      <c r="C55" s="465"/>
      <c r="D55" s="465"/>
      <c r="E55" s="465"/>
    </row>
    <row r="56" spans="1:7" ht="17" customHeight="1">
      <c r="A56" s="461" t="s">
        <v>225</v>
      </c>
      <c r="B56" s="466"/>
      <c r="C56" s="466"/>
      <c r="D56" s="466"/>
      <c r="E56" s="466"/>
    </row>
    <row r="57" spans="1:7" ht="17" customHeight="1">
      <c r="A57" s="461" t="s">
        <v>138</v>
      </c>
      <c r="B57" s="411"/>
      <c r="C57" s="411"/>
      <c r="D57" s="411"/>
      <c r="E57" s="411"/>
    </row>
    <row r="58" spans="1:7" ht="17" customHeight="1">
      <c r="A58" s="461" t="s">
        <v>196</v>
      </c>
      <c r="B58" s="411"/>
      <c r="C58" s="411"/>
      <c r="D58" s="411"/>
      <c r="E58" s="411"/>
    </row>
    <row r="59" spans="1:7" ht="16" customHeight="1">
      <c r="A59" s="461" t="s">
        <v>197</v>
      </c>
      <c r="B59" s="411"/>
      <c r="C59" s="411"/>
      <c r="D59" s="411"/>
      <c r="E59" s="411"/>
    </row>
    <row r="60" spans="1:7" ht="16.5" thickBot="1">
      <c r="A60" s="461" t="s">
        <v>198</v>
      </c>
      <c r="B60" s="411"/>
      <c r="C60" s="411"/>
      <c r="D60" s="411"/>
      <c r="E60" s="411"/>
    </row>
    <row r="61" spans="1:7">
      <c r="A61" s="462" t="s">
        <v>113</v>
      </c>
      <c r="B61" s="463"/>
      <c r="C61" s="463"/>
      <c r="D61" s="463"/>
      <c r="E61" s="444"/>
    </row>
    <row r="62" spans="1:7" ht="71" customHeight="1" thickBot="1">
      <c r="A62" s="438"/>
      <c r="B62" s="439"/>
      <c r="C62" s="439"/>
      <c r="D62" s="439"/>
      <c r="E62" s="439"/>
    </row>
    <row r="63" spans="1:7">
      <c r="A63" s="292" t="str">
        <f>'Summary Schedule'!A53</f>
        <v>4.2.9.n</v>
      </c>
    </row>
    <row r="64" spans="1:7">
      <c r="A64" s="292" t="str">
        <f>'Summary Schedule'!A54</f>
        <v>02072025</v>
      </c>
    </row>
  </sheetData>
  <sheetProtection algorithmName="SHA-512" hashValue="v2FVh0DUtO1WKi0y5GaSo0He+HUObxYOzfGMRk2w5pvFeJwzQG+yr/Wq+bqusnjCIMHB5JALszxxalwJUja1Yg==" saltValue="Tc9ZzU5dKD7xpyRdJzyYsA==" spinCount="100000" sheet="1" objects="1" scenarios="1"/>
  <mergeCells count="16">
    <mergeCell ref="A1:E1"/>
    <mergeCell ref="A2:E2"/>
    <mergeCell ref="A4:A6"/>
    <mergeCell ref="A7:A8"/>
    <mergeCell ref="A50:B52"/>
    <mergeCell ref="C50:C51"/>
    <mergeCell ref="D50:D51"/>
    <mergeCell ref="A59:E59"/>
    <mergeCell ref="A60:E60"/>
    <mergeCell ref="A61:E61"/>
    <mergeCell ref="A62:E62"/>
    <mergeCell ref="A54:E54"/>
    <mergeCell ref="A55:E55"/>
    <mergeCell ref="A56:E56"/>
    <mergeCell ref="A57:E57"/>
    <mergeCell ref="A58:E58"/>
  </mergeCells>
  <dataValidations count="5">
    <dataValidation type="whole" allowBlank="1" showInputMessage="1" showErrorMessage="1" error="Please enter a valid value " sqref="E51:E52 E6" xr:uid="{00000000-0002-0000-0300-000000000000}">
      <formula1>0</formula1>
      <formula2>1000000000</formula2>
    </dataValidation>
    <dataValidation type="whole" allowBlank="1" showInputMessage="1" showErrorMessage="1" sqref="B34:D48 E10:E48" xr:uid="{8FC56F97-530C-DE4E-AB6A-8F377D7A07C6}">
      <formula1>-100000000</formula1>
      <formula2>10000000000</formula2>
    </dataValidation>
    <dataValidation type="whole" allowBlank="1" showInputMessage="1" showErrorMessage="1" sqref="C52:D52" xr:uid="{E04E9F62-D581-CE4E-8600-98413DDDBFFB}">
      <formula1>-10000000</formula1>
      <formula2>100000000000</formula2>
    </dataValidation>
    <dataValidation type="whole" allowBlank="1" showInputMessage="1" showErrorMessage="1" error="Enter a number" sqref="B6:D6 B9:D33" xr:uid="{D5C5BCBA-3CCD-4333-90B5-48C7BD427A43}">
      <formula1>0</formula1>
      <formula2>1000000000</formula2>
    </dataValidation>
    <dataValidation type="whole" allowBlank="1" showInputMessage="1" showErrorMessage="1" error="Enter a number" sqref="B49:E49 E9" xr:uid="{4EEED9A7-4070-4F36-9735-99A5642444D5}">
      <formula1>-100000000</formula1>
      <formula2>10000000000</formula2>
    </dataValidation>
  </dataValidations>
  <pageMargins left="0.75" right="0.75" top="1" bottom="1" header="0.5" footer="0.5"/>
  <pageSetup scale="55" orientation="portrait" horizontalDpi="4294967292" verticalDpi="4294967292"/>
  <drawing r:id="rId1"/>
  <extLst>
    <ext xmlns:x14="http://schemas.microsoft.com/office/spreadsheetml/2009/9/main" uri="{78C0D931-6437-407d-A8EE-F0AAD7539E65}">
      <x14:conditionalFormattings>
        <x14:conditionalFormatting xmlns:xm="http://schemas.microsoft.com/office/excel/2006/main">
          <x14:cfRule type="expression" priority="1" id="{00000000-000E-0000-0300-000001000000}">
            <xm:f>OR('Summary Schedule'!$C$4="Direct-Funded", 'Summary Schedule'!$C$4="UESC",'Summary Schedule'!$C$4="ESA")</xm:f>
            <x14:dxf>
              <font>
                <color theme="0" tint="-0.24994659260841701"/>
              </font>
              <fill>
                <patternFill>
                  <fgColor theme="0" tint="-0.24994659260841701"/>
                  <bgColor theme="0" tint="-0.24994659260841701"/>
                </patternFill>
              </fill>
              <border>
                <left/>
                <right/>
                <top/>
                <bottom/>
              </border>
            </x14:dxf>
          </x14:cfRule>
          <xm:sqref>A1:E64</xm:sqref>
        </x14:conditionalFormatting>
      </x14:conditionalFormattings>
    </ext>
    <ext xmlns:mx="http://schemas.microsoft.com/office/mac/excel/2008/main" uri="{64002731-A6B0-56B0-2670-7721B7C09600}">
      <mx:PLV Mode="0" OnePage="0" WScale="10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BB7D3-926D-2E4F-A601-ED50CB816876}">
  <sheetPr codeName="Sheet4">
    <tabColor rgb="FF660066"/>
    <pageSetUpPr fitToPage="1"/>
  </sheetPr>
  <dimension ref="A1:G62"/>
  <sheetViews>
    <sheetView zoomScale="90" zoomScaleNormal="90" zoomScalePageLayoutView="150" workbookViewId="0">
      <selection sqref="A1:D1"/>
    </sheetView>
  </sheetViews>
  <sheetFormatPr defaultColWidth="11" defaultRowHeight="16"/>
  <cols>
    <col min="1" max="1" width="23.1640625" style="1" customWidth="1"/>
    <col min="2" max="2" width="37.83203125" style="1" customWidth="1"/>
    <col min="3" max="3" width="52.1640625" style="1" customWidth="1"/>
    <col min="4" max="4" width="22.83203125" style="1" customWidth="1"/>
    <col min="5" max="5" width="14.6640625" style="1" bestFit="1" customWidth="1"/>
    <col min="6" max="6" width="12.83203125" style="1" bestFit="1" customWidth="1"/>
    <col min="7" max="7" width="14.6640625" style="1" bestFit="1" customWidth="1"/>
    <col min="8" max="16384" width="11" style="1"/>
  </cols>
  <sheetData>
    <row r="1" spans="1:7" ht="20">
      <c r="A1" s="447" t="s">
        <v>242</v>
      </c>
      <c r="B1" s="447"/>
      <c r="C1" s="447"/>
      <c r="D1" s="411"/>
    </row>
    <row r="2" spans="1:7" ht="20">
      <c r="A2" s="447" t="s">
        <v>96</v>
      </c>
      <c r="B2" s="447"/>
      <c r="C2" s="447"/>
      <c r="D2" s="411"/>
    </row>
    <row r="3" spans="1:7" ht="19.5" customHeight="1" thickBot="1">
      <c r="A3" s="276"/>
      <c r="B3" s="277"/>
      <c r="C3" s="278"/>
      <c r="D3" s="277"/>
    </row>
    <row r="4" spans="1:7" ht="15" customHeight="1" thickBot="1">
      <c r="A4" s="479" t="s">
        <v>98</v>
      </c>
      <c r="B4" s="165" t="s">
        <v>0</v>
      </c>
      <c r="C4" s="165" t="s">
        <v>2</v>
      </c>
      <c r="D4" s="279"/>
    </row>
    <row r="5" spans="1:7" ht="24" customHeight="1" thickBot="1">
      <c r="A5" s="479"/>
      <c r="B5" s="165" t="s">
        <v>321</v>
      </c>
      <c r="C5" s="165" t="s">
        <v>322</v>
      </c>
      <c r="D5" s="279"/>
    </row>
    <row r="6" spans="1:7" ht="16.5" thickBot="1">
      <c r="A6" s="479"/>
      <c r="B6" s="71"/>
      <c r="C6" s="71"/>
      <c r="D6" s="280"/>
    </row>
    <row r="7" spans="1:7" ht="16.5" thickBot="1">
      <c r="A7" s="479" t="s">
        <v>161</v>
      </c>
      <c r="B7" s="165" t="s">
        <v>3</v>
      </c>
      <c r="C7" s="165" t="s">
        <v>5</v>
      </c>
      <c r="D7" s="168" t="s">
        <v>97</v>
      </c>
    </row>
    <row r="8" spans="1:7" ht="30.75" customHeight="1" thickBot="1">
      <c r="A8" s="479"/>
      <c r="B8" s="165" t="s">
        <v>37</v>
      </c>
      <c r="C8" s="165" t="s">
        <v>94</v>
      </c>
      <c r="D8" s="168" t="s">
        <v>90</v>
      </c>
    </row>
    <row r="9" spans="1:7" ht="18" customHeight="1" thickBot="1">
      <c r="A9" s="281">
        <v>1</v>
      </c>
      <c r="B9" s="71"/>
      <c r="C9" s="71"/>
      <c r="D9" s="71"/>
      <c r="E9" s="13"/>
      <c r="G9" s="13"/>
    </row>
    <row r="10" spans="1:7" ht="18" customHeight="1" thickBot="1">
      <c r="A10" s="281">
        <v>2</v>
      </c>
      <c r="B10" s="71"/>
      <c r="C10" s="71"/>
      <c r="D10" s="71"/>
      <c r="E10" s="13"/>
      <c r="G10" s="13"/>
    </row>
    <row r="11" spans="1:7" ht="18" customHeight="1" thickBot="1">
      <c r="A11" s="281">
        <v>3</v>
      </c>
      <c r="B11" s="71"/>
      <c r="C11" s="71"/>
      <c r="D11" s="71"/>
      <c r="E11" s="13"/>
      <c r="G11" s="13"/>
    </row>
    <row r="12" spans="1:7" ht="18" customHeight="1" thickBot="1">
      <c r="A12" s="281">
        <v>4</v>
      </c>
      <c r="B12" s="71"/>
      <c r="C12" s="71"/>
      <c r="D12" s="71"/>
      <c r="E12" s="13"/>
      <c r="G12" s="13"/>
    </row>
    <row r="13" spans="1:7" ht="18" customHeight="1" thickBot="1">
      <c r="A13" s="281">
        <v>5</v>
      </c>
      <c r="B13" s="71"/>
      <c r="C13" s="71"/>
      <c r="D13" s="71"/>
      <c r="E13" s="13"/>
      <c r="G13" s="13"/>
    </row>
    <row r="14" spans="1:7" ht="18" customHeight="1" thickBot="1">
      <c r="A14" s="281">
        <v>6</v>
      </c>
      <c r="B14" s="71"/>
      <c r="C14" s="71"/>
      <c r="D14" s="71"/>
      <c r="E14" s="13"/>
      <c r="G14" s="13"/>
    </row>
    <row r="15" spans="1:7" ht="18" customHeight="1" thickBot="1">
      <c r="A15" s="281">
        <v>7</v>
      </c>
      <c r="B15" s="71"/>
      <c r="C15" s="71"/>
      <c r="D15" s="71"/>
      <c r="E15" s="13"/>
      <c r="G15" s="13"/>
    </row>
    <row r="16" spans="1:7" ht="18" customHeight="1" thickBot="1">
      <c r="A16" s="281">
        <v>8</v>
      </c>
      <c r="B16" s="71"/>
      <c r="C16" s="71"/>
      <c r="D16" s="71"/>
      <c r="E16" s="13"/>
      <c r="G16" s="13"/>
    </row>
    <row r="17" spans="1:7" ht="18" customHeight="1" thickBot="1">
      <c r="A17" s="281">
        <v>9</v>
      </c>
      <c r="B17" s="71"/>
      <c r="C17" s="71"/>
      <c r="D17" s="71"/>
      <c r="E17" s="13"/>
      <c r="G17" s="13"/>
    </row>
    <row r="18" spans="1:7" ht="18" customHeight="1" thickBot="1">
      <c r="A18" s="281">
        <v>10</v>
      </c>
      <c r="B18" s="71"/>
      <c r="C18" s="71"/>
      <c r="D18" s="71"/>
      <c r="E18" s="13"/>
      <c r="G18" s="13"/>
    </row>
    <row r="19" spans="1:7" ht="18" customHeight="1" thickBot="1">
      <c r="A19" s="281">
        <v>11</v>
      </c>
      <c r="B19" s="71"/>
      <c r="C19" s="71"/>
      <c r="D19" s="71"/>
      <c r="E19" s="13"/>
      <c r="G19" s="13"/>
    </row>
    <row r="20" spans="1:7" ht="18" customHeight="1" thickBot="1">
      <c r="A20" s="281">
        <v>12</v>
      </c>
      <c r="B20" s="71"/>
      <c r="C20" s="71"/>
      <c r="D20" s="71"/>
    </row>
    <row r="21" spans="1:7" ht="18" customHeight="1" thickBot="1">
      <c r="A21" s="281">
        <v>13</v>
      </c>
      <c r="B21" s="71"/>
      <c r="C21" s="71"/>
      <c r="D21" s="71"/>
    </row>
    <row r="22" spans="1:7" ht="18" customHeight="1" thickBot="1">
      <c r="A22" s="281">
        <v>14</v>
      </c>
      <c r="B22" s="71"/>
      <c r="C22" s="71"/>
      <c r="D22" s="71"/>
    </row>
    <row r="23" spans="1:7" ht="18" customHeight="1" thickBot="1">
      <c r="A23" s="281">
        <v>15</v>
      </c>
      <c r="B23" s="71"/>
      <c r="C23" s="71"/>
      <c r="D23" s="71"/>
    </row>
    <row r="24" spans="1:7" ht="18" customHeight="1" thickBot="1">
      <c r="A24" s="281">
        <v>16</v>
      </c>
      <c r="B24" s="71"/>
      <c r="C24" s="71"/>
      <c r="D24" s="71"/>
    </row>
    <row r="25" spans="1:7" ht="18" customHeight="1" thickBot="1">
      <c r="A25" s="281">
        <v>17</v>
      </c>
      <c r="B25" s="71"/>
      <c r="C25" s="71"/>
      <c r="D25" s="71"/>
    </row>
    <row r="26" spans="1:7" ht="18" customHeight="1" thickBot="1">
      <c r="A26" s="281">
        <v>18</v>
      </c>
      <c r="B26" s="71"/>
      <c r="C26" s="71"/>
      <c r="D26" s="71"/>
    </row>
    <row r="27" spans="1:7" ht="18" customHeight="1" thickBot="1">
      <c r="A27" s="281">
        <v>19</v>
      </c>
      <c r="B27" s="71"/>
      <c r="C27" s="71"/>
      <c r="D27" s="71"/>
    </row>
    <row r="28" spans="1:7" ht="18" customHeight="1" thickBot="1">
      <c r="A28" s="281">
        <v>20</v>
      </c>
      <c r="B28" s="71"/>
      <c r="C28" s="71"/>
      <c r="D28" s="71"/>
    </row>
    <row r="29" spans="1:7" ht="18" customHeight="1" thickBot="1">
      <c r="A29" s="281">
        <v>21</v>
      </c>
      <c r="B29" s="71"/>
      <c r="C29" s="71"/>
      <c r="D29" s="71"/>
    </row>
    <row r="30" spans="1:7" ht="18" customHeight="1" thickBot="1">
      <c r="A30" s="281">
        <v>22</v>
      </c>
      <c r="B30" s="71"/>
      <c r="C30" s="71"/>
      <c r="D30" s="71"/>
    </row>
    <row r="31" spans="1:7" ht="18" customHeight="1" thickBot="1">
      <c r="A31" s="281">
        <v>23</v>
      </c>
      <c r="B31" s="71"/>
      <c r="C31" s="71"/>
      <c r="D31" s="71"/>
    </row>
    <row r="32" spans="1:7" ht="18" customHeight="1" thickBot="1">
      <c r="A32" s="281">
        <v>24</v>
      </c>
      <c r="B32" s="71"/>
      <c r="C32" s="71"/>
      <c r="D32" s="71"/>
    </row>
    <row r="33" spans="1:4" ht="18" customHeight="1" thickBot="1">
      <c r="A33" s="281">
        <v>25</v>
      </c>
      <c r="B33" s="71"/>
      <c r="C33" s="71"/>
      <c r="D33" s="71"/>
    </row>
    <row r="34" spans="1:4" ht="18" hidden="1" customHeight="1" thickBot="1">
      <c r="A34" s="281">
        <v>26</v>
      </c>
      <c r="B34" s="211"/>
      <c r="C34" s="211"/>
      <c r="D34" s="282"/>
    </row>
    <row r="35" spans="1:4" ht="18" hidden="1" customHeight="1" thickBot="1">
      <c r="A35" s="281">
        <v>27</v>
      </c>
      <c r="B35" s="211"/>
      <c r="C35" s="211"/>
      <c r="D35" s="282"/>
    </row>
    <row r="36" spans="1:4" ht="18" hidden="1" customHeight="1" thickBot="1">
      <c r="A36" s="281">
        <v>28</v>
      </c>
      <c r="B36" s="211"/>
      <c r="C36" s="211"/>
      <c r="D36" s="282"/>
    </row>
    <row r="37" spans="1:4" ht="18" hidden="1" customHeight="1" thickBot="1">
      <c r="A37" s="281">
        <v>29</v>
      </c>
      <c r="B37" s="211"/>
      <c r="C37" s="211"/>
      <c r="D37" s="282"/>
    </row>
    <row r="38" spans="1:4" ht="18" hidden="1" customHeight="1" thickBot="1">
      <c r="A38" s="281">
        <v>30</v>
      </c>
      <c r="B38" s="211"/>
      <c r="C38" s="211"/>
      <c r="D38" s="282"/>
    </row>
    <row r="39" spans="1:4" ht="18" hidden="1" customHeight="1" thickBot="1">
      <c r="A39" s="281">
        <v>31</v>
      </c>
      <c r="B39" s="211"/>
      <c r="C39" s="211"/>
      <c r="D39" s="282"/>
    </row>
    <row r="40" spans="1:4" ht="18" hidden="1" customHeight="1" thickBot="1">
      <c r="A40" s="281">
        <v>32</v>
      </c>
      <c r="B40" s="211"/>
      <c r="C40" s="211"/>
      <c r="D40" s="282"/>
    </row>
    <row r="41" spans="1:4" ht="18" hidden="1" customHeight="1" thickBot="1">
      <c r="A41" s="281">
        <v>33</v>
      </c>
      <c r="B41" s="211"/>
      <c r="C41" s="211"/>
      <c r="D41" s="282"/>
    </row>
    <row r="42" spans="1:4" ht="18" hidden="1" customHeight="1" thickBot="1">
      <c r="A42" s="281">
        <v>34</v>
      </c>
      <c r="B42" s="211"/>
      <c r="C42" s="211"/>
      <c r="D42" s="282"/>
    </row>
    <row r="43" spans="1:4" ht="18" hidden="1" customHeight="1" thickBot="1">
      <c r="A43" s="281">
        <v>35</v>
      </c>
      <c r="B43" s="211"/>
      <c r="C43" s="211"/>
      <c r="D43" s="282"/>
    </row>
    <row r="44" spans="1:4" ht="18" hidden="1" customHeight="1" thickBot="1">
      <c r="A44" s="281">
        <v>36</v>
      </c>
      <c r="B44" s="211"/>
      <c r="C44" s="211"/>
      <c r="D44" s="282"/>
    </row>
    <row r="45" spans="1:4" ht="18" hidden="1" customHeight="1" thickBot="1">
      <c r="A45" s="281">
        <v>37</v>
      </c>
      <c r="B45" s="211"/>
      <c r="C45" s="211"/>
      <c r="D45" s="282"/>
    </row>
    <row r="46" spans="1:4" ht="18" hidden="1" customHeight="1" thickBot="1">
      <c r="A46" s="281">
        <v>38</v>
      </c>
      <c r="B46" s="211"/>
      <c r="C46" s="211"/>
      <c r="D46" s="282"/>
    </row>
    <row r="47" spans="1:4" ht="18" hidden="1" customHeight="1" thickBot="1">
      <c r="A47" s="281">
        <v>39</v>
      </c>
      <c r="B47" s="211"/>
      <c r="C47" s="211"/>
      <c r="D47" s="282"/>
    </row>
    <row r="48" spans="1:4" ht="18" hidden="1" customHeight="1" thickBot="1">
      <c r="A48" s="281">
        <v>40</v>
      </c>
      <c r="B48" s="211"/>
      <c r="C48" s="211"/>
      <c r="D48" s="282"/>
    </row>
    <row r="49" spans="1:5" ht="32.25" customHeight="1" thickBot="1">
      <c r="A49" s="283" t="s">
        <v>53</v>
      </c>
      <c r="B49" s="212">
        <f>SUM(B9:B48)</f>
        <v>0</v>
      </c>
      <c r="C49" s="212">
        <f t="shared" ref="C49:D49" si="0">SUM(C9:C48)</f>
        <v>0</v>
      </c>
      <c r="D49" s="212">
        <f t="shared" si="0"/>
        <v>0</v>
      </c>
      <c r="E49" s="30"/>
    </row>
    <row r="50" spans="1:5" ht="20" customHeight="1">
      <c r="A50" s="470" t="s">
        <v>23</v>
      </c>
      <c r="B50" s="470"/>
      <c r="C50" s="477" t="s">
        <v>95</v>
      </c>
      <c r="D50" s="284"/>
      <c r="E50" s="30"/>
    </row>
    <row r="51" spans="1:5" ht="16.5" thickBot="1">
      <c r="A51" s="472"/>
      <c r="B51" s="472"/>
      <c r="C51" s="480"/>
      <c r="D51" s="279"/>
      <c r="E51" s="30"/>
    </row>
    <row r="52" spans="1:5" ht="18" customHeight="1" thickBot="1">
      <c r="A52" s="472"/>
      <c r="B52" s="472"/>
      <c r="C52" s="213">
        <f>C49+C6</f>
        <v>0</v>
      </c>
      <c r="D52" s="279"/>
      <c r="E52" s="30"/>
    </row>
    <row r="53" spans="1:5" ht="16.5" thickBot="1">
      <c r="A53" s="285"/>
      <c r="B53" s="2"/>
      <c r="C53" s="286"/>
      <c r="D53" s="279"/>
      <c r="E53" s="30"/>
    </row>
    <row r="54" spans="1:5">
      <c r="A54" s="463" t="s">
        <v>15</v>
      </c>
      <c r="B54" s="463"/>
      <c r="C54" s="463"/>
      <c r="D54" s="444"/>
    </row>
    <row r="55" spans="1:5" ht="53" customHeight="1">
      <c r="A55" s="482" t="s">
        <v>267</v>
      </c>
      <c r="B55" s="465"/>
      <c r="C55" s="465"/>
      <c r="D55" s="411"/>
    </row>
    <row r="56" spans="1:5" ht="16" customHeight="1">
      <c r="A56" s="483" t="s">
        <v>257</v>
      </c>
      <c r="B56" s="466"/>
      <c r="C56" s="466"/>
      <c r="D56" s="411"/>
    </row>
    <row r="57" spans="1:5" ht="16" customHeight="1">
      <c r="A57" s="483" t="s">
        <v>258</v>
      </c>
      <c r="B57" s="411"/>
      <c r="C57" s="411"/>
      <c r="D57" s="411"/>
    </row>
    <row r="58" spans="1:5" ht="17" customHeight="1">
      <c r="A58" s="483" t="s">
        <v>259</v>
      </c>
      <c r="B58" s="411"/>
      <c r="C58" s="411"/>
      <c r="D58" s="411"/>
    </row>
    <row r="59" spans="1:5">
      <c r="A59" s="484" t="s">
        <v>113</v>
      </c>
      <c r="B59" s="484"/>
      <c r="C59" s="484"/>
      <c r="D59" s="411"/>
    </row>
    <row r="60" spans="1:5" ht="71" customHeight="1">
      <c r="A60" s="481"/>
      <c r="B60" s="481"/>
      <c r="C60" s="481"/>
      <c r="D60" s="411"/>
    </row>
    <row r="61" spans="1:5">
      <c r="A61" s="287" t="str">
        <f>'Summary Schedule'!A53</f>
        <v>4.2.9.n</v>
      </c>
    </row>
    <row r="62" spans="1:5">
      <c r="A62" s="287" t="str">
        <f>'Summary Schedule'!A54</f>
        <v>02072025</v>
      </c>
    </row>
  </sheetData>
  <mergeCells count="13">
    <mergeCell ref="A60:D60"/>
    <mergeCell ref="A54:D54"/>
    <mergeCell ref="A55:D55"/>
    <mergeCell ref="A56:D56"/>
    <mergeCell ref="A57:D57"/>
    <mergeCell ref="A58:D58"/>
    <mergeCell ref="A59:D59"/>
    <mergeCell ref="A1:D1"/>
    <mergeCell ref="A2:D2"/>
    <mergeCell ref="A4:A6"/>
    <mergeCell ref="A7:A8"/>
    <mergeCell ref="A50:B52"/>
    <mergeCell ref="C50:C51"/>
  </mergeCells>
  <dataValidations count="5">
    <dataValidation type="whole" allowBlank="1" showInputMessage="1" showErrorMessage="1" error="Please enter a valid value " sqref="D51:D53 D6" xr:uid="{FD2F07BB-7916-4F43-8BCC-57DD2F09212B}">
      <formula1>0</formula1>
      <formula2>1000000000</formula2>
    </dataValidation>
    <dataValidation type="whole" allowBlank="1" showInputMessage="1" showErrorMessage="1" sqref="B34:B48 C34:C48 D34:D48" xr:uid="{30E2ABD3-F79D-0943-8929-36677A0AD0DB}">
      <formula1>-100000000</formula1>
      <formula2>10000000000</formula2>
    </dataValidation>
    <dataValidation type="whole" allowBlank="1" showInputMessage="1" showErrorMessage="1" error="Enter a number" sqref="C52" xr:uid="{AB4D7E93-A44D-B741-9476-46BA2A1EE1CD}">
      <formula1>-100000000</formula1>
      <formula2>100000000</formula2>
    </dataValidation>
    <dataValidation type="whole" allowBlank="1" showInputMessage="1" showErrorMessage="1" error="Enter a number" sqref="B6:C6 B9:D33" xr:uid="{75AF47C9-090E-4A6A-B60E-C8262FF900AE}">
      <formula1>0</formula1>
      <formula2>1000000000</formula2>
    </dataValidation>
    <dataValidation type="whole" allowBlank="1" showInputMessage="1" showErrorMessage="1" error="Enter a number" sqref="B49 C49 D49" xr:uid="{E701B48F-338D-44E5-8B49-80DE7CC1CF6E}">
      <formula1>-100000000</formula1>
      <formula2>10000000000</formula2>
    </dataValidation>
  </dataValidations>
  <pageMargins left="0.75" right="0.75" top="1" bottom="1" header="0.5" footer="0.5"/>
  <pageSetup scale="55" orientation="portrait" horizontalDpi="4294967292" verticalDpi="4294967292"/>
  <drawing r:id="rId1"/>
  <extLst>
    <ext xmlns:x14="http://schemas.microsoft.com/office/spreadsheetml/2009/9/main" uri="{78C0D931-6437-407d-A8EE-F0AAD7539E65}">
      <x14:conditionalFormattings>
        <x14:conditionalFormatting xmlns:xm="http://schemas.microsoft.com/office/excel/2006/main">
          <x14:cfRule type="expression" priority="1" id="{8C5E4E19-654C-A54F-B7ED-1A2C5EE73FFA}">
            <xm:f>'Summary Schedule'!$C$4&lt;&gt;"UESC"</xm:f>
            <x14:dxf>
              <font>
                <b val="0"/>
                <i/>
                <color theme="0" tint="-0.24994659260841701"/>
              </font>
              <fill>
                <patternFill patternType="mediumGray">
                  <fgColor theme="0" tint="-0.24994659260841701"/>
                  <bgColor theme="0" tint="-0.24994659260841701"/>
                </patternFill>
              </fill>
              <border>
                <left/>
                <right/>
                <top/>
                <bottom/>
              </border>
            </x14:dxf>
          </x14:cfRule>
          <xm:sqref>A1:D62</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2">
    <tabColor rgb="FF0000FF"/>
    <pageSetUpPr fitToPage="1"/>
  </sheetPr>
  <dimension ref="A1:J64"/>
  <sheetViews>
    <sheetView zoomScale="90" zoomScaleNormal="90" workbookViewId="0">
      <selection sqref="A1:F1"/>
    </sheetView>
  </sheetViews>
  <sheetFormatPr defaultColWidth="11" defaultRowHeight="16"/>
  <cols>
    <col min="1" max="1" width="23.1640625" style="1" customWidth="1"/>
    <col min="2" max="2" width="27.1640625" style="1" customWidth="1"/>
    <col min="3" max="4" width="27" style="1" customWidth="1"/>
    <col min="5" max="5" width="21.83203125" style="1" customWidth="1"/>
    <col min="6" max="6" width="22.83203125" style="1" customWidth="1"/>
    <col min="7" max="7" width="16.6640625" style="1" customWidth="1"/>
    <col min="8" max="8" width="14.6640625" style="1" bestFit="1" customWidth="1"/>
    <col min="9" max="9" width="12.83203125" style="1" bestFit="1" customWidth="1"/>
    <col min="10" max="10" width="14.6640625" style="1" bestFit="1" customWidth="1"/>
    <col min="11" max="16384" width="11" style="1"/>
  </cols>
  <sheetData>
    <row r="1" spans="1:10" ht="20">
      <c r="A1" s="447" t="s">
        <v>286</v>
      </c>
      <c r="B1" s="447"/>
      <c r="C1" s="447"/>
      <c r="D1" s="447"/>
      <c r="E1" s="447"/>
      <c r="F1" s="411"/>
    </row>
    <row r="2" spans="1:10" ht="20.5" thickBot="1">
      <c r="A2" s="450" t="s">
        <v>96</v>
      </c>
      <c r="B2" s="450"/>
      <c r="C2" s="450"/>
      <c r="D2" s="450"/>
      <c r="E2" s="450"/>
      <c r="F2" s="467"/>
    </row>
    <row r="3" spans="1:10" ht="19.5" customHeight="1" thickBot="1">
      <c r="A3" s="51"/>
      <c r="B3" s="52"/>
      <c r="C3" s="166"/>
      <c r="D3" s="166"/>
      <c r="E3" s="490"/>
      <c r="F3" s="491"/>
      <c r="G3" s="167"/>
    </row>
    <row r="4" spans="1:10" ht="15" customHeight="1" thickBot="1">
      <c r="A4" s="468" t="s">
        <v>98</v>
      </c>
      <c r="B4" s="165" t="s">
        <v>0</v>
      </c>
      <c r="C4" s="165" t="s">
        <v>1</v>
      </c>
      <c r="D4" s="168" t="s">
        <v>2</v>
      </c>
      <c r="E4" s="492"/>
      <c r="F4" s="493"/>
    </row>
    <row r="5" spans="1:10" ht="24" customHeight="1" thickBot="1">
      <c r="A5" s="468"/>
      <c r="B5" s="165" t="s">
        <v>321</v>
      </c>
      <c r="C5" s="165" t="s">
        <v>323</v>
      </c>
      <c r="D5" s="168" t="s">
        <v>322</v>
      </c>
      <c r="E5" s="492"/>
      <c r="F5" s="493"/>
    </row>
    <row r="6" spans="1:10" ht="16.5" thickBot="1">
      <c r="A6" s="468"/>
      <c r="B6" s="209"/>
      <c r="C6" s="169"/>
      <c r="D6" s="169"/>
      <c r="E6" s="494"/>
      <c r="F6" s="495"/>
    </row>
    <row r="7" spans="1:10" ht="16.5" thickBot="1">
      <c r="A7" s="468" t="s">
        <v>161</v>
      </c>
      <c r="B7" s="165" t="s">
        <v>3</v>
      </c>
      <c r="C7" s="165" t="s">
        <v>4</v>
      </c>
      <c r="D7" s="165" t="s">
        <v>299</v>
      </c>
      <c r="E7" s="165" t="s">
        <v>97</v>
      </c>
      <c r="F7" s="165" t="s">
        <v>287</v>
      </c>
      <c r="G7" s="29"/>
    </row>
    <row r="8" spans="1:10" ht="30.75" customHeight="1" thickBot="1">
      <c r="A8" s="468"/>
      <c r="B8" s="165" t="s">
        <v>37</v>
      </c>
      <c r="C8" s="165" t="s">
        <v>75</v>
      </c>
      <c r="D8" s="165" t="s">
        <v>288</v>
      </c>
      <c r="E8" s="165" t="s">
        <v>289</v>
      </c>
      <c r="F8" s="165" t="s">
        <v>290</v>
      </c>
    </row>
    <row r="9" spans="1:10" ht="18" customHeight="1" thickBot="1">
      <c r="A9" s="59">
        <v>1</v>
      </c>
      <c r="B9" s="211"/>
      <c r="C9" s="211"/>
      <c r="D9" s="211"/>
      <c r="E9" s="211">
        <f>IF('Sch1esa-ESA Pymts'!D9="",0, 'Sch1esa-ESA Pymts'!D9)</f>
        <v>0</v>
      </c>
      <c r="F9" s="211"/>
      <c r="G9" s="170"/>
      <c r="H9" s="13"/>
      <c r="I9" s="13"/>
      <c r="J9" s="13"/>
    </row>
    <row r="10" spans="1:10" ht="18" customHeight="1" thickBot="1">
      <c r="A10" s="59">
        <v>2</v>
      </c>
      <c r="B10" s="211"/>
      <c r="C10" s="211"/>
      <c r="D10" s="211"/>
      <c r="E10" s="211">
        <f>IF('Sch1esa-ESA Pymts'!D10="",0, 'Sch1esa-ESA Pymts'!D10)</f>
        <v>0</v>
      </c>
      <c r="F10" s="211"/>
      <c r="G10" s="170"/>
      <c r="H10" s="13"/>
      <c r="I10" s="13"/>
      <c r="J10" s="13"/>
    </row>
    <row r="11" spans="1:10" ht="18" customHeight="1" thickBot="1">
      <c r="A11" s="59">
        <v>3</v>
      </c>
      <c r="B11" s="211"/>
      <c r="C11" s="211"/>
      <c r="D11" s="211"/>
      <c r="E11" s="211">
        <f>IF('Sch1esa-ESA Pymts'!D11="",0, 'Sch1esa-ESA Pymts'!D11)</f>
        <v>0</v>
      </c>
      <c r="F11" s="211"/>
      <c r="G11" s="170"/>
      <c r="H11" s="13"/>
      <c r="I11" s="13"/>
      <c r="J11" s="13"/>
    </row>
    <row r="12" spans="1:10" ht="18" customHeight="1" thickBot="1">
      <c r="A12" s="59">
        <v>4</v>
      </c>
      <c r="B12" s="211"/>
      <c r="C12" s="211"/>
      <c r="D12" s="211"/>
      <c r="E12" s="211">
        <f>IF('Sch1esa-ESA Pymts'!D12="",0, 'Sch1esa-ESA Pymts'!D12)</f>
        <v>0</v>
      </c>
      <c r="F12" s="211"/>
      <c r="G12" s="170"/>
      <c r="H12" s="13"/>
      <c r="I12" s="13"/>
      <c r="J12" s="13"/>
    </row>
    <row r="13" spans="1:10" ht="18" customHeight="1" thickBot="1">
      <c r="A13" s="59">
        <v>5</v>
      </c>
      <c r="B13" s="211"/>
      <c r="C13" s="211"/>
      <c r="D13" s="211"/>
      <c r="E13" s="211">
        <f>IF('Sch1esa-ESA Pymts'!D13="",0, 'Sch1esa-ESA Pymts'!D13)</f>
        <v>0</v>
      </c>
      <c r="F13" s="211"/>
      <c r="G13" s="170"/>
      <c r="H13" s="13"/>
      <c r="I13" s="13"/>
      <c r="J13" s="13"/>
    </row>
    <row r="14" spans="1:10" ht="18" customHeight="1" thickBot="1">
      <c r="A14" s="59">
        <v>6</v>
      </c>
      <c r="B14" s="211"/>
      <c r="C14" s="211"/>
      <c r="D14" s="211"/>
      <c r="E14" s="211">
        <f>IF('Sch1esa-ESA Pymts'!D14="",0, 'Sch1esa-ESA Pymts'!D14)</f>
        <v>0</v>
      </c>
      <c r="F14" s="211"/>
      <c r="G14" s="170"/>
      <c r="H14" s="13"/>
      <c r="I14" s="13"/>
      <c r="J14" s="13"/>
    </row>
    <row r="15" spans="1:10" ht="18" customHeight="1" thickBot="1">
      <c r="A15" s="59">
        <v>7</v>
      </c>
      <c r="B15" s="211"/>
      <c r="C15" s="211"/>
      <c r="D15" s="211"/>
      <c r="E15" s="211">
        <f>IF('Sch1esa-ESA Pymts'!D15="",0, 'Sch1esa-ESA Pymts'!D15)</f>
        <v>0</v>
      </c>
      <c r="F15" s="211"/>
      <c r="G15" s="170"/>
      <c r="H15" s="13"/>
      <c r="I15" s="13"/>
      <c r="J15" s="13"/>
    </row>
    <row r="16" spans="1:10" ht="18" customHeight="1" thickBot="1">
      <c r="A16" s="59">
        <v>8</v>
      </c>
      <c r="B16" s="211"/>
      <c r="C16" s="211"/>
      <c r="D16" s="211"/>
      <c r="E16" s="211">
        <f>IF('Sch1esa-ESA Pymts'!D16="",0, 'Sch1esa-ESA Pymts'!D16)</f>
        <v>0</v>
      </c>
      <c r="F16" s="211"/>
      <c r="G16" s="170"/>
      <c r="H16" s="13"/>
      <c r="I16" s="13"/>
      <c r="J16" s="13"/>
    </row>
    <row r="17" spans="1:10" ht="18" customHeight="1" thickBot="1">
      <c r="A17" s="59">
        <v>9</v>
      </c>
      <c r="B17" s="211"/>
      <c r="C17" s="211"/>
      <c r="D17" s="211"/>
      <c r="E17" s="211">
        <f>IF('Sch1esa-ESA Pymts'!D17="",0, 'Sch1esa-ESA Pymts'!D17)</f>
        <v>0</v>
      </c>
      <c r="F17" s="211"/>
      <c r="G17" s="170"/>
      <c r="H17" s="13"/>
      <c r="I17" s="13"/>
      <c r="J17" s="13"/>
    </row>
    <row r="18" spans="1:10" ht="18" customHeight="1" thickBot="1">
      <c r="A18" s="59">
        <v>10</v>
      </c>
      <c r="B18" s="211"/>
      <c r="C18" s="211"/>
      <c r="D18" s="211"/>
      <c r="E18" s="211">
        <f>IF('Sch1esa-ESA Pymts'!D18="",0, 'Sch1esa-ESA Pymts'!D18)</f>
        <v>0</v>
      </c>
      <c r="F18" s="211"/>
      <c r="G18" s="170"/>
      <c r="H18" s="13"/>
      <c r="I18" s="13"/>
      <c r="J18" s="13"/>
    </row>
    <row r="19" spans="1:10" ht="18" customHeight="1" thickBot="1">
      <c r="A19" s="59">
        <v>11</v>
      </c>
      <c r="B19" s="211"/>
      <c r="C19" s="211"/>
      <c r="D19" s="211"/>
      <c r="E19" s="211">
        <f>IF('Sch1esa-ESA Pymts'!D19="",0, 'Sch1esa-ESA Pymts'!D19)</f>
        <v>0</v>
      </c>
      <c r="F19" s="211"/>
      <c r="G19" s="170"/>
      <c r="H19" s="13"/>
      <c r="I19" s="13"/>
      <c r="J19" s="13"/>
    </row>
    <row r="20" spans="1:10" ht="18" customHeight="1" thickBot="1">
      <c r="A20" s="59">
        <v>12</v>
      </c>
      <c r="B20" s="211"/>
      <c r="C20" s="211"/>
      <c r="D20" s="211"/>
      <c r="E20" s="211">
        <f>IF('Sch1esa-ESA Pymts'!D20="",0, 'Sch1esa-ESA Pymts'!D20)</f>
        <v>0</v>
      </c>
      <c r="F20" s="211"/>
      <c r="G20" s="170"/>
    </row>
    <row r="21" spans="1:10" ht="18" customHeight="1" thickBot="1">
      <c r="A21" s="59">
        <v>13</v>
      </c>
      <c r="B21" s="211"/>
      <c r="C21" s="211"/>
      <c r="D21" s="211"/>
      <c r="E21" s="211">
        <f>IF('Sch1esa-ESA Pymts'!D21="",0, 'Sch1esa-ESA Pymts'!D21)</f>
        <v>0</v>
      </c>
      <c r="F21" s="211"/>
      <c r="G21" s="170"/>
    </row>
    <row r="22" spans="1:10" ht="18" customHeight="1" thickBot="1">
      <c r="A22" s="59">
        <v>14</v>
      </c>
      <c r="B22" s="211"/>
      <c r="C22" s="211"/>
      <c r="D22" s="211"/>
      <c r="E22" s="211">
        <f>IF('Sch1esa-ESA Pymts'!D22="",0, 'Sch1esa-ESA Pymts'!D22)</f>
        <v>0</v>
      </c>
      <c r="F22" s="211"/>
      <c r="G22" s="170"/>
    </row>
    <row r="23" spans="1:10" ht="18" customHeight="1" thickBot="1">
      <c r="A23" s="59">
        <v>15</v>
      </c>
      <c r="B23" s="211"/>
      <c r="C23" s="211"/>
      <c r="D23" s="211"/>
      <c r="E23" s="211">
        <f>IF('Sch1esa-ESA Pymts'!D23="",0, 'Sch1esa-ESA Pymts'!D23)</f>
        <v>0</v>
      </c>
      <c r="F23" s="211"/>
      <c r="G23" s="170"/>
    </row>
    <row r="24" spans="1:10" ht="18" customHeight="1" thickBot="1">
      <c r="A24" s="59">
        <v>16</v>
      </c>
      <c r="B24" s="211"/>
      <c r="C24" s="211"/>
      <c r="D24" s="211"/>
      <c r="E24" s="211">
        <f>IF('Sch1esa-ESA Pymts'!D24="",0, 'Sch1esa-ESA Pymts'!D24)</f>
        <v>0</v>
      </c>
      <c r="F24" s="211"/>
      <c r="G24" s="170"/>
    </row>
    <row r="25" spans="1:10" ht="18" customHeight="1" thickBot="1">
      <c r="A25" s="59">
        <v>17</v>
      </c>
      <c r="B25" s="211"/>
      <c r="C25" s="211"/>
      <c r="D25" s="211"/>
      <c r="E25" s="211">
        <f>IF('Sch1esa-ESA Pymts'!D25="",0, 'Sch1esa-ESA Pymts'!D25)</f>
        <v>0</v>
      </c>
      <c r="F25" s="211"/>
      <c r="G25" s="170"/>
    </row>
    <row r="26" spans="1:10" ht="18" customHeight="1" thickBot="1">
      <c r="A26" s="59">
        <v>18</v>
      </c>
      <c r="B26" s="211"/>
      <c r="C26" s="211"/>
      <c r="D26" s="211"/>
      <c r="E26" s="211">
        <f>IF('Sch1esa-ESA Pymts'!D26="",0, 'Sch1esa-ESA Pymts'!D26)</f>
        <v>0</v>
      </c>
      <c r="F26" s="211"/>
      <c r="G26" s="170"/>
    </row>
    <row r="27" spans="1:10" ht="18" customHeight="1" thickBot="1">
      <c r="A27" s="59">
        <v>19</v>
      </c>
      <c r="B27" s="211"/>
      <c r="C27" s="211"/>
      <c r="D27" s="211"/>
      <c r="E27" s="211">
        <f>IF('Sch1esa-ESA Pymts'!D27="",0, 'Sch1esa-ESA Pymts'!D27)</f>
        <v>0</v>
      </c>
      <c r="F27" s="211"/>
      <c r="G27" s="170"/>
    </row>
    <row r="28" spans="1:10" ht="18" customHeight="1" thickBot="1">
      <c r="A28" s="59">
        <v>20</v>
      </c>
      <c r="B28" s="211"/>
      <c r="C28" s="211"/>
      <c r="D28" s="211"/>
      <c r="E28" s="211">
        <f>IF('Sch1esa-ESA Pymts'!D28="",0, 'Sch1esa-ESA Pymts'!D28)</f>
        <v>0</v>
      </c>
      <c r="F28" s="211"/>
      <c r="G28" s="170"/>
    </row>
    <row r="29" spans="1:10" ht="18" customHeight="1" thickBot="1">
      <c r="A29" s="59">
        <v>21</v>
      </c>
      <c r="B29" s="211"/>
      <c r="C29" s="211"/>
      <c r="D29" s="211"/>
      <c r="E29" s="211">
        <f>IF('Sch1esa-ESA Pymts'!D29="",0, 'Sch1esa-ESA Pymts'!D29)</f>
        <v>0</v>
      </c>
      <c r="F29" s="211"/>
      <c r="G29" s="170"/>
    </row>
    <row r="30" spans="1:10" ht="18" customHeight="1" thickBot="1">
      <c r="A30" s="59">
        <v>22</v>
      </c>
      <c r="B30" s="211"/>
      <c r="C30" s="211"/>
      <c r="D30" s="211"/>
      <c r="E30" s="211">
        <f>IF('Sch1esa-ESA Pymts'!D30="",0, 'Sch1esa-ESA Pymts'!D30)</f>
        <v>0</v>
      </c>
      <c r="F30" s="211"/>
      <c r="G30" s="170"/>
    </row>
    <row r="31" spans="1:10" ht="18" customHeight="1" thickBot="1">
      <c r="A31" s="59">
        <v>23</v>
      </c>
      <c r="B31" s="211"/>
      <c r="C31" s="211"/>
      <c r="D31" s="211"/>
      <c r="E31" s="211">
        <f>IF('Sch1esa-ESA Pymts'!D31="",0, 'Sch1esa-ESA Pymts'!D31)</f>
        <v>0</v>
      </c>
      <c r="F31" s="211"/>
      <c r="G31" s="170"/>
    </row>
    <row r="32" spans="1:10" ht="18" customHeight="1" thickBot="1">
      <c r="A32" s="59">
        <v>24</v>
      </c>
      <c r="B32" s="211"/>
      <c r="C32" s="211"/>
      <c r="D32" s="211"/>
      <c r="E32" s="211">
        <f>IF('Sch1esa-ESA Pymts'!D32="",0, 'Sch1esa-ESA Pymts'!D32)</f>
        <v>0</v>
      </c>
      <c r="F32" s="211"/>
      <c r="G32" s="170"/>
    </row>
    <row r="33" spans="1:7" ht="18" customHeight="1" thickBot="1">
      <c r="A33" s="59">
        <v>25</v>
      </c>
      <c r="B33" s="211"/>
      <c r="C33" s="211"/>
      <c r="D33" s="211"/>
      <c r="E33" s="211">
        <f>IF('Sch1esa-ESA Pymts'!D33="",0, 'Sch1esa-ESA Pymts'!D33)</f>
        <v>0</v>
      </c>
      <c r="F33" s="211"/>
      <c r="G33" s="170"/>
    </row>
    <row r="34" spans="1:7" ht="18" hidden="1" customHeight="1" thickBot="1">
      <c r="A34" s="59">
        <v>26</v>
      </c>
      <c r="B34" s="211"/>
      <c r="C34" s="211"/>
      <c r="D34" s="211"/>
      <c r="E34" s="211">
        <f>IF('Sch1esa-ESA Pymts'!D34="",0, 'Sch1esa-ESA Pymts'!D34)</f>
        <v>0</v>
      </c>
      <c r="F34" s="211"/>
      <c r="G34" s="170"/>
    </row>
    <row r="35" spans="1:7" ht="18" hidden="1" customHeight="1" thickBot="1">
      <c r="A35" s="59">
        <v>27</v>
      </c>
      <c r="B35" s="211"/>
      <c r="C35" s="211"/>
      <c r="D35" s="211"/>
      <c r="E35" s="211">
        <f>IF('Sch1esa-ESA Pymts'!D35="",0, 'Sch1esa-ESA Pymts'!D35)</f>
        <v>0</v>
      </c>
      <c r="F35" s="211"/>
      <c r="G35" s="170"/>
    </row>
    <row r="36" spans="1:7" ht="18" hidden="1" customHeight="1" thickBot="1">
      <c r="A36" s="59">
        <v>28</v>
      </c>
      <c r="B36" s="211"/>
      <c r="C36" s="211"/>
      <c r="D36" s="211"/>
      <c r="E36" s="211">
        <f>IF('Sch1esa-ESA Pymts'!D36="",0, 'Sch1esa-ESA Pymts'!D36)</f>
        <v>0</v>
      </c>
      <c r="F36" s="211"/>
      <c r="G36" s="170"/>
    </row>
    <row r="37" spans="1:7" ht="18" hidden="1" customHeight="1" thickBot="1">
      <c r="A37" s="59">
        <v>29</v>
      </c>
      <c r="B37" s="211"/>
      <c r="C37" s="211"/>
      <c r="D37" s="211"/>
      <c r="E37" s="211">
        <f>IF('Sch1esa-ESA Pymts'!D37="",0, 'Sch1esa-ESA Pymts'!D37)</f>
        <v>0</v>
      </c>
      <c r="F37" s="211"/>
      <c r="G37" s="170"/>
    </row>
    <row r="38" spans="1:7" ht="18" hidden="1" customHeight="1" thickBot="1">
      <c r="A38" s="59">
        <v>30</v>
      </c>
      <c r="B38" s="211"/>
      <c r="C38" s="211"/>
      <c r="D38" s="211"/>
      <c r="E38" s="211">
        <f>IF('Sch1esa-ESA Pymts'!D38="",0, 'Sch1esa-ESA Pymts'!D38)</f>
        <v>0</v>
      </c>
      <c r="F38" s="211"/>
      <c r="G38" s="170"/>
    </row>
    <row r="39" spans="1:7" ht="18" hidden="1" customHeight="1" thickBot="1">
      <c r="A39" s="59">
        <v>31</v>
      </c>
      <c r="B39" s="211"/>
      <c r="C39" s="211"/>
      <c r="D39" s="211"/>
      <c r="E39" s="211">
        <f>IF('Sch1esa-ESA Pymts'!D39="",0, 'Sch1esa-ESA Pymts'!D39)</f>
        <v>0</v>
      </c>
      <c r="F39" s="211"/>
      <c r="G39" s="170"/>
    </row>
    <row r="40" spans="1:7" ht="18" hidden="1" customHeight="1" thickBot="1">
      <c r="A40" s="59">
        <v>32</v>
      </c>
      <c r="B40" s="211"/>
      <c r="C40" s="211"/>
      <c r="D40" s="211"/>
      <c r="E40" s="211">
        <f>IF('Sch1esa-ESA Pymts'!D40="",0, 'Sch1esa-ESA Pymts'!D40)</f>
        <v>0</v>
      </c>
      <c r="F40" s="211"/>
      <c r="G40" s="170"/>
    </row>
    <row r="41" spans="1:7" ht="18" hidden="1" customHeight="1" thickBot="1">
      <c r="A41" s="59">
        <v>33</v>
      </c>
      <c r="B41" s="211"/>
      <c r="C41" s="211"/>
      <c r="D41" s="211"/>
      <c r="E41" s="211">
        <f>IF('Sch1esa-ESA Pymts'!D41="",0, 'Sch1esa-ESA Pymts'!D41)</f>
        <v>0</v>
      </c>
      <c r="F41" s="211"/>
      <c r="G41" s="170"/>
    </row>
    <row r="42" spans="1:7" ht="18" hidden="1" customHeight="1" thickBot="1">
      <c r="A42" s="59">
        <v>34</v>
      </c>
      <c r="B42" s="211"/>
      <c r="C42" s="211"/>
      <c r="D42" s="211"/>
      <c r="E42" s="211">
        <f>IF('Sch1esa-ESA Pymts'!D42="",0, 'Sch1esa-ESA Pymts'!D42)</f>
        <v>0</v>
      </c>
      <c r="F42" s="211"/>
      <c r="G42" s="170"/>
    </row>
    <row r="43" spans="1:7" ht="18" hidden="1" customHeight="1" thickBot="1">
      <c r="A43" s="59">
        <v>35</v>
      </c>
      <c r="B43" s="211"/>
      <c r="C43" s="211"/>
      <c r="D43" s="211"/>
      <c r="E43" s="211">
        <f>IF('Sch1esa-ESA Pymts'!D43="",0, 'Sch1esa-ESA Pymts'!D43)</f>
        <v>0</v>
      </c>
      <c r="F43" s="211"/>
      <c r="G43" s="170"/>
    </row>
    <row r="44" spans="1:7" ht="18" hidden="1" customHeight="1" thickBot="1">
      <c r="A44" s="59">
        <v>36</v>
      </c>
      <c r="B44" s="211"/>
      <c r="C44" s="211"/>
      <c r="D44" s="211"/>
      <c r="E44" s="211">
        <f>IF('Sch1esa-ESA Pymts'!D44="",0, 'Sch1esa-ESA Pymts'!D44)</f>
        <v>0</v>
      </c>
      <c r="F44" s="211"/>
      <c r="G44" s="170"/>
    </row>
    <row r="45" spans="1:7" ht="18" hidden="1" customHeight="1" thickBot="1">
      <c r="A45" s="59">
        <v>37</v>
      </c>
      <c r="B45" s="211"/>
      <c r="C45" s="211"/>
      <c r="D45" s="211"/>
      <c r="E45" s="211">
        <f>IF('Sch1esa-ESA Pymts'!D45="",0, 'Sch1esa-ESA Pymts'!D45)</f>
        <v>0</v>
      </c>
      <c r="F45" s="211"/>
      <c r="G45" s="170"/>
    </row>
    <row r="46" spans="1:7" ht="18" hidden="1" customHeight="1" thickBot="1">
      <c r="A46" s="59">
        <v>38</v>
      </c>
      <c r="B46" s="211"/>
      <c r="C46" s="211"/>
      <c r="D46" s="211"/>
      <c r="E46" s="211">
        <f>IF('Sch1esa-ESA Pymts'!D46="",0, 'Sch1esa-ESA Pymts'!D46)</f>
        <v>0</v>
      </c>
      <c r="F46" s="211"/>
      <c r="G46" s="170"/>
    </row>
    <row r="47" spans="1:7" ht="18" hidden="1" customHeight="1" thickBot="1">
      <c r="A47" s="59">
        <v>39</v>
      </c>
      <c r="B47" s="211"/>
      <c r="C47" s="211"/>
      <c r="D47" s="211"/>
      <c r="E47" s="211">
        <f>IF('Sch1esa-ESA Pymts'!D47="",0, 'Sch1esa-ESA Pymts'!D47)</f>
        <v>0</v>
      </c>
      <c r="F47" s="211"/>
      <c r="G47" s="170"/>
    </row>
    <row r="48" spans="1:7" ht="18" hidden="1" customHeight="1" thickBot="1">
      <c r="A48" s="59">
        <v>40</v>
      </c>
      <c r="B48" s="211"/>
      <c r="C48" s="211"/>
      <c r="D48" s="211"/>
      <c r="E48" s="211">
        <f>IF('Sch1esa-ESA Pymts'!D48="",0, 'Sch1esa-ESA Pymts'!D48)</f>
        <v>0</v>
      </c>
      <c r="F48" s="211"/>
      <c r="G48" s="170"/>
    </row>
    <row r="49" spans="1:8" ht="32.25" customHeight="1" thickBot="1">
      <c r="A49" s="60" t="s">
        <v>53</v>
      </c>
      <c r="B49" s="216">
        <f>SUM(B9:B48)</f>
        <v>0</v>
      </c>
      <c r="C49" s="216">
        <f t="shared" ref="C49:F49" si="0">SUM(C9:C48)</f>
        <v>0</v>
      </c>
      <c r="D49" s="216">
        <f t="shared" si="0"/>
        <v>0</v>
      </c>
      <c r="E49" s="216">
        <f t="shared" si="0"/>
        <v>0</v>
      </c>
      <c r="F49" s="216">
        <f t="shared" si="0"/>
        <v>0</v>
      </c>
      <c r="G49" s="30"/>
      <c r="H49" s="30"/>
    </row>
    <row r="50" spans="1:8" ht="20" customHeight="1">
      <c r="A50" s="469" t="s">
        <v>23</v>
      </c>
      <c r="B50" s="470"/>
      <c r="C50" s="475" t="s">
        <v>6</v>
      </c>
      <c r="D50" s="475" t="s">
        <v>95</v>
      </c>
      <c r="E50" s="490"/>
      <c r="F50" s="491"/>
      <c r="G50" s="30"/>
      <c r="H50" s="30"/>
    </row>
    <row r="51" spans="1:8" ht="16.5" thickBot="1">
      <c r="A51" s="471"/>
      <c r="B51" s="472"/>
      <c r="C51" s="476"/>
      <c r="D51" s="476"/>
      <c r="E51" s="492"/>
      <c r="F51" s="493"/>
      <c r="G51" s="30"/>
      <c r="H51" s="30"/>
    </row>
    <row r="52" spans="1:8" ht="18" customHeight="1" thickBot="1">
      <c r="A52" s="473"/>
      <c r="B52" s="474"/>
      <c r="C52" s="214">
        <f>C49+C6</f>
        <v>0</v>
      </c>
      <c r="D52" s="217">
        <f>D49+D6</f>
        <v>0</v>
      </c>
      <c r="E52" s="492"/>
      <c r="F52" s="493"/>
      <c r="G52" s="30"/>
      <c r="H52" s="30"/>
    </row>
    <row r="53" spans="1:8" ht="16.5" thickBot="1">
      <c r="A53" s="31"/>
      <c r="B53" s="32"/>
      <c r="C53" s="33"/>
      <c r="D53" s="33"/>
      <c r="E53" s="494"/>
      <c r="F53" s="495"/>
      <c r="G53" s="30"/>
      <c r="H53" s="30"/>
    </row>
    <row r="54" spans="1:8">
      <c r="A54" s="462" t="s">
        <v>15</v>
      </c>
      <c r="B54" s="463"/>
      <c r="C54" s="463"/>
      <c r="D54" s="463"/>
      <c r="E54" s="463"/>
      <c r="F54" s="486"/>
    </row>
    <row r="55" spans="1:8" ht="44" customHeight="1">
      <c r="A55" s="464" t="s">
        <v>291</v>
      </c>
      <c r="B55" s="465"/>
      <c r="C55" s="465"/>
      <c r="D55" s="465"/>
      <c r="E55" s="465"/>
      <c r="F55" s="488"/>
    </row>
    <row r="56" spans="1:8" ht="17" customHeight="1">
      <c r="A56" s="461" t="s">
        <v>225</v>
      </c>
      <c r="B56" s="466"/>
      <c r="C56" s="466"/>
      <c r="D56" s="466"/>
      <c r="E56" s="466"/>
      <c r="F56" s="489"/>
    </row>
    <row r="57" spans="1:8" ht="17" customHeight="1">
      <c r="A57" s="461" t="s">
        <v>138</v>
      </c>
      <c r="B57" s="411"/>
      <c r="C57" s="411"/>
      <c r="D57" s="411"/>
      <c r="E57" s="411"/>
      <c r="F57" s="485"/>
    </row>
    <row r="58" spans="1:8" ht="17" customHeight="1">
      <c r="A58" s="461" t="s">
        <v>196</v>
      </c>
      <c r="B58" s="411"/>
      <c r="C58" s="411"/>
      <c r="D58" s="411"/>
      <c r="E58" s="411"/>
      <c r="F58" s="485"/>
    </row>
    <row r="59" spans="1:8" ht="16" customHeight="1">
      <c r="A59" s="461" t="s">
        <v>197</v>
      </c>
      <c r="B59" s="411"/>
      <c r="C59" s="411"/>
      <c r="D59" s="411"/>
      <c r="E59" s="411"/>
      <c r="F59" s="485"/>
    </row>
    <row r="60" spans="1:8" ht="16.5" thickBot="1">
      <c r="A60" s="461" t="s">
        <v>198</v>
      </c>
      <c r="B60" s="411"/>
      <c r="C60" s="411"/>
      <c r="D60" s="411"/>
      <c r="E60" s="411"/>
      <c r="F60" s="485"/>
    </row>
    <row r="61" spans="1:8">
      <c r="A61" s="462" t="s">
        <v>113</v>
      </c>
      <c r="B61" s="463"/>
      <c r="C61" s="463"/>
      <c r="D61" s="463"/>
      <c r="E61" s="463"/>
      <c r="F61" s="486"/>
    </row>
    <row r="62" spans="1:8" ht="71" customHeight="1" thickBot="1">
      <c r="A62" s="438"/>
      <c r="B62" s="439"/>
      <c r="C62" s="439"/>
      <c r="D62" s="439"/>
      <c r="E62" s="439"/>
      <c r="F62" s="487"/>
    </row>
    <row r="63" spans="1:8">
      <c r="A63" s="1" t="str">
        <f>'Summary Schedule'!A53</f>
        <v>4.2.9.n</v>
      </c>
    </row>
    <row r="64" spans="1:8">
      <c r="A64" s="1" t="str">
        <f>'Summary Schedule'!A54</f>
        <v>02072025</v>
      </c>
    </row>
  </sheetData>
  <sheetProtection algorithmName="SHA-512" hashValue="vKI1JI38jN4vvmEO2Lbq04JurvyXxZHV27cKfln3fPfFLQgMo1++grV6Xlh/U9S8vZHpFCLepFupwvIKc3PCOA==" saltValue="CKu2JGS0671ciID/3ntgMQ==" spinCount="100000" sheet="1" objects="1" scenarios="1"/>
  <mergeCells count="18">
    <mergeCell ref="A50:B52"/>
    <mergeCell ref="C50:C51"/>
    <mergeCell ref="D50:D51"/>
    <mergeCell ref="E50:F53"/>
    <mergeCell ref="A1:F1"/>
    <mergeCell ref="A2:F2"/>
    <mergeCell ref="E3:F6"/>
    <mergeCell ref="A4:A6"/>
    <mergeCell ref="A7:A8"/>
    <mergeCell ref="A60:F60"/>
    <mergeCell ref="A61:F61"/>
    <mergeCell ref="A62:F62"/>
    <mergeCell ref="A54:F54"/>
    <mergeCell ref="A55:F55"/>
    <mergeCell ref="A56:F56"/>
    <mergeCell ref="A57:F57"/>
    <mergeCell ref="A58:F58"/>
    <mergeCell ref="A59:F59"/>
  </mergeCells>
  <dataValidations count="2">
    <dataValidation type="whole" allowBlank="1" showInputMessage="1" showErrorMessage="1" error="Enter a number" sqref="B6:D6" xr:uid="{D7850245-4061-4192-A213-0B4733CCE0A0}">
      <formula1>-100000000</formula1>
      <formula2>1000000000</formula2>
    </dataValidation>
    <dataValidation type="whole" allowBlank="1" showInputMessage="1" showErrorMessage="1" error="Enter a number" sqref="B9:F49" xr:uid="{EFEF8CAF-EF0C-4CE1-AE30-BE3509400647}">
      <formula1>-1000000</formula1>
      <formula2>100000000</formula2>
    </dataValidation>
  </dataValidations>
  <pageMargins left="0.75" right="0.75" top="1" bottom="1" header="0.5" footer="0.5"/>
  <pageSetup scale="55" orientation="portrait" horizontalDpi="4294967292" verticalDpi="4294967292"/>
  <drawing r:id="rId1"/>
  <extLst>
    <ext xmlns:x14="http://schemas.microsoft.com/office/spreadsheetml/2009/9/main" uri="{78C0D931-6437-407d-A8EE-F0AAD7539E65}">
      <x14:conditionalFormattings>
        <x14:conditionalFormatting xmlns:xm="http://schemas.microsoft.com/office/excel/2006/main">
          <x14:cfRule type="expression" priority="2" id="{00000000-000E-0000-0500-000002000000}">
            <xm:f>'Summary Schedule'!$C$4&lt;&gt;"ESA"</xm:f>
            <x14:dxf>
              <font>
                <color theme="0" tint="-0.24994659260841701"/>
              </font>
              <fill>
                <patternFill patternType="mediumGray">
                  <fgColor theme="0" tint="-0.24994659260841701"/>
                  <bgColor theme="0" tint="-0.24994659260841701"/>
                </patternFill>
              </fill>
              <border>
                <left/>
                <right/>
                <top/>
                <bottom/>
                <vertical/>
                <horizontal/>
              </border>
            </x14:dxf>
          </x14:cfRule>
          <xm:sqref>A1:F64</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3">
    <tabColor rgb="FF0000FF"/>
    <pageSetUpPr fitToPage="1"/>
  </sheetPr>
  <dimension ref="A1:G46"/>
  <sheetViews>
    <sheetView zoomScale="90" zoomScaleNormal="90" workbookViewId="0">
      <selection sqref="A1:E1"/>
    </sheetView>
  </sheetViews>
  <sheetFormatPr defaultColWidth="11" defaultRowHeight="16"/>
  <cols>
    <col min="1" max="1" width="23.1640625" style="1" customWidth="1"/>
    <col min="2" max="2" width="27.1640625" style="1" customWidth="1"/>
    <col min="3" max="3" width="32.33203125" style="1" customWidth="1"/>
    <col min="4" max="4" width="26.33203125" style="1" customWidth="1"/>
    <col min="5" max="5" width="33.1640625" style="1" customWidth="1"/>
    <col min="6" max="6" width="12.83203125" style="1" bestFit="1" customWidth="1"/>
    <col min="7" max="7" width="14.6640625" style="1" bestFit="1" customWidth="1"/>
    <col min="8" max="16384" width="11" style="1"/>
  </cols>
  <sheetData>
    <row r="1" spans="1:7" ht="20">
      <c r="A1" s="512" t="s">
        <v>292</v>
      </c>
      <c r="B1" s="513"/>
      <c r="C1" s="513"/>
      <c r="D1" s="513"/>
      <c r="E1" s="514"/>
    </row>
    <row r="2" spans="1:7" ht="20.5" thickBot="1">
      <c r="A2" s="449" t="s">
        <v>293</v>
      </c>
      <c r="B2" s="450"/>
      <c r="C2" s="450"/>
      <c r="D2" s="450"/>
      <c r="E2" s="451"/>
    </row>
    <row r="3" spans="1:7" ht="19.5" customHeight="1">
      <c r="A3" s="198"/>
      <c r="B3" s="52"/>
      <c r="C3" s="52"/>
      <c r="D3" s="52"/>
      <c r="E3" s="53"/>
    </row>
    <row r="4" spans="1:7" ht="19.5" customHeight="1">
      <c r="A4" s="200" t="s">
        <v>302</v>
      </c>
      <c r="B4" s="218"/>
      <c r="C4" s="193" t="s">
        <v>544</v>
      </c>
      <c r="D4" s="194"/>
      <c r="E4" s="201"/>
    </row>
    <row r="5" spans="1:7" ht="19.5" customHeight="1">
      <c r="A5" s="202" t="s">
        <v>303</v>
      </c>
      <c r="B5" s="171"/>
      <c r="C5" s="520"/>
      <c r="D5" s="521"/>
      <c r="E5" s="522"/>
    </row>
    <row r="6" spans="1:7" ht="19.5" customHeight="1" thickBot="1">
      <c r="A6" s="202" t="s">
        <v>543</v>
      </c>
      <c r="B6" s="171"/>
      <c r="C6" s="523"/>
      <c r="D6" s="524"/>
      <c r="E6" s="525"/>
    </row>
    <row r="7" spans="1:7" ht="17" customHeight="1">
      <c r="A7" s="515" t="s">
        <v>161</v>
      </c>
      <c r="B7" s="172" t="s">
        <v>0</v>
      </c>
      <c r="C7" s="172" t="s">
        <v>1</v>
      </c>
      <c r="D7" s="172" t="s">
        <v>2</v>
      </c>
      <c r="E7" s="173" t="s">
        <v>3</v>
      </c>
    </row>
    <row r="8" spans="1:7" ht="57" customHeight="1">
      <c r="A8" s="516"/>
      <c r="B8" s="174" t="s">
        <v>294</v>
      </c>
      <c r="C8" s="174" t="s">
        <v>295</v>
      </c>
      <c r="D8" s="174" t="s">
        <v>304</v>
      </c>
      <c r="E8" s="175" t="s">
        <v>305</v>
      </c>
    </row>
    <row r="9" spans="1:7" ht="18" customHeight="1">
      <c r="A9" s="176">
        <v>1</v>
      </c>
      <c r="B9" s="218">
        <f>B4</f>
        <v>0</v>
      </c>
      <c r="C9" s="195">
        <f>IF('Summary Schedule'!$C$4="ESA", SUMIF('Sch2a-Imp Price by ECM'!$C$9:$C$258,"Yes",'Sch4-Cost Savings by ECM'!P8:P257),0)*B5</f>
        <v>0</v>
      </c>
      <c r="D9" s="219">
        <f>B9*C9</f>
        <v>0</v>
      </c>
      <c r="E9" s="203"/>
      <c r="F9" s="13"/>
      <c r="G9" s="13"/>
    </row>
    <row r="10" spans="1:7" ht="18" customHeight="1">
      <c r="A10" s="176">
        <v>2</v>
      </c>
      <c r="B10" s="218">
        <f>B9*(1+'Annual Escalation Rates'!B6)</f>
        <v>0</v>
      </c>
      <c r="C10" s="195">
        <f>C9*(1-$B$6)</f>
        <v>0</v>
      </c>
      <c r="D10" s="219">
        <f t="shared" ref="D10:D28" si="0">B10*C10</f>
        <v>0</v>
      </c>
      <c r="E10" s="203"/>
      <c r="F10" s="13"/>
      <c r="G10" s="13"/>
    </row>
    <row r="11" spans="1:7" ht="18" customHeight="1">
      <c r="A11" s="176">
        <v>3</v>
      </c>
      <c r="B11" s="218">
        <f>B10*(1+'Annual Escalation Rates'!B7)</f>
        <v>0</v>
      </c>
      <c r="C11" s="195">
        <f t="shared" ref="C11:C28" si="1">C10*(1-$B$6)</f>
        <v>0</v>
      </c>
      <c r="D11" s="219">
        <f t="shared" si="0"/>
        <v>0</v>
      </c>
      <c r="E11" s="203"/>
      <c r="F11" s="13"/>
      <c r="G11" s="13"/>
    </row>
    <row r="12" spans="1:7" ht="18" customHeight="1">
      <c r="A12" s="176">
        <v>4</v>
      </c>
      <c r="B12" s="218">
        <f>B11*(1+'Annual Escalation Rates'!B8)</f>
        <v>0</v>
      </c>
      <c r="C12" s="195">
        <f t="shared" si="1"/>
        <v>0</v>
      </c>
      <c r="D12" s="219">
        <f t="shared" si="0"/>
        <v>0</v>
      </c>
      <c r="E12" s="203"/>
      <c r="F12" s="13"/>
      <c r="G12" s="13"/>
    </row>
    <row r="13" spans="1:7" ht="18" customHeight="1">
      <c r="A13" s="176">
        <v>5</v>
      </c>
      <c r="B13" s="218">
        <f>B12*(1+'Annual Escalation Rates'!B9)</f>
        <v>0</v>
      </c>
      <c r="C13" s="195">
        <f t="shared" si="1"/>
        <v>0</v>
      </c>
      <c r="D13" s="219">
        <f t="shared" si="0"/>
        <v>0</v>
      </c>
      <c r="E13" s="203"/>
      <c r="F13" s="13"/>
      <c r="G13" s="13"/>
    </row>
    <row r="14" spans="1:7" ht="18" customHeight="1">
      <c r="A14" s="176">
        <v>6</v>
      </c>
      <c r="B14" s="218">
        <f>B13*(1+'Annual Escalation Rates'!B10)</f>
        <v>0</v>
      </c>
      <c r="C14" s="195">
        <f t="shared" si="1"/>
        <v>0</v>
      </c>
      <c r="D14" s="219">
        <f t="shared" si="0"/>
        <v>0</v>
      </c>
      <c r="E14" s="203"/>
      <c r="F14" s="13"/>
      <c r="G14" s="13"/>
    </row>
    <row r="15" spans="1:7" ht="18" customHeight="1">
      <c r="A15" s="176">
        <v>7</v>
      </c>
      <c r="B15" s="218">
        <f>B14*(1+'Annual Escalation Rates'!B11)</f>
        <v>0</v>
      </c>
      <c r="C15" s="195">
        <f t="shared" si="1"/>
        <v>0</v>
      </c>
      <c r="D15" s="219">
        <f t="shared" si="0"/>
        <v>0</v>
      </c>
      <c r="E15" s="203"/>
      <c r="F15" s="13"/>
      <c r="G15" s="13"/>
    </row>
    <row r="16" spans="1:7" ht="18" customHeight="1">
      <c r="A16" s="176">
        <v>8</v>
      </c>
      <c r="B16" s="218">
        <f>B15*(1+'Annual Escalation Rates'!B12)</f>
        <v>0</v>
      </c>
      <c r="C16" s="195">
        <f t="shared" si="1"/>
        <v>0</v>
      </c>
      <c r="D16" s="219">
        <f t="shared" si="0"/>
        <v>0</v>
      </c>
      <c r="E16" s="203"/>
      <c r="F16" s="13"/>
      <c r="G16" s="13"/>
    </row>
    <row r="17" spans="1:7" ht="18" customHeight="1">
      <c r="A17" s="176">
        <v>9</v>
      </c>
      <c r="B17" s="218">
        <f>B16*(1+'Annual Escalation Rates'!B13)</f>
        <v>0</v>
      </c>
      <c r="C17" s="195">
        <f t="shared" si="1"/>
        <v>0</v>
      </c>
      <c r="D17" s="219">
        <f t="shared" si="0"/>
        <v>0</v>
      </c>
      <c r="E17" s="203"/>
      <c r="F17" s="13"/>
      <c r="G17" s="13"/>
    </row>
    <row r="18" spans="1:7" ht="18" customHeight="1">
      <c r="A18" s="176">
        <v>10</v>
      </c>
      <c r="B18" s="218">
        <f>B17*(1+'Annual Escalation Rates'!B14)</f>
        <v>0</v>
      </c>
      <c r="C18" s="195">
        <f t="shared" si="1"/>
        <v>0</v>
      </c>
      <c r="D18" s="219">
        <f t="shared" si="0"/>
        <v>0</v>
      </c>
      <c r="E18" s="203"/>
      <c r="F18" s="13"/>
      <c r="G18" s="13"/>
    </row>
    <row r="19" spans="1:7" ht="18" customHeight="1">
      <c r="A19" s="176">
        <v>11</v>
      </c>
      <c r="B19" s="218">
        <f>B18*(1+'Annual Escalation Rates'!B15)</f>
        <v>0</v>
      </c>
      <c r="C19" s="195">
        <f t="shared" si="1"/>
        <v>0</v>
      </c>
      <c r="D19" s="219">
        <f t="shared" si="0"/>
        <v>0</v>
      </c>
      <c r="E19" s="203"/>
      <c r="F19" s="13"/>
      <c r="G19" s="13"/>
    </row>
    <row r="20" spans="1:7" ht="18" customHeight="1">
      <c r="A20" s="176">
        <v>12</v>
      </c>
      <c r="B20" s="218">
        <f>B19*(1+'Annual Escalation Rates'!B16)</f>
        <v>0</v>
      </c>
      <c r="C20" s="195">
        <f t="shared" si="1"/>
        <v>0</v>
      </c>
      <c r="D20" s="219">
        <f t="shared" si="0"/>
        <v>0</v>
      </c>
      <c r="E20" s="203"/>
    </row>
    <row r="21" spans="1:7" ht="18" customHeight="1">
      <c r="A21" s="176">
        <v>13</v>
      </c>
      <c r="B21" s="218">
        <f>B20*(1+'Annual Escalation Rates'!B17)</f>
        <v>0</v>
      </c>
      <c r="C21" s="195">
        <f t="shared" si="1"/>
        <v>0</v>
      </c>
      <c r="D21" s="219">
        <f t="shared" si="0"/>
        <v>0</v>
      </c>
      <c r="E21" s="203"/>
    </row>
    <row r="22" spans="1:7" ht="18" customHeight="1">
      <c r="A22" s="176">
        <v>14</v>
      </c>
      <c r="B22" s="218">
        <f>B21*(1+'Annual Escalation Rates'!B18)</f>
        <v>0</v>
      </c>
      <c r="C22" s="195">
        <f t="shared" si="1"/>
        <v>0</v>
      </c>
      <c r="D22" s="219">
        <f t="shared" si="0"/>
        <v>0</v>
      </c>
      <c r="E22" s="203"/>
    </row>
    <row r="23" spans="1:7" ht="18" customHeight="1">
      <c r="A23" s="176">
        <v>15</v>
      </c>
      <c r="B23" s="218">
        <f>B22*(1+'Annual Escalation Rates'!B19)</f>
        <v>0</v>
      </c>
      <c r="C23" s="195">
        <f t="shared" si="1"/>
        <v>0</v>
      </c>
      <c r="D23" s="219">
        <f t="shared" si="0"/>
        <v>0</v>
      </c>
      <c r="E23" s="203"/>
    </row>
    <row r="24" spans="1:7" ht="18" customHeight="1">
      <c r="A24" s="176">
        <v>16</v>
      </c>
      <c r="B24" s="218">
        <f>B23*(1+'Annual Escalation Rates'!B20)</f>
        <v>0</v>
      </c>
      <c r="C24" s="195">
        <f t="shared" si="1"/>
        <v>0</v>
      </c>
      <c r="D24" s="219">
        <f t="shared" si="0"/>
        <v>0</v>
      </c>
      <c r="E24" s="203"/>
    </row>
    <row r="25" spans="1:7" ht="18" customHeight="1">
      <c r="A25" s="176">
        <v>17</v>
      </c>
      <c r="B25" s="218">
        <f>B24*(1+'Annual Escalation Rates'!B21)</f>
        <v>0</v>
      </c>
      <c r="C25" s="195">
        <f t="shared" si="1"/>
        <v>0</v>
      </c>
      <c r="D25" s="219">
        <f t="shared" si="0"/>
        <v>0</v>
      </c>
      <c r="E25" s="203"/>
    </row>
    <row r="26" spans="1:7" ht="18" customHeight="1">
      <c r="A26" s="176">
        <v>18</v>
      </c>
      <c r="B26" s="218">
        <f>B25*(1+'Annual Escalation Rates'!B22)</f>
        <v>0</v>
      </c>
      <c r="C26" s="195">
        <f t="shared" si="1"/>
        <v>0</v>
      </c>
      <c r="D26" s="219">
        <f t="shared" si="0"/>
        <v>0</v>
      </c>
      <c r="E26" s="203"/>
    </row>
    <row r="27" spans="1:7" ht="18" customHeight="1">
      <c r="A27" s="176">
        <v>19</v>
      </c>
      <c r="B27" s="218">
        <f>B26*(1+'Annual Escalation Rates'!B23)</f>
        <v>0</v>
      </c>
      <c r="C27" s="195">
        <f t="shared" si="1"/>
        <v>0</v>
      </c>
      <c r="D27" s="219">
        <f t="shared" si="0"/>
        <v>0</v>
      </c>
      <c r="E27" s="203"/>
    </row>
    <row r="28" spans="1:7" ht="18" customHeight="1">
      <c r="A28" s="176">
        <v>20</v>
      </c>
      <c r="B28" s="218"/>
      <c r="C28" s="195">
        <f t="shared" si="1"/>
        <v>0</v>
      </c>
      <c r="D28" s="219">
        <f t="shared" si="0"/>
        <v>0</v>
      </c>
      <c r="E28" s="203"/>
    </row>
    <row r="29" spans="1:7" ht="18" customHeight="1">
      <c r="A29" s="176">
        <v>21</v>
      </c>
      <c r="B29" s="177"/>
      <c r="C29" s="178"/>
      <c r="D29" s="179"/>
      <c r="E29" s="180"/>
    </row>
    <row r="30" spans="1:7" ht="18" customHeight="1">
      <c r="A30" s="176">
        <v>22</v>
      </c>
      <c r="B30" s="177"/>
      <c r="C30" s="178"/>
      <c r="D30" s="179"/>
      <c r="E30" s="180"/>
    </row>
    <row r="31" spans="1:7" ht="18" customHeight="1">
      <c r="A31" s="176">
        <v>23</v>
      </c>
      <c r="B31" s="177"/>
      <c r="C31" s="178"/>
      <c r="D31" s="179"/>
      <c r="E31" s="180"/>
    </row>
    <row r="32" spans="1:7" ht="18" customHeight="1">
      <c r="A32" s="176">
        <v>24</v>
      </c>
      <c r="B32" s="177"/>
      <c r="C32" s="178"/>
      <c r="D32" s="179"/>
      <c r="E32" s="180"/>
    </row>
    <row r="33" spans="1:7" ht="18" customHeight="1">
      <c r="A33" s="176">
        <v>25</v>
      </c>
      <c r="B33" s="177"/>
      <c r="C33" s="178"/>
      <c r="D33" s="179"/>
      <c r="E33" s="180"/>
    </row>
    <row r="34" spans="1:7" ht="32.25" customHeight="1">
      <c r="A34" s="199" t="s">
        <v>53</v>
      </c>
      <c r="B34" s="181"/>
      <c r="C34" s="220">
        <f>SUM(C9:C33)</f>
        <v>0</v>
      </c>
      <c r="D34" s="221">
        <f>SUM(D9:D33)</f>
        <v>0</v>
      </c>
      <c r="E34" s="222">
        <f>SUM(E9:E33)</f>
        <v>0</v>
      </c>
      <c r="G34" s="208"/>
    </row>
    <row r="35" spans="1:7">
      <c r="A35" s="182"/>
      <c r="B35" s="183"/>
      <c r="C35" s="184"/>
      <c r="D35" s="184"/>
      <c r="E35" s="204"/>
    </row>
    <row r="36" spans="1:7">
      <c r="A36" s="496" t="s">
        <v>15</v>
      </c>
      <c r="B36" s="497"/>
      <c r="C36" s="497"/>
      <c r="D36" s="497"/>
      <c r="E36" s="498"/>
    </row>
    <row r="37" spans="1:7" ht="28" customHeight="1">
      <c r="A37" s="502" t="s">
        <v>306</v>
      </c>
      <c r="B37" s="503"/>
      <c r="C37" s="503"/>
      <c r="D37" s="503"/>
      <c r="E37" s="504"/>
    </row>
    <row r="38" spans="1:7">
      <c r="A38" s="505" t="s">
        <v>307</v>
      </c>
      <c r="B38" s="506"/>
      <c r="C38" s="506"/>
      <c r="D38" s="506"/>
      <c r="E38" s="507"/>
    </row>
    <row r="39" spans="1:7" ht="17" customHeight="1">
      <c r="A39" s="205" t="s">
        <v>308</v>
      </c>
      <c r="B39" s="206"/>
      <c r="C39" s="206"/>
      <c r="D39" s="206"/>
      <c r="E39" s="207"/>
    </row>
    <row r="40" spans="1:7" ht="28" customHeight="1">
      <c r="A40" s="508" t="s">
        <v>309</v>
      </c>
      <c r="B40" s="506"/>
      <c r="C40" s="506"/>
      <c r="D40" s="506"/>
      <c r="E40" s="507"/>
    </row>
    <row r="41" spans="1:7">
      <c r="A41" s="509" t="s">
        <v>310</v>
      </c>
      <c r="B41" s="510"/>
      <c r="C41" s="510"/>
      <c r="D41" s="510"/>
      <c r="E41" s="511"/>
    </row>
    <row r="42" spans="1:7" ht="32" customHeight="1">
      <c r="A42" s="517" t="s">
        <v>539</v>
      </c>
      <c r="B42" s="518"/>
      <c r="C42" s="518"/>
      <c r="D42" s="518"/>
      <c r="E42" s="519"/>
    </row>
    <row r="43" spans="1:7" ht="26" customHeight="1">
      <c r="A43" s="496" t="s">
        <v>113</v>
      </c>
      <c r="B43" s="497"/>
      <c r="C43" s="497"/>
      <c r="D43" s="497"/>
      <c r="E43" s="498"/>
    </row>
    <row r="44" spans="1:7" ht="71" customHeight="1" thickBot="1">
      <c r="A44" s="499"/>
      <c r="B44" s="500"/>
      <c r="C44" s="500"/>
      <c r="D44" s="500"/>
      <c r="E44" s="501"/>
    </row>
    <row r="45" spans="1:7">
      <c r="A45" s="1" t="str">
        <f>'Summary Schedule'!A53</f>
        <v>4.2.9.n</v>
      </c>
    </row>
    <row r="46" spans="1:7">
      <c r="A46" s="1" t="str">
        <f>'Summary Schedule'!A54</f>
        <v>02072025</v>
      </c>
    </row>
  </sheetData>
  <sheetProtection algorithmName="SHA-512" hashValue="glJlGlk46jHM+jEzbJ90lOxGmXxnF0/IaQu36ojgyy2DS8w6YkaNcw0NJRJ3UnrDjSqE/CYQS9y6bCT7imfr5A==" saltValue="T2SHwoTMEUJspTDhex4AFA==" spinCount="100000" sheet="1" objects="1" scenarios="1"/>
  <mergeCells count="12">
    <mergeCell ref="A1:E1"/>
    <mergeCell ref="A2:E2"/>
    <mergeCell ref="A7:A8"/>
    <mergeCell ref="A42:E42"/>
    <mergeCell ref="C5:E6"/>
    <mergeCell ref="A43:E43"/>
    <mergeCell ref="A44:E44"/>
    <mergeCell ref="A36:E36"/>
    <mergeCell ref="A37:E37"/>
    <mergeCell ref="A38:E38"/>
    <mergeCell ref="A40:E40"/>
    <mergeCell ref="A41:E41"/>
  </mergeCells>
  <conditionalFormatting sqref="C5">
    <cfRule type="expression" dxfId="18" priority="2">
      <formula>#REF!&lt;&gt;"ESA"</formula>
    </cfRule>
  </conditionalFormatting>
  <dataValidations count="6">
    <dataValidation type="decimal" allowBlank="1" showInputMessage="1" showErrorMessage="1" error="Please enter a percentage between 0 and 100%." sqref="B5:B6" xr:uid="{00000000-0002-0000-0600-000000000000}">
      <formula1>0</formula1>
      <formula2>1</formula2>
    </dataValidation>
    <dataValidation type="whole" allowBlank="1" showInputMessage="1" showErrorMessage="1" errorTitle="Invalid ESA Price" error="Please enter a valid electricity rate for ESA price" sqref="B4" xr:uid="{00000000-0002-0000-0600-000001000000}">
      <formula1>-100</formula1>
      <formula2>100</formula2>
    </dataValidation>
    <dataValidation type="whole" allowBlank="1" showInputMessage="1" showErrorMessage="1" sqref="B9:D28" xr:uid="{7302CD15-CD34-4A49-9B41-4519F4246DA9}">
      <formula1>-100000000</formula1>
      <formula2>1100000000000</formula2>
    </dataValidation>
    <dataValidation type="whole" allowBlank="1" showInputMessage="1" showErrorMessage="1" sqref="C34:E34" xr:uid="{A77EF0E8-9ED9-1A46-9D4A-2D91DAF07622}">
      <formula1>-1000000</formula1>
      <formula2>10000000000</formula2>
    </dataValidation>
    <dataValidation type="whole" allowBlank="1" showInputMessage="1" showErrorMessage="1" error="Enter a valid FMV dollar amount" sqref="D4" xr:uid="{83FED1FB-4622-1B44-BF99-AEF65A11450E}">
      <formula1>-1000000</formula1>
      <formula2>1000000000</formula2>
    </dataValidation>
    <dataValidation type="whole" allowBlank="1" showInputMessage="1" showErrorMessage="1" error="Enter a number" sqref="E9:E28" xr:uid="{C30762CE-B790-40EA-BC6E-67E66D24CC30}">
      <formula1>-100000000</formula1>
      <formula2>1100000000000</formula2>
    </dataValidation>
  </dataValidations>
  <pageMargins left="0.75" right="0.75" top="1" bottom="1" header="0.5" footer="0.5"/>
  <pageSetup scale="55" orientation="portrait" horizontalDpi="4294967292" verticalDpi="4294967292"/>
  <drawing r:id="rId1"/>
  <extLst>
    <ext xmlns:x14="http://schemas.microsoft.com/office/spreadsheetml/2009/9/main" uri="{78C0D931-6437-407d-A8EE-F0AAD7539E65}">
      <x14:conditionalFormattings>
        <x14:conditionalFormatting xmlns:xm="http://schemas.microsoft.com/office/excel/2006/main">
          <x14:cfRule type="expression" priority="1" id="{77B359A4-AA9F-E246-B747-5AB8B0B5940C}">
            <xm:f>'Summary Schedule'!$C$4&lt;&gt;"ESA"</xm:f>
            <x14:dxf>
              <font>
                <u val="none"/>
                <color theme="0" tint="-0.24994659260841701"/>
              </font>
              <fill>
                <patternFill>
                  <fgColor theme="0" tint="-0.24994659260841701"/>
                  <bgColor theme="0" tint="-0.24994659260841701"/>
                </patternFill>
              </fill>
              <border>
                <left/>
                <right/>
                <top/>
                <bottom/>
                <vertical/>
                <horizontal/>
              </border>
            </x14:dxf>
          </x14:cfRule>
          <xm:sqref>A1:E47</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pageSetUpPr fitToPage="1"/>
  </sheetPr>
  <dimension ref="A1:O272"/>
  <sheetViews>
    <sheetView zoomScale="80" zoomScaleNormal="80" zoomScalePageLayoutView="150" workbookViewId="0">
      <selection sqref="A1:L1"/>
    </sheetView>
  </sheetViews>
  <sheetFormatPr defaultColWidth="11" defaultRowHeight="16"/>
  <cols>
    <col min="1" max="2" width="31.6640625" style="16" customWidth="1"/>
    <col min="3" max="3" width="13.5" style="16" customWidth="1"/>
    <col min="4" max="4" width="30.6640625" style="16" customWidth="1"/>
    <col min="5" max="5" width="18.5" style="16" customWidth="1"/>
    <col min="6" max="7" width="13.83203125" style="16" customWidth="1"/>
    <col min="8" max="8" width="14.5" style="16" customWidth="1"/>
    <col min="9" max="9" width="20.6640625" style="16" customWidth="1"/>
    <col min="10" max="10" width="20" style="16" customWidth="1"/>
    <col min="11" max="11" width="14.1640625" style="16" customWidth="1"/>
    <col min="12" max="12" width="21.1640625" style="16" customWidth="1"/>
    <col min="13" max="13" width="11" style="16"/>
    <col min="14" max="14" width="13.33203125" style="16" bestFit="1" customWidth="1"/>
    <col min="15" max="15" width="11.83203125" style="16" bestFit="1" customWidth="1"/>
    <col min="16" max="16384" width="11" style="16"/>
  </cols>
  <sheetData>
    <row r="1" spans="1:13" ht="21" customHeight="1">
      <c r="A1" s="526" t="s">
        <v>182</v>
      </c>
      <c r="B1" s="526"/>
      <c r="C1" s="526"/>
      <c r="D1" s="526"/>
      <c r="E1" s="526"/>
      <c r="F1" s="526"/>
      <c r="G1" s="526"/>
      <c r="H1" s="526"/>
      <c r="I1" s="526"/>
      <c r="J1" s="526"/>
      <c r="K1" s="526"/>
      <c r="L1" s="526"/>
    </row>
    <row r="2" spans="1:13" ht="20" customHeight="1" thickBot="1">
      <c r="A2" s="526" t="s">
        <v>7</v>
      </c>
      <c r="B2" s="526"/>
      <c r="C2" s="526"/>
      <c r="D2" s="526"/>
      <c r="E2" s="526"/>
      <c r="F2" s="526"/>
      <c r="G2" s="526"/>
      <c r="H2" s="526"/>
      <c r="I2" s="526"/>
      <c r="J2" s="526"/>
      <c r="K2" s="526"/>
      <c r="L2" s="526"/>
    </row>
    <row r="3" spans="1:13" ht="20.25" customHeight="1" thickBot="1">
      <c r="A3" s="527"/>
      <c r="B3" s="528"/>
      <c r="C3" s="528"/>
      <c r="D3" s="528"/>
      <c r="E3" s="528"/>
      <c r="F3" s="528"/>
      <c r="G3" s="528"/>
      <c r="H3" s="528"/>
      <c r="I3" s="528"/>
      <c r="J3" s="528"/>
      <c r="K3" s="528"/>
      <c r="L3" s="529"/>
    </row>
    <row r="4" spans="1:13" ht="15.75" customHeight="1">
      <c r="A4" s="534" t="s">
        <v>312</v>
      </c>
      <c r="B4" s="536" t="s">
        <v>8</v>
      </c>
      <c r="C4" s="535" t="str">
        <f>IF('Summary Schedule'!C4="ESA", "Energy Sales Agreement (ESA)?","Not Applicable")</f>
        <v>Not Applicable</v>
      </c>
      <c r="D4" s="535" t="s">
        <v>313</v>
      </c>
      <c r="E4" s="534" t="s">
        <v>9</v>
      </c>
      <c r="F4" s="534" t="s">
        <v>50</v>
      </c>
      <c r="G4" s="534" t="s">
        <v>500</v>
      </c>
      <c r="H4" s="534" t="s">
        <v>296</v>
      </c>
      <c r="I4" s="534" t="s">
        <v>71</v>
      </c>
      <c r="J4" s="534" t="s">
        <v>1</v>
      </c>
      <c r="K4" s="534" t="s">
        <v>72</v>
      </c>
      <c r="L4" s="538" t="s">
        <v>73</v>
      </c>
    </row>
    <row r="5" spans="1:13" ht="18" customHeight="1" thickBot="1">
      <c r="A5" s="534"/>
      <c r="B5" s="536"/>
      <c r="C5" s="535"/>
      <c r="D5" s="535"/>
      <c r="E5" s="534"/>
      <c r="F5" s="534"/>
      <c r="G5" s="534"/>
      <c r="H5" s="534"/>
      <c r="I5" s="531"/>
      <c r="J5" s="534"/>
      <c r="K5" s="533"/>
      <c r="L5" s="539" t="s">
        <v>185</v>
      </c>
    </row>
    <row r="6" spans="1:13" ht="26.25" customHeight="1">
      <c r="A6" s="534"/>
      <c r="B6" s="536"/>
      <c r="C6" s="535"/>
      <c r="D6" s="535"/>
      <c r="E6" s="534"/>
      <c r="F6" s="534"/>
      <c r="G6" s="534"/>
      <c r="H6" s="534"/>
      <c r="I6" s="530" t="s">
        <v>211</v>
      </c>
      <c r="J6" s="530" t="str">
        <f>IF('Summary Schedule'!B4="UESC", "Mark-up (Overhead &amp; Profit)", "Project Implementation Delivery Charge")</f>
        <v>Project Implementation Delivery Charge</v>
      </c>
      <c r="K6" s="532" t="s">
        <v>26</v>
      </c>
      <c r="L6" s="540" t="s">
        <v>230</v>
      </c>
    </row>
    <row r="7" spans="1:13" ht="48" customHeight="1" thickBot="1">
      <c r="A7" s="531"/>
      <c r="B7" s="537"/>
      <c r="C7" s="476"/>
      <c r="D7" s="476"/>
      <c r="E7" s="531"/>
      <c r="F7" s="531"/>
      <c r="G7" s="531"/>
      <c r="H7" s="531"/>
      <c r="I7" s="531"/>
      <c r="J7" s="531"/>
      <c r="K7" s="533"/>
      <c r="L7" s="539" t="s">
        <v>223</v>
      </c>
    </row>
    <row r="8" spans="1:13" ht="47.25" customHeight="1" thickBot="1">
      <c r="A8" s="546" t="s">
        <v>231</v>
      </c>
      <c r="B8" s="547"/>
      <c r="C8" s="547"/>
      <c r="D8" s="547"/>
      <c r="E8" s="547"/>
      <c r="F8" s="547"/>
      <c r="G8" s="547"/>
      <c r="H8" s="547"/>
      <c r="I8" s="547"/>
      <c r="J8" s="547"/>
      <c r="K8" s="548"/>
      <c r="L8" s="126"/>
    </row>
    <row r="9" spans="1:13" ht="51" customHeight="1" thickBot="1">
      <c r="A9" s="331"/>
      <c r="B9" s="129"/>
      <c r="C9" s="129"/>
      <c r="D9" s="378"/>
      <c r="E9" s="127"/>
      <c r="F9" s="128"/>
      <c r="G9" s="126"/>
      <c r="H9" s="133"/>
      <c r="I9" s="133"/>
      <c r="J9" s="133"/>
      <c r="K9" s="133"/>
      <c r="L9" s="398" t="str">
        <f>IF((I9+J9-K9)=0, "", (I9+J9-K9))</f>
        <v/>
      </c>
      <c r="M9" s="84"/>
    </row>
    <row r="10" spans="1:13" ht="42" customHeight="1" thickBot="1">
      <c r="A10" s="331"/>
      <c r="B10" s="129"/>
      <c r="C10" s="129"/>
      <c r="D10" s="378"/>
      <c r="E10" s="127"/>
      <c r="F10" s="128"/>
      <c r="G10" s="126"/>
      <c r="H10" s="133"/>
      <c r="I10" s="133"/>
      <c r="J10" s="133"/>
      <c r="K10" s="133"/>
      <c r="L10" s="398" t="str">
        <f t="shared" ref="L10:L73" si="0">IF((I10+J10-K10)=0, "", (I10+J10-K10))</f>
        <v/>
      </c>
      <c r="M10" s="85"/>
    </row>
    <row r="11" spans="1:13" ht="29.25" customHeight="1" thickBot="1">
      <c r="A11" s="331"/>
      <c r="B11" s="129"/>
      <c r="C11" s="129"/>
      <c r="D11" s="378"/>
      <c r="E11" s="127"/>
      <c r="F11" s="128"/>
      <c r="G11" s="126"/>
      <c r="H11" s="133"/>
      <c r="I11" s="133"/>
      <c r="J11" s="133"/>
      <c r="K11" s="133"/>
      <c r="L11" s="398" t="str">
        <f>IF((I11+J11-K11)=0, "", (I11+J11-K11))</f>
        <v/>
      </c>
      <c r="M11" s="85"/>
    </row>
    <row r="12" spans="1:13" ht="29.25" customHeight="1" thickBot="1">
      <c r="A12" s="331"/>
      <c r="B12" s="129"/>
      <c r="C12" s="129"/>
      <c r="D12" s="378"/>
      <c r="E12" s="127"/>
      <c r="F12" s="128"/>
      <c r="G12" s="126"/>
      <c r="H12" s="133"/>
      <c r="I12" s="133"/>
      <c r="J12" s="133"/>
      <c r="K12" s="133"/>
      <c r="L12" s="398" t="str">
        <f t="shared" si="0"/>
        <v/>
      </c>
      <c r="M12" s="85"/>
    </row>
    <row r="13" spans="1:13" ht="29.25" customHeight="1" thickBot="1">
      <c r="A13" s="331"/>
      <c r="B13" s="129"/>
      <c r="C13" s="129"/>
      <c r="D13" s="378"/>
      <c r="E13" s="127"/>
      <c r="F13" s="128"/>
      <c r="G13" s="126"/>
      <c r="H13" s="133"/>
      <c r="I13" s="133"/>
      <c r="J13" s="133"/>
      <c r="K13" s="133"/>
      <c r="L13" s="398" t="str">
        <f t="shared" si="0"/>
        <v/>
      </c>
      <c r="M13" s="85"/>
    </row>
    <row r="14" spans="1:13" ht="29.25" customHeight="1" thickBot="1">
      <c r="A14" s="331"/>
      <c r="B14" s="129"/>
      <c r="C14" s="129"/>
      <c r="D14" s="378"/>
      <c r="E14" s="127"/>
      <c r="F14" s="128"/>
      <c r="G14" s="126"/>
      <c r="H14" s="133"/>
      <c r="I14" s="133"/>
      <c r="J14" s="133"/>
      <c r="K14" s="133"/>
      <c r="L14" s="398" t="str">
        <f>IF((I14+J14-K14)=0, "", (I14+J14-K14))</f>
        <v/>
      </c>
      <c r="M14" s="85"/>
    </row>
    <row r="15" spans="1:13" ht="29.25" customHeight="1" thickBot="1">
      <c r="A15" s="331"/>
      <c r="B15" s="129"/>
      <c r="C15" s="129"/>
      <c r="D15" s="378"/>
      <c r="E15" s="127"/>
      <c r="F15" s="128"/>
      <c r="G15" s="126"/>
      <c r="H15" s="133"/>
      <c r="I15" s="133"/>
      <c r="J15" s="133"/>
      <c r="K15" s="133"/>
      <c r="L15" s="398" t="str">
        <f t="shared" ref="L15" si="1">IF((I15+J15-K15)=0, "", (I15+J15-K15))</f>
        <v/>
      </c>
      <c r="M15" s="85"/>
    </row>
    <row r="16" spans="1:13" ht="29.25" customHeight="1" thickBot="1">
      <c r="A16" s="331"/>
      <c r="B16" s="129"/>
      <c r="C16" s="129"/>
      <c r="D16" s="378"/>
      <c r="E16" s="127"/>
      <c r="F16" s="128"/>
      <c r="G16" s="127"/>
      <c r="H16" s="133"/>
      <c r="I16" s="133"/>
      <c r="J16" s="133"/>
      <c r="K16" s="133"/>
      <c r="L16" s="398" t="str">
        <f t="shared" si="0"/>
        <v/>
      </c>
      <c r="M16" s="85"/>
    </row>
    <row r="17" spans="1:13" ht="29.25" customHeight="1" thickBot="1">
      <c r="A17" s="331"/>
      <c r="B17" s="129"/>
      <c r="C17" s="129"/>
      <c r="D17" s="378"/>
      <c r="E17" s="127"/>
      <c r="F17" s="128"/>
      <c r="G17" s="127"/>
      <c r="H17" s="133"/>
      <c r="I17" s="133"/>
      <c r="J17" s="133"/>
      <c r="K17" s="133"/>
      <c r="L17" s="398" t="str">
        <f t="shared" si="0"/>
        <v/>
      </c>
      <c r="M17" s="85"/>
    </row>
    <row r="18" spans="1:13" ht="29.25" customHeight="1" thickBot="1">
      <c r="A18" s="331"/>
      <c r="B18" s="129"/>
      <c r="C18" s="129"/>
      <c r="D18" s="378"/>
      <c r="E18" s="127"/>
      <c r="F18" s="128"/>
      <c r="G18" s="127"/>
      <c r="H18" s="133"/>
      <c r="I18" s="133"/>
      <c r="J18" s="133"/>
      <c r="K18" s="133"/>
      <c r="L18" s="398" t="str">
        <f t="shared" si="0"/>
        <v/>
      </c>
      <c r="M18" s="85"/>
    </row>
    <row r="19" spans="1:13" ht="29.25" customHeight="1" thickBot="1">
      <c r="A19" s="331"/>
      <c r="B19" s="129"/>
      <c r="C19" s="129"/>
      <c r="D19" s="378"/>
      <c r="E19" s="127"/>
      <c r="F19" s="128"/>
      <c r="G19" s="127"/>
      <c r="H19" s="133"/>
      <c r="I19" s="133"/>
      <c r="J19" s="133"/>
      <c r="K19" s="133"/>
      <c r="L19" s="398" t="str">
        <f t="shared" si="0"/>
        <v/>
      </c>
      <c r="M19" s="85"/>
    </row>
    <row r="20" spans="1:13" ht="29.25" customHeight="1" thickBot="1">
      <c r="A20" s="331"/>
      <c r="B20" s="129"/>
      <c r="C20" s="129"/>
      <c r="D20" s="378"/>
      <c r="E20" s="127"/>
      <c r="F20" s="128"/>
      <c r="G20" s="127"/>
      <c r="H20" s="133"/>
      <c r="I20" s="133"/>
      <c r="J20" s="133"/>
      <c r="K20" s="133"/>
      <c r="L20" s="398" t="str">
        <f t="shared" si="0"/>
        <v/>
      </c>
      <c r="M20" s="85"/>
    </row>
    <row r="21" spans="1:13" ht="29.25" customHeight="1" thickBot="1">
      <c r="A21" s="331"/>
      <c r="B21" s="129"/>
      <c r="C21" s="129"/>
      <c r="D21" s="378"/>
      <c r="E21" s="127"/>
      <c r="F21" s="128"/>
      <c r="G21" s="127"/>
      <c r="H21" s="133"/>
      <c r="I21" s="133"/>
      <c r="J21" s="133"/>
      <c r="K21" s="133"/>
      <c r="L21" s="398" t="str">
        <f t="shared" si="0"/>
        <v/>
      </c>
      <c r="M21" s="84"/>
    </row>
    <row r="22" spans="1:13" ht="29.25" customHeight="1" thickBot="1">
      <c r="A22" s="331"/>
      <c r="B22" s="129"/>
      <c r="C22" s="129"/>
      <c r="D22" s="378"/>
      <c r="E22" s="127"/>
      <c r="F22" s="128"/>
      <c r="G22" s="127"/>
      <c r="H22" s="133"/>
      <c r="I22" s="133"/>
      <c r="J22" s="133"/>
      <c r="K22" s="133"/>
      <c r="L22" s="398" t="str">
        <f t="shared" si="0"/>
        <v/>
      </c>
      <c r="M22" s="84"/>
    </row>
    <row r="23" spans="1:13" ht="29.25" customHeight="1" thickBot="1">
      <c r="A23" s="331"/>
      <c r="B23" s="129"/>
      <c r="C23" s="129"/>
      <c r="D23" s="378"/>
      <c r="E23" s="127"/>
      <c r="F23" s="128"/>
      <c r="G23" s="127"/>
      <c r="H23" s="133"/>
      <c r="I23" s="133"/>
      <c r="J23" s="133"/>
      <c r="K23" s="133"/>
      <c r="L23" s="398" t="str">
        <f t="shared" si="0"/>
        <v/>
      </c>
      <c r="M23" s="84"/>
    </row>
    <row r="24" spans="1:13" ht="29.25" customHeight="1" thickBot="1">
      <c r="A24" s="331"/>
      <c r="B24" s="129"/>
      <c r="C24" s="129"/>
      <c r="D24" s="378"/>
      <c r="E24" s="127"/>
      <c r="F24" s="128"/>
      <c r="G24" s="127"/>
      <c r="H24" s="133"/>
      <c r="I24" s="133"/>
      <c r="J24" s="133"/>
      <c r="K24" s="133"/>
      <c r="L24" s="398" t="str">
        <f t="shared" si="0"/>
        <v/>
      </c>
      <c r="M24" s="84"/>
    </row>
    <row r="25" spans="1:13" ht="29.25" customHeight="1" thickBot="1">
      <c r="A25" s="331"/>
      <c r="B25" s="129"/>
      <c r="C25" s="129"/>
      <c r="D25" s="378"/>
      <c r="E25" s="127"/>
      <c r="F25" s="128"/>
      <c r="G25" s="127"/>
      <c r="H25" s="133"/>
      <c r="I25" s="133"/>
      <c r="J25" s="133"/>
      <c r="K25" s="133"/>
      <c r="L25" s="398" t="str">
        <f t="shared" si="0"/>
        <v/>
      </c>
      <c r="M25" s="84"/>
    </row>
    <row r="26" spans="1:13" ht="29.25" customHeight="1" thickBot="1">
      <c r="A26" s="331"/>
      <c r="B26" s="129"/>
      <c r="C26" s="129"/>
      <c r="D26" s="378"/>
      <c r="E26" s="127"/>
      <c r="F26" s="128"/>
      <c r="G26" s="127"/>
      <c r="H26" s="133"/>
      <c r="I26" s="133"/>
      <c r="J26" s="133"/>
      <c r="K26" s="133"/>
      <c r="L26" s="398" t="str">
        <f t="shared" si="0"/>
        <v/>
      </c>
      <c r="M26" s="84"/>
    </row>
    <row r="27" spans="1:13" ht="29.25" customHeight="1" thickBot="1">
      <c r="A27" s="331"/>
      <c r="B27" s="129"/>
      <c r="C27" s="129"/>
      <c r="D27" s="378"/>
      <c r="E27" s="127"/>
      <c r="F27" s="128"/>
      <c r="G27" s="127"/>
      <c r="H27" s="133"/>
      <c r="I27" s="133"/>
      <c r="J27" s="133"/>
      <c r="K27" s="133"/>
      <c r="L27" s="398" t="str">
        <f t="shared" si="0"/>
        <v/>
      </c>
      <c r="M27" s="84"/>
    </row>
    <row r="28" spans="1:13" ht="29.25" customHeight="1" thickBot="1">
      <c r="A28" s="331"/>
      <c r="B28" s="129"/>
      <c r="C28" s="129"/>
      <c r="D28" s="378"/>
      <c r="E28" s="127"/>
      <c r="F28" s="128"/>
      <c r="G28" s="127"/>
      <c r="H28" s="133"/>
      <c r="I28" s="133"/>
      <c r="J28" s="133"/>
      <c r="K28" s="133"/>
      <c r="L28" s="398" t="str">
        <f t="shared" si="0"/>
        <v/>
      </c>
      <c r="M28" s="84"/>
    </row>
    <row r="29" spans="1:13" ht="29.25" customHeight="1" thickBot="1">
      <c r="A29" s="331"/>
      <c r="B29" s="129"/>
      <c r="C29" s="129"/>
      <c r="D29" s="378"/>
      <c r="E29" s="127"/>
      <c r="F29" s="128"/>
      <c r="G29" s="127"/>
      <c r="H29" s="133"/>
      <c r="I29" s="133"/>
      <c r="J29" s="133"/>
      <c r="K29" s="133"/>
      <c r="L29" s="398" t="str">
        <f t="shared" si="0"/>
        <v/>
      </c>
      <c r="M29" s="84"/>
    </row>
    <row r="30" spans="1:13" ht="29.25" customHeight="1" thickBot="1">
      <c r="A30" s="331"/>
      <c r="B30" s="129"/>
      <c r="C30" s="129"/>
      <c r="D30" s="378"/>
      <c r="E30" s="127"/>
      <c r="F30" s="128"/>
      <c r="G30" s="127"/>
      <c r="H30" s="133"/>
      <c r="I30" s="133"/>
      <c r="J30" s="133"/>
      <c r="K30" s="133"/>
      <c r="L30" s="398" t="str">
        <f t="shared" si="0"/>
        <v/>
      </c>
      <c r="M30" s="84"/>
    </row>
    <row r="31" spans="1:13" ht="29.25" customHeight="1" thickBot="1">
      <c r="A31" s="331"/>
      <c r="B31" s="129"/>
      <c r="C31" s="129"/>
      <c r="D31" s="378"/>
      <c r="E31" s="127"/>
      <c r="F31" s="128"/>
      <c r="G31" s="127"/>
      <c r="H31" s="133"/>
      <c r="I31" s="133"/>
      <c r="J31" s="133"/>
      <c r="K31" s="133"/>
      <c r="L31" s="398" t="str">
        <f t="shared" si="0"/>
        <v/>
      </c>
      <c r="M31" s="84"/>
    </row>
    <row r="32" spans="1:13" ht="29.25" customHeight="1" thickBot="1">
      <c r="A32" s="331"/>
      <c r="B32" s="129"/>
      <c r="C32" s="129"/>
      <c r="D32" s="378"/>
      <c r="E32" s="127"/>
      <c r="F32" s="128"/>
      <c r="G32" s="127"/>
      <c r="H32" s="133"/>
      <c r="I32" s="133"/>
      <c r="J32" s="133"/>
      <c r="K32" s="133"/>
      <c r="L32" s="398" t="str">
        <f t="shared" si="0"/>
        <v/>
      </c>
      <c r="M32" s="84"/>
    </row>
    <row r="33" spans="1:13" ht="29.25" customHeight="1" thickBot="1">
      <c r="A33" s="331"/>
      <c r="B33" s="129"/>
      <c r="C33" s="129"/>
      <c r="D33" s="378"/>
      <c r="E33" s="127"/>
      <c r="F33" s="128"/>
      <c r="G33" s="127"/>
      <c r="H33" s="133"/>
      <c r="I33" s="133"/>
      <c r="J33" s="133"/>
      <c r="K33" s="133"/>
      <c r="L33" s="398" t="str">
        <f t="shared" si="0"/>
        <v/>
      </c>
      <c r="M33" s="84"/>
    </row>
    <row r="34" spans="1:13" ht="29.25" customHeight="1" thickBot="1">
      <c r="A34" s="331"/>
      <c r="B34" s="129"/>
      <c r="C34" s="129"/>
      <c r="D34" s="378"/>
      <c r="E34" s="127"/>
      <c r="F34" s="128"/>
      <c r="G34" s="127"/>
      <c r="H34" s="133"/>
      <c r="I34" s="133"/>
      <c r="J34" s="133"/>
      <c r="K34" s="133"/>
      <c r="L34" s="398" t="str">
        <f t="shared" si="0"/>
        <v/>
      </c>
      <c r="M34" s="84"/>
    </row>
    <row r="35" spans="1:13" ht="29.25" customHeight="1" thickBot="1">
      <c r="A35" s="331"/>
      <c r="B35" s="129"/>
      <c r="C35" s="129"/>
      <c r="D35" s="378"/>
      <c r="E35" s="127"/>
      <c r="F35" s="128"/>
      <c r="G35" s="127"/>
      <c r="H35" s="133"/>
      <c r="I35" s="133"/>
      <c r="J35" s="133"/>
      <c r="K35" s="133"/>
      <c r="L35" s="398" t="str">
        <f t="shared" si="0"/>
        <v/>
      </c>
      <c r="M35" s="84"/>
    </row>
    <row r="36" spans="1:13" ht="29.25" customHeight="1" thickBot="1">
      <c r="A36" s="331"/>
      <c r="B36" s="129"/>
      <c r="C36" s="129"/>
      <c r="D36" s="378"/>
      <c r="E36" s="127"/>
      <c r="F36" s="128"/>
      <c r="G36" s="127"/>
      <c r="H36" s="133"/>
      <c r="I36" s="133"/>
      <c r="J36" s="133"/>
      <c r="K36" s="133"/>
      <c r="L36" s="398" t="str">
        <f t="shared" si="0"/>
        <v/>
      </c>
      <c r="M36" s="84"/>
    </row>
    <row r="37" spans="1:13" ht="29.25" customHeight="1" thickBot="1">
      <c r="A37" s="331"/>
      <c r="B37" s="129"/>
      <c r="C37" s="129"/>
      <c r="D37" s="378"/>
      <c r="E37" s="127"/>
      <c r="F37" s="128"/>
      <c r="G37" s="127"/>
      <c r="H37" s="133"/>
      <c r="I37" s="133"/>
      <c r="J37" s="133"/>
      <c r="K37" s="133"/>
      <c r="L37" s="398" t="str">
        <f t="shared" si="0"/>
        <v/>
      </c>
      <c r="M37" s="84"/>
    </row>
    <row r="38" spans="1:13" ht="29.25" customHeight="1" thickBot="1">
      <c r="A38" s="331"/>
      <c r="B38" s="129"/>
      <c r="C38" s="129"/>
      <c r="D38" s="378"/>
      <c r="E38" s="127"/>
      <c r="F38" s="128"/>
      <c r="G38" s="127"/>
      <c r="H38" s="133"/>
      <c r="I38" s="133"/>
      <c r="J38" s="133"/>
      <c r="K38" s="133"/>
      <c r="L38" s="398" t="str">
        <f t="shared" si="0"/>
        <v/>
      </c>
      <c r="M38" s="84"/>
    </row>
    <row r="39" spans="1:13" ht="29.25" customHeight="1" thickBot="1">
      <c r="A39" s="331"/>
      <c r="B39" s="129"/>
      <c r="C39" s="129"/>
      <c r="D39" s="378"/>
      <c r="E39" s="127"/>
      <c r="F39" s="128"/>
      <c r="G39" s="127"/>
      <c r="H39" s="133"/>
      <c r="I39" s="133"/>
      <c r="J39" s="133"/>
      <c r="K39" s="133"/>
      <c r="L39" s="398" t="str">
        <f t="shared" si="0"/>
        <v/>
      </c>
      <c r="M39" s="84"/>
    </row>
    <row r="40" spans="1:13" ht="29.25" customHeight="1" thickBot="1">
      <c r="A40" s="331"/>
      <c r="B40" s="129"/>
      <c r="C40" s="129"/>
      <c r="D40" s="378"/>
      <c r="E40" s="127"/>
      <c r="F40" s="128"/>
      <c r="G40" s="127"/>
      <c r="H40" s="133"/>
      <c r="I40" s="133"/>
      <c r="J40" s="133"/>
      <c r="K40" s="133"/>
      <c r="L40" s="398" t="str">
        <f t="shared" si="0"/>
        <v/>
      </c>
      <c r="M40" s="84"/>
    </row>
    <row r="41" spans="1:13" ht="29.25" customHeight="1" thickBot="1">
      <c r="A41" s="331"/>
      <c r="B41" s="378"/>
      <c r="C41" s="378"/>
      <c r="D41" s="378"/>
      <c r="E41" s="129"/>
      <c r="F41" s="128"/>
      <c r="G41" s="127"/>
      <c r="H41" s="133"/>
      <c r="I41" s="133"/>
      <c r="J41" s="133"/>
      <c r="K41" s="133"/>
      <c r="L41" s="398" t="str">
        <f t="shared" si="0"/>
        <v/>
      </c>
      <c r="M41" s="84"/>
    </row>
    <row r="42" spans="1:13" ht="29.25" customHeight="1" thickBot="1">
      <c r="A42" s="331"/>
      <c r="B42" s="378"/>
      <c r="C42" s="378"/>
      <c r="D42" s="378"/>
      <c r="E42" s="129"/>
      <c r="F42" s="128"/>
      <c r="G42" s="127"/>
      <c r="H42" s="133"/>
      <c r="I42" s="133"/>
      <c r="J42" s="133"/>
      <c r="K42" s="133"/>
      <c r="L42" s="398" t="str">
        <f t="shared" si="0"/>
        <v/>
      </c>
      <c r="M42" s="84"/>
    </row>
    <row r="43" spans="1:13" ht="29.25" customHeight="1" thickBot="1">
      <c r="A43" s="331"/>
      <c r="B43" s="378"/>
      <c r="C43" s="378"/>
      <c r="D43" s="378"/>
      <c r="E43" s="129"/>
      <c r="F43" s="128"/>
      <c r="G43" s="127"/>
      <c r="H43" s="133"/>
      <c r="I43" s="133"/>
      <c r="J43" s="133"/>
      <c r="K43" s="133"/>
      <c r="L43" s="398" t="str">
        <f t="shared" si="0"/>
        <v/>
      </c>
      <c r="M43" s="84"/>
    </row>
    <row r="44" spans="1:13" ht="29.25" customHeight="1" thickBot="1">
      <c r="A44" s="331"/>
      <c r="B44" s="378"/>
      <c r="C44" s="378"/>
      <c r="D44" s="378"/>
      <c r="E44" s="129"/>
      <c r="F44" s="128"/>
      <c r="G44" s="127"/>
      <c r="H44" s="133"/>
      <c r="I44" s="133"/>
      <c r="J44" s="133"/>
      <c r="K44" s="133"/>
      <c r="L44" s="398" t="str">
        <f t="shared" si="0"/>
        <v/>
      </c>
      <c r="M44" s="84"/>
    </row>
    <row r="45" spans="1:13" ht="29.25" customHeight="1" thickBot="1">
      <c r="A45" s="331"/>
      <c r="B45" s="378"/>
      <c r="C45" s="378"/>
      <c r="D45" s="378"/>
      <c r="E45" s="129"/>
      <c r="F45" s="128"/>
      <c r="G45" s="127"/>
      <c r="H45" s="133"/>
      <c r="I45" s="133"/>
      <c r="J45" s="133"/>
      <c r="K45" s="133"/>
      <c r="L45" s="398" t="str">
        <f t="shared" si="0"/>
        <v/>
      </c>
      <c r="M45" s="84"/>
    </row>
    <row r="46" spans="1:13" ht="29.25" customHeight="1" thickBot="1">
      <c r="A46" s="331"/>
      <c r="B46" s="378"/>
      <c r="C46" s="378"/>
      <c r="D46" s="378"/>
      <c r="E46" s="129"/>
      <c r="F46" s="128"/>
      <c r="G46" s="127"/>
      <c r="H46" s="133"/>
      <c r="I46" s="133"/>
      <c r="J46" s="133"/>
      <c r="K46" s="133"/>
      <c r="L46" s="398" t="str">
        <f t="shared" si="0"/>
        <v/>
      </c>
      <c r="M46" s="84"/>
    </row>
    <row r="47" spans="1:13" ht="29.25" customHeight="1" thickBot="1">
      <c r="A47" s="331"/>
      <c r="B47" s="378"/>
      <c r="C47" s="378"/>
      <c r="D47" s="378"/>
      <c r="E47" s="129"/>
      <c r="F47" s="128"/>
      <c r="G47" s="127"/>
      <c r="H47" s="133"/>
      <c r="I47" s="133"/>
      <c r="J47" s="133"/>
      <c r="K47" s="133"/>
      <c r="L47" s="398" t="str">
        <f t="shared" si="0"/>
        <v/>
      </c>
      <c r="M47" s="84"/>
    </row>
    <row r="48" spans="1:13" ht="29.25" customHeight="1" thickBot="1">
      <c r="A48" s="331"/>
      <c r="B48" s="378"/>
      <c r="C48" s="378"/>
      <c r="D48" s="378"/>
      <c r="E48" s="129"/>
      <c r="F48" s="128"/>
      <c r="G48" s="127"/>
      <c r="H48" s="133"/>
      <c r="I48" s="133"/>
      <c r="J48" s="133"/>
      <c r="K48" s="133"/>
      <c r="L48" s="398" t="str">
        <f t="shared" si="0"/>
        <v/>
      </c>
      <c r="M48" s="84"/>
    </row>
    <row r="49" spans="1:13" ht="29.25" customHeight="1" thickBot="1">
      <c r="A49" s="331"/>
      <c r="B49" s="378"/>
      <c r="C49" s="378"/>
      <c r="D49" s="378"/>
      <c r="E49" s="129"/>
      <c r="F49" s="128"/>
      <c r="G49" s="127"/>
      <c r="H49" s="133"/>
      <c r="I49" s="133"/>
      <c r="J49" s="133"/>
      <c r="K49" s="133"/>
      <c r="L49" s="398" t="str">
        <f t="shared" si="0"/>
        <v/>
      </c>
      <c r="M49" s="84"/>
    </row>
    <row r="50" spans="1:13" ht="29.25" customHeight="1" thickBot="1">
      <c r="A50" s="331"/>
      <c r="B50" s="378"/>
      <c r="C50" s="378"/>
      <c r="D50" s="378"/>
      <c r="E50" s="129"/>
      <c r="F50" s="128"/>
      <c r="G50" s="127"/>
      <c r="H50" s="133"/>
      <c r="I50" s="133"/>
      <c r="J50" s="133"/>
      <c r="K50" s="133"/>
      <c r="L50" s="398" t="str">
        <f t="shared" si="0"/>
        <v/>
      </c>
      <c r="M50" s="84"/>
    </row>
    <row r="51" spans="1:13" ht="29.25" customHeight="1" thickBot="1">
      <c r="A51" s="331"/>
      <c r="B51" s="378"/>
      <c r="C51" s="378"/>
      <c r="D51" s="378"/>
      <c r="E51" s="129"/>
      <c r="F51" s="128"/>
      <c r="G51" s="127"/>
      <c r="H51" s="133"/>
      <c r="I51" s="133"/>
      <c r="J51" s="133"/>
      <c r="K51" s="133"/>
      <c r="L51" s="398" t="str">
        <f t="shared" si="0"/>
        <v/>
      </c>
      <c r="M51" s="84"/>
    </row>
    <row r="52" spans="1:13" ht="29.25" customHeight="1" thickBot="1">
      <c r="A52" s="331"/>
      <c r="B52" s="378"/>
      <c r="C52" s="378"/>
      <c r="D52" s="378"/>
      <c r="E52" s="129"/>
      <c r="F52" s="128"/>
      <c r="G52" s="127"/>
      <c r="H52" s="133"/>
      <c r="I52" s="133"/>
      <c r="J52" s="133"/>
      <c r="K52" s="133"/>
      <c r="L52" s="398" t="str">
        <f t="shared" si="0"/>
        <v/>
      </c>
      <c r="M52" s="84"/>
    </row>
    <row r="53" spans="1:13" ht="29.25" customHeight="1" thickBot="1">
      <c r="A53" s="331"/>
      <c r="B53" s="378"/>
      <c r="C53" s="378"/>
      <c r="D53" s="378"/>
      <c r="E53" s="129"/>
      <c r="F53" s="128"/>
      <c r="G53" s="127"/>
      <c r="H53" s="133"/>
      <c r="I53" s="133"/>
      <c r="J53" s="133"/>
      <c r="K53" s="133"/>
      <c r="L53" s="398" t="str">
        <f t="shared" si="0"/>
        <v/>
      </c>
      <c r="M53" s="84"/>
    </row>
    <row r="54" spans="1:13" ht="29.25" customHeight="1" thickBot="1">
      <c r="A54" s="331"/>
      <c r="B54" s="378"/>
      <c r="C54" s="378"/>
      <c r="D54" s="378"/>
      <c r="E54" s="129"/>
      <c r="F54" s="128"/>
      <c r="G54" s="127"/>
      <c r="H54" s="133"/>
      <c r="I54" s="133"/>
      <c r="J54" s="133"/>
      <c r="K54" s="133"/>
      <c r="L54" s="398" t="str">
        <f t="shared" si="0"/>
        <v/>
      </c>
      <c r="M54" s="84"/>
    </row>
    <row r="55" spans="1:13" ht="29.25" customHeight="1" thickBot="1">
      <c r="A55" s="331"/>
      <c r="B55" s="378"/>
      <c r="C55" s="378"/>
      <c r="D55" s="378"/>
      <c r="E55" s="129"/>
      <c r="F55" s="128"/>
      <c r="G55" s="127"/>
      <c r="H55" s="133"/>
      <c r="I55" s="133"/>
      <c r="J55" s="133"/>
      <c r="K55" s="133"/>
      <c r="L55" s="398" t="str">
        <f t="shared" si="0"/>
        <v/>
      </c>
      <c r="M55" s="84"/>
    </row>
    <row r="56" spans="1:13" ht="29.25" customHeight="1" thickBot="1">
      <c r="A56" s="331"/>
      <c r="B56" s="378"/>
      <c r="C56" s="378"/>
      <c r="D56" s="378"/>
      <c r="E56" s="129"/>
      <c r="F56" s="128"/>
      <c r="G56" s="127"/>
      <c r="H56" s="133"/>
      <c r="I56" s="133"/>
      <c r="J56" s="133"/>
      <c r="K56" s="133"/>
      <c r="L56" s="398" t="str">
        <f t="shared" si="0"/>
        <v/>
      </c>
      <c r="M56" s="84"/>
    </row>
    <row r="57" spans="1:13" ht="29.25" customHeight="1" thickBot="1">
      <c r="A57" s="331"/>
      <c r="B57" s="378"/>
      <c r="C57" s="378"/>
      <c r="D57" s="378"/>
      <c r="E57" s="129"/>
      <c r="F57" s="128"/>
      <c r="G57" s="127"/>
      <c r="H57" s="133"/>
      <c r="I57" s="133"/>
      <c r="J57" s="133"/>
      <c r="K57" s="133"/>
      <c r="L57" s="398" t="str">
        <f t="shared" si="0"/>
        <v/>
      </c>
      <c r="M57" s="84"/>
    </row>
    <row r="58" spans="1:13" ht="29.25" customHeight="1" thickBot="1">
      <c r="A58" s="331"/>
      <c r="B58" s="378"/>
      <c r="C58" s="378"/>
      <c r="D58" s="378"/>
      <c r="E58" s="129"/>
      <c r="F58" s="128"/>
      <c r="G58" s="127"/>
      <c r="H58" s="133"/>
      <c r="I58" s="133"/>
      <c r="J58" s="133"/>
      <c r="K58" s="133"/>
      <c r="L58" s="398" t="str">
        <f t="shared" si="0"/>
        <v/>
      </c>
      <c r="M58" s="84"/>
    </row>
    <row r="59" spans="1:13" ht="29.25" customHeight="1" thickBot="1">
      <c r="A59" s="331"/>
      <c r="B59" s="378"/>
      <c r="C59" s="378"/>
      <c r="D59" s="378"/>
      <c r="E59" s="129"/>
      <c r="F59" s="128"/>
      <c r="G59" s="127"/>
      <c r="H59" s="133"/>
      <c r="I59" s="133"/>
      <c r="J59" s="133"/>
      <c r="K59" s="133"/>
      <c r="L59" s="398" t="str">
        <f t="shared" si="0"/>
        <v/>
      </c>
      <c r="M59" s="84"/>
    </row>
    <row r="60" spans="1:13" ht="29.25" customHeight="1" thickBot="1">
      <c r="A60" s="331"/>
      <c r="B60" s="378"/>
      <c r="C60" s="378"/>
      <c r="D60" s="378"/>
      <c r="E60" s="129"/>
      <c r="F60" s="128"/>
      <c r="G60" s="127"/>
      <c r="H60" s="133"/>
      <c r="I60" s="133"/>
      <c r="J60" s="133"/>
      <c r="K60" s="133"/>
      <c r="L60" s="398" t="str">
        <f t="shared" si="0"/>
        <v/>
      </c>
      <c r="M60" s="84"/>
    </row>
    <row r="61" spans="1:13" ht="29.25" customHeight="1" thickBot="1">
      <c r="A61" s="331"/>
      <c r="B61" s="378"/>
      <c r="C61" s="378"/>
      <c r="D61" s="378"/>
      <c r="E61" s="129"/>
      <c r="F61" s="128"/>
      <c r="G61" s="127"/>
      <c r="H61" s="133"/>
      <c r="I61" s="133"/>
      <c r="J61" s="133"/>
      <c r="K61" s="133"/>
      <c r="L61" s="398" t="str">
        <f t="shared" si="0"/>
        <v/>
      </c>
      <c r="M61" s="84"/>
    </row>
    <row r="62" spans="1:13" ht="29.25" customHeight="1" thickBot="1">
      <c r="A62" s="331"/>
      <c r="B62" s="378"/>
      <c r="C62" s="378"/>
      <c r="D62" s="378"/>
      <c r="E62" s="129"/>
      <c r="F62" s="128"/>
      <c r="G62" s="127"/>
      <c r="H62" s="133"/>
      <c r="I62" s="133"/>
      <c r="J62" s="133"/>
      <c r="K62" s="133"/>
      <c r="L62" s="398" t="str">
        <f t="shared" si="0"/>
        <v/>
      </c>
      <c r="M62" s="84"/>
    </row>
    <row r="63" spans="1:13" ht="29.25" customHeight="1" thickBot="1">
      <c r="A63" s="331"/>
      <c r="B63" s="378"/>
      <c r="C63" s="378"/>
      <c r="D63" s="378"/>
      <c r="E63" s="129"/>
      <c r="F63" s="128"/>
      <c r="G63" s="127"/>
      <c r="H63" s="133"/>
      <c r="I63" s="133"/>
      <c r="J63" s="133"/>
      <c r="K63" s="133"/>
      <c r="L63" s="398" t="str">
        <f t="shared" si="0"/>
        <v/>
      </c>
      <c r="M63" s="84"/>
    </row>
    <row r="64" spans="1:13" ht="29.25" customHeight="1" thickBot="1">
      <c r="A64" s="331"/>
      <c r="B64" s="378"/>
      <c r="C64" s="378"/>
      <c r="D64" s="378"/>
      <c r="E64" s="129"/>
      <c r="F64" s="128"/>
      <c r="G64" s="127"/>
      <c r="H64" s="133"/>
      <c r="I64" s="133"/>
      <c r="J64" s="133"/>
      <c r="K64" s="133"/>
      <c r="L64" s="398" t="str">
        <f t="shared" si="0"/>
        <v/>
      </c>
      <c r="M64" s="84"/>
    </row>
    <row r="65" spans="1:13" ht="29.25" customHeight="1" thickBot="1">
      <c r="A65" s="331"/>
      <c r="B65" s="378"/>
      <c r="C65" s="378"/>
      <c r="D65" s="378"/>
      <c r="E65" s="129"/>
      <c r="F65" s="128"/>
      <c r="G65" s="127"/>
      <c r="H65" s="133"/>
      <c r="I65" s="133"/>
      <c r="J65" s="133"/>
      <c r="K65" s="133"/>
      <c r="L65" s="398" t="str">
        <f t="shared" si="0"/>
        <v/>
      </c>
      <c r="M65" s="84"/>
    </row>
    <row r="66" spans="1:13" ht="29.25" customHeight="1" thickBot="1">
      <c r="A66" s="331"/>
      <c r="B66" s="378"/>
      <c r="C66" s="378"/>
      <c r="D66" s="378"/>
      <c r="E66" s="129"/>
      <c r="F66" s="128"/>
      <c r="G66" s="127"/>
      <c r="H66" s="133"/>
      <c r="I66" s="133"/>
      <c r="J66" s="133"/>
      <c r="K66" s="133"/>
      <c r="L66" s="398" t="str">
        <f t="shared" si="0"/>
        <v/>
      </c>
      <c r="M66" s="84"/>
    </row>
    <row r="67" spans="1:13" ht="29.25" customHeight="1" thickBot="1">
      <c r="A67" s="331"/>
      <c r="B67" s="378"/>
      <c r="C67" s="378"/>
      <c r="D67" s="378"/>
      <c r="E67" s="129"/>
      <c r="F67" s="128"/>
      <c r="G67" s="127"/>
      <c r="H67" s="133"/>
      <c r="I67" s="133"/>
      <c r="J67" s="133"/>
      <c r="K67" s="133"/>
      <c r="L67" s="398" t="str">
        <f t="shared" si="0"/>
        <v/>
      </c>
      <c r="M67" s="84"/>
    </row>
    <row r="68" spans="1:13" ht="29.25" customHeight="1" thickBot="1">
      <c r="A68" s="331"/>
      <c r="B68" s="378"/>
      <c r="C68" s="378"/>
      <c r="D68" s="378"/>
      <c r="E68" s="129"/>
      <c r="F68" s="128"/>
      <c r="G68" s="127"/>
      <c r="H68" s="133"/>
      <c r="I68" s="133"/>
      <c r="J68" s="133"/>
      <c r="K68" s="133"/>
      <c r="L68" s="398" t="str">
        <f t="shared" si="0"/>
        <v/>
      </c>
      <c r="M68" s="84"/>
    </row>
    <row r="69" spans="1:13" ht="29.25" customHeight="1" thickBot="1">
      <c r="A69" s="331"/>
      <c r="B69" s="378"/>
      <c r="C69" s="378"/>
      <c r="D69" s="378"/>
      <c r="E69" s="129"/>
      <c r="F69" s="128"/>
      <c r="G69" s="127"/>
      <c r="H69" s="133"/>
      <c r="I69" s="133"/>
      <c r="J69" s="133"/>
      <c r="K69" s="133"/>
      <c r="L69" s="398" t="str">
        <f t="shared" si="0"/>
        <v/>
      </c>
      <c r="M69" s="84"/>
    </row>
    <row r="70" spans="1:13" ht="29.25" customHeight="1" thickBot="1">
      <c r="A70" s="331"/>
      <c r="B70" s="378"/>
      <c r="C70" s="378"/>
      <c r="D70" s="378"/>
      <c r="E70" s="129"/>
      <c r="F70" s="128"/>
      <c r="G70" s="127"/>
      <c r="H70" s="133"/>
      <c r="I70" s="133"/>
      <c r="J70" s="133"/>
      <c r="K70" s="133"/>
      <c r="L70" s="398" t="str">
        <f t="shared" si="0"/>
        <v/>
      </c>
      <c r="M70" s="84"/>
    </row>
    <row r="71" spans="1:13" ht="29.25" customHeight="1" thickBot="1">
      <c r="A71" s="331"/>
      <c r="B71" s="378"/>
      <c r="C71" s="378"/>
      <c r="D71" s="378"/>
      <c r="E71" s="129"/>
      <c r="F71" s="128"/>
      <c r="G71" s="127"/>
      <c r="H71" s="133"/>
      <c r="I71" s="133"/>
      <c r="J71" s="133"/>
      <c r="K71" s="133"/>
      <c r="L71" s="398" t="str">
        <f t="shared" si="0"/>
        <v/>
      </c>
      <c r="M71" s="84"/>
    </row>
    <row r="72" spans="1:13" ht="29.25" customHeight="1" thickBot="1">
      <c r="A72" s="331"/>
      <c r="B72" s="378"/>
      <c r="C72" s="378"/>
      <c r="D72" s="378"/>
      <c r="E72" s="129"/>
      <c r="F72" s="128"/>
      <c r="G72" s="127"/>
      <c r="H72" s="133"/>
      <c r="I72" s="133"/>
      <c r="J72" s="133"/>
      <c r="K72" s="133"/>
      <c r="L72" s="398" t="str">
        <f t="shared" si="0"/>
        <v/>
      </c>
      <c r="M72" s="84"/>
    </row>
    <row r="73" spans="1:13" ht="29.25" customHeight="1" thickBot="1">
      <c r="A73" s="331"/>
      <c r="B73" s="378"/>
      <c r="C73" s="378"/>
      <c r="D73" s="378"/>
      <c r="E73" s="129"/>
      <c r="F73" s="128"/>
      <c r="G73" s="127"/>
      <c r="H73" s="133"/>
      <c r="I73" s="133"/>
      <c r="J73" s="133"/>
      <c r="K73" s="133"/>
      <c r="L73" s="398" t="str">
        <f t="shared" si="0"/>
        <v/>
      </c>
      <c r="M73" s="84"/>
    </row>
    <row r="74" spans="1:13" ht="29.25" customHeight="1" thickBot="1">
      <c r="A74" s="331"/>
      <c r="B74" s="378"/>
      <c r="C74" s="378"/>
      <c r="D74" s="378"/>
      <c r="E74" s="129"/>
      <c r="F74" s="128"/>
      <c r="G74" s="127"/>
      <c r="H74" s="133"/>
      <c r="I74" s="133"/>
      <c r="J74" s="133"/>
      <c r="K74" s="133"/>
      <c r="L74" s="398" t="str">
        <f t="shared" ref="L74:L137" si="2">IF((I74+J74-K74)=0, "", (I74+J74-K74))</f>
        <v/>
      </c>
      <c r="M74" s="84"/>
    </row>
    <row r="75" spans="1:13" ht="29.25" customHeight="1" thickBot="1">
      <c r="A75" s="331"/>
      <c r="B75" s="378"/>
      <c r="C75" s="378"/>
      <c r="D75" s="378"/>
      <c r="E75" s="129"/>
      <c r="F75" s="128"/>
      <c r="G75" s="127"/>
      <c r="H75" s="133"/>
      <c r="I75" s="133"/>
      <c r="J75" s="133"/>
      <c r="K75" s="133"/>
      <c r="L75" s="398" t="str">
        <f t="shared" si="2"/>
        <v/>
      </c>
      <c r="M75" s="84"/>
    </row>
    <row r="76" spans="1:13" ht="29.25" customHeight="1" thickBot="1">
      <c r="A76" s="331"/>
      <c r="B76" s="378"/>
      <c r="C76" s="378"/>
      <c r="D76" s="378"/>
      <c r="E76" s="129"/>
      <c r="F76" s="128"/>
      <c r="G76" s="127"/>
      <c r="H76" s="133"/>
      <c r="I76" s="133"/>
      <c r="J76" s="133"/>
      <c r="K76" s="133"/>
      <c r="L76" s="398" t="str">
        <f t="shared" si="2"/>
        <v/>
      </c>
      <c r="M76" s="84"/>
    </row>
    <row r="77" spans="1:13" ht="29.25" customHeight="1" thickBot="1">
      <c r="A77" s="331"/>
      <c r="B77" s="378"/>
      <c r="C77" s="378"/>
      <c r="D77" s="378"/>
      <c r="E77" s="129"/>
      <c r="F77" s="128"/>
      <c r="G77" s="127"/>
      <c r="H77" s="133"/>
      <c r="I77" s="133"/>
      <c r="J77" s="133"/>
      <c r="K77" s="133"/>
      <c r="L77" s="398" t="str">
        <f t="shared" si="2"/>
        <v/>
      </c>
      <c r="M77" s="84"/>
    </row>
    <row r="78" spans="1:13" ht="29.25" customHeight="1" thickBot="1">
      <c r="A78" s="331"/>
      <c r="B78" s="378"/>
      <c r="C78" s="378"/>
      <c r="D78" s="378"/>
      <c r="E78" s="129"/>
      <c r="F78" s="128"/>
      <c r="G78" s="127"/>
      <c r="H78" s="133"/>
      <c r="I78" s="133"/>
      <c r="J78" s="133"/>
      <c r="K78" s="133"/>
      <c r="L78" s="398" t="str">
        <f t="shared" si="2"/>
        <v/>
      </c>
      <c r="M78" s="84"/>
    </row>
    <row r="79" spans="1:13" ht="29.25" customHeight="1" thickBot="1">
      <c r="A79" s="331"/>
      <c r="B79" s="378"/>
      <c r="C79" s="378"/>
      <c r="D79" s="378"/>
      <c r="E79" s="129"/>
      <c r="F79" s="128"/>
      <c r="G79" s="127"/>
      <c r="H79" s="133"/>
      <c r="I79" s="133"/>
      <c r="J79" s="133"/>
      <c r="K79" s="133"/>
      <c r="L79" s="398" t="str">
        <f t="shared" si="2"/>
        <v/>
      </c>
      <c r="M79" s="84"/>
    </row>
    <row r="80" spans="1:13" ht="29.25" customHeight="1" thickBot="1">
      <c r="A80" s="331"/>
      <c r="B80" s="378"/>
      <c r="C80" s="378"/>
      <c r="D80" s="378"/>
      <c r="E80" s="129"/>
      <c r="F80" s="128"/>
      <c r="G80" s="127"/>
      <c r="H80" s="133"/>
      <c r="I80" s="133"/>
      <c r="J80" s="133"/>
      <c r="K80" s="133"/>
      <c r="L80" s="398" t="str">
        <f t="shared" si="2"/>
        <v/>
      </c>
      <c r="M80" s="84"/>
    </row>
    <row r="81" spans="1:13" ht="29.25" customHeight="1" thickBot="1">
      <c r="A81" s="331"/>
      <c r="B81" s="378"/>
      <c r="C81" s="378"/>
      <c r="D81" s="378"/>
      <c r="E81" s="129"/>
      <c r="F81" s="128"/>
      <c r="G81" s="127"/>
      <c r="H81" s="133"/>
      <c r="I81" s="133"/>
      <c r="J81" s="133"/>
      <c r="K81" s="133"/>
      <c r="L81" s="398" t="str">
        <f t="shared" si="2"/>
        <v/>
      </c>
      <c r="M81" s="84"/>
    </row>
    <row r="82" spans="1:13" ht="29.25" customHeight="1" thickBot="1">
      <c r="A82" s="331"/>
      <c r="B82" s="378"/>
      <c r="C82" s="378"/>
      <c r="D82" s="378"/>
      <c r="E82" s="129"/>
      <c r="F82" s="128"/>
      <c r="G82" s="127"/>
      <c r="H82" s="133"/>
      <c r="I82" s="133"/>
      <c r="J82" s="133"/>
      <c r="K82" s="133"/>
      <c r="L82" s="398" t="str">
        <f t="shared" si="2"/>
        <v/>
      </c>
      <c r="M82" s="84"/>
    </row>
    <row r="83" spans="1:13" ht="29.25" customHeight="1" thickBot="1">
      <c r="A83" s="331"/>
      <c r="B83" s="378"/>
      <c r="C83" s="378"/>
      <c r="D83" s="378"/>
      <c r="E83" s="129"/>
      <c r="F83" s="128"/>
      <c r="G83" s="127"/>
      <c r="H83" s="133"/>
      <c r="I83" s="133"/>
      <c r="J83" s="133"/>
      <c r="K83" s="133"/>
      <c r="L83" s="398" t="str">
        <f t="shared" si="2"/>
        <v/>
      </c>
      <c r="M83" s="84"/>
    </row>
    <row r="84" spans="1:13" ht="29.25" customHeight="1" thickBot="1">
      <c r="A84" s="331"/>
      <c r="B84" s="378"/>
      <c r="C84" s="378"/>
      <c r="D84" s="378"/>
      <c r="E84" s="129"/>
      <c r="F84" s="128"/>
      <c r="G84" s="127"/>
      <c r="H84" s="133"/>
      <c r="I84" s="133"/>
      <c r="J84" s="133"/>
      <c r="K84" s="133"/>
      <c r="L84" s="398" t="str">
        <f t="shared" si="2"/>
        <v/>
      </c>
      <c r="M84" s="84"/>
    </row>
    <row r="85" spans="1:13" ht="29.25" customHeight="1" thickBot="1">
      <c r="A85" s="331"/>
      <c r="B85" s="378"/>
      <c r="C85" s="378"/>
      <c r="D85" s="378"/>
      <c r="E85" s="129"/>
      <c r="F85" s="128"/>
      <c r="G85" s="127"/>
      <c r="H85" s="133"/>
      <c r="I85" s="133"/>
      <c r="J85" s="133"/>
      <c r="K85" s="133"/>
      <c r="L85" s="398" t="str">
        <f t="shared" si="2"/>
        <v/>
      </c>
      <c r="M85" s="84"/>
    </row>
    <row r="86" spans="1:13" ht="29.25" customHeight="1" thickBot="1">
      <c r="A86" s="331"/>
      <c r="B86" s="378"/>
      <c r="C86" s="378"/>
      <c r="D86" s="378"/>
      <c r="E86" s="129"/>
      <c r="F86" s="128"/>
      <c r="G86" s="127"/>
      <c r="H86" s="133"/>
      <c r="I86" s="133"/>
      <c r="J86" s="133"/>
      <c r="K86" s="133"/>
      <c r="L86" s="398" t="str">
        <f t="shared" si="2"/>
        <v/>
      </c>
      <c r="M86" s="84"/>
    </row>
    <row r="87" spans="1:13" ht="29.25" customHeight="1" thickBot="1">
      <c r="A87" s="331"/>
      <c r="B87" s="378"/>
      <c r="C87" s="378"/>
      <c r="D87" s="378"/>
      <c r="E87" s="129"/>
      <c r="F87" s="128"/>
      <c r="G87" s="127"/>
      <c r="H87" s="133"/>
      <c r="I87" s="133"/>
      <c r="J87" s="133"/>
      <c r="K87" s="133"/>
      <c r="L87" s="398" t="str">
        <f t="shared" si="2"/>
        <v/>
      </c>
      <c r="M87" s="84"/>
    </row>
    <row r="88" spans="1:13" ht="29.25" customHeight="1" thickBot="1">
      <c r="A88" s="331"/>
      <c r="B88" s="378"/>
      <c r="C88" s="378"/>
      <c r="D88" s="378"/>
      <c r="E88" s="129"/>
      <c r="F88" s="128"/>
      <c r="G88" s="127"/>
      <c r="H88" s="133"/>
      <c r="I88" s="133"/>
      <c r="J88" s="133"/>
      <c r="K88" s="133"/>
      <c r="L88" s="398" t="str">
        <f t="shared" si="2"/>
        <v/>
      </c>
      <c r="M88" s="84"/>
    </row>
    <row r="89" spans="1:13" ht="29.25" customHeight="1" thickBot="1">
      <c r="A89" s="331"/>
      <c r="B89" s="378"/>
      <c r="C89" s="378"/>
      <c r="D89" s="378"/>
      <c r="E89" s="129"/>
      <c r="F89" s="128"/>
      <c r="G89" s="127"/>
      <c r="H89" s="133"/>
      <c r="I89" s="133"/>
      <c r="J89" s="133"/>
      <c r="K89" s="133"/>
      <c r="L89" s="398" t="str">
        <f t="shared" si="2"/>
        <v/>
      </c>
      <c r="M89" s="84"/>
    </row>
    <row r="90" spans="1:13" ht="29.25" customHeight="1" thickBot="1">
      <c r="A90" s="331"/>
      <c r="B90" s="378"/>
      <c r="C90" s="378"/>
      <c r="D90" s="378"/>
      <c r="E90" s="129"/>
      <c r="F90" s="128"/>
      <c r="G90" s="127"/>
      <c r="H90" s="133"/>
      <c r="I90" s="133"/>
      <c r="J90" s="133"/>
      <c r="K90" s="133"/>
      <c r="L90" s="398" t="str">
        <f t="shared" si="2"/>
        <v/>
      </c>
      <c r="M90" s="84"/>
    </row>
    <row r="91" spans="1:13" ht="29.25" customHeight="1" thickBot="1">
      <c r="A91" s="331"/>
      <c r="B91" s="378"/>
      <c r="C91" s="378"/>
      <c r="D91" s="378"/>
      <c r="E91" s="129"/>
      <c r="F91" s="128"/>
      <c r="G91" s="127"/>
      <c r="H91" s="133"/>
      <c r="I91" s="133"/>
      <c r="J91" s="133"/>
      <c r="K91" s="133"/>
      <c r="L91" s="398" t="str">
        <f t="shared" si="2"/>
        <v/>
      </c>
      <c r="M91" s="84"/>
    </row>
    <row r="92" spans="1:13" ht="29.25" customHeight="1" thickBot="1">
      <c r="A92" s="331"/>
      <c r="B92" s="378"/>
      <c r="C92" s="378"/>
      <c r="D92" s="378"/>
      <c r="E92" s="129"/>
      <c r="F92" s="128"/>
      <c r="G92" s="127"/>
      <c r="H92" s="133"/>
      <c r="I92" s="133"/>
      <c r="J92" s="133"/>
      <c r="K92" s="133"/>
      <c r="L92" s="398" t="str">
        <f t="shared" si="2"/>
        <v/>
      </c>
      <c r="M92" s="84"/>
    </row>
    <row r="93" spans="1:13" ht="29.25" customHeight="1" thickBot="1">
      <c r="A93" s="331"/>
      <c r="B93" s="378"/>
      <c r="C93" s="378"/>
      <c r="D93" s="378"/>
      <c r="E93" s="129"/>
      <c r="F93" s="128"/>
      <c r="G93" s="127"/>
      <c r="H93" s="133"/>
      <c r="I93" s="133"/>
      <c r="J93" s="133"/>
      <c r="K93" s="133"/>
      <c r="L93" s="398" t="str">
        <f t="shared" si="2"/>
        <v/>
      </c>
      <c r="M93" s="84"/>
    </row>
    <row r="94" spans="1:13" ht="29.25" customHeight="1" thickBot="1">
      <c r="A94" s="331"/>
      <c r="B94" s="378"/>
      <c r="C94" s="378"/>
      <c r="D94" s="378"/>
      <c r="E94" s="129"/>
      <c r="F94" s="128"/>
      <c r="G94" s="127"/>
      <c r="H94" s="133"/>
      <c r="I94" s="133"/>
      <c r="J94" s="133"/>
      <c r="K94" s="133"/>
      <c r="L94" s="398" t="str">
        <f t="shared" si="2"/>
        <v/>
      </c>
      <c r="M94" s="84"/>
    </row>
    <row r="95" spans="1:13" ht="29.25" customHeight="1" thickBot="1">
      <c r="A95" s="331"/>
      <c r="B95" s="378"/>
      <c r="C95" s="378"/>
      <c r="D95" s="378"/>
      <c r="E95" s="129"/>
      <c r="F95" s="128"/>
      <c r="G95" s="127"/>
      <c r="H95" s="133"/>
      <c r="I95" s="133"/>
      <c r="J95" s="133"/>
      <c r="K95" s="133"/>
      <c r="L95" s="398" t="str">
        <f t="shared" si="2"/>
        <v/>
      </c>
      <c r="M95" s="84"/>
    </row>
    <row r="96" spans="1:13" ht="29.25" customHeight="1" thickBot="1">
      <c r="A96" s="331"/>
      <c r="B96" s="378"/>
      <c r="C96" s="378"/>
      <c r="D96" s="378"/>
      <c r="E96" s="129"/>
      <c r="F96" s="128"/>
      <c r="G96" s="127"/>
      <c r="H96" s="133"/>
      <c r="I96" s="133"/>
      <c r="J96" s="133"/>
      <c r="K96" s="133"/>
      <c r="L96" s="398" t="str">
        <f t="shared" si="2"/>
        <v/>
      </c>
      <c r="M96" s="84"/>
    </row>
    <row r="97" spans="1:13" ht="29.25" customHeight="1" thickBot="1">
      <c r="A97" s="331"/>
      <c r="B97" s="378"/>
      <c r="C97" s="378"/>
      <c r="D97" s="378"/>
      <c r="E97" s="129"/>
      <c r="F97" s="128"/>
      <c r="G97" s="127"/>
      <c r="H97" s="133"/>
      <c r="I97" s="133"/>
      <c r="J97" s="133"/>
      <c r="K97" s="133"/>
      <c r="L97" s="398" t="str">
        <f t="shared" si="2"/>
        <v/>
      </c>
      <c r="M97" s="84"/>
    </row>
    <row r="98" spans="1:13" ht="29.25" customHeight="1" thickBot="1">
      <c r="A98" s="331"/>
      <c r="B98" s="378"/>
      <c r="C98" s="378"/>
      <c r="D98" s="378"/>
      <c r="E98" s="129"/>
      <c r="F98" s="128"/>
      <c r="G98" s="127"/>
      <c r="H98" s="133"/>
      <c r="I98" s="133"/>
      <c r="J98" s="133"/>
      <c r="K98" s="133"/>
      <c r="L98" s="398" t="str">
        <f t="shared" si="2"/>
        <v/>
      </c>
      <c r="M98" s="84"/>
    </row>
    <row r="99" spans="1:13" ht="29.25" customHeight="1" thickBot="1">
      <c r="A99" s="331"/>
      <c r="B99" s="378"/>
      <c r="C99" s="378"/>
      <c r="D99" s="378"/>
      <c r="E99" s="129"/>
      <c r="F99" s="128"/>
      <c r="G99" s="127"/>
      <c r="H99" s="133"/>
      <c r="I99" s="133"/>
      <c r="J99" s="133"/>
      <c r="K99" s="133"/>
      <c r="L99" s="398" t="str">
        <f t="shared" si="2"/>
        <v/>
      </c>
      <c r="M99" s="84"/>
    </row>
    <row r="100" spans="1:13" ht="29.25" customHeight="1" thickBot="1">
      <c r="A100" s="331"/>
      <c r="B100" s="378"/>
      <c r="C100" s="378"/>
      <c r="D100" s="378"/>
      <c r="E100" s="129"/>
      <c r="F100" s="128"/>
      <c r="G100" s="127"/>
      <c r="H100" s="133"/>
      <c r="I100" s="133"/>
      <c r="J100" s="133"/>
      <c r="K100" s="133"/>
      <c r="L100" s="398" t="str">
        <f t="shared" si="2"/>
        <v/>
      </c>
      <c r="M100" s="84"/>
    </row>
    <row r="101" spans="1:13" ht="29.25" customHeight="1" thickBot="1">
      <c r="A101" s="331"/>
      <c r="B101" s="378"/>
      <c r="C101" s="378"/>
      <c r="D101" s="378"/>
      <c r="E101" s="129"/>
      <c r="F101" s="128"/>
      <c r="G101" s="127"/>
      <c r="H101" s="133"/>
      <c r="I101" s="133"/>
      <c r="J101" s="133"/>
      <c r="K101" s="133"/>
      <c r="L101" s="398" t="str">
        <f t="shared" si="2"/>
        <v/>
      </c>
      <c r="M101" s="84"/>
    </row>
    <row r="102" spans="1:13" ht="29.25" customHeight="1" thickBot="1">
      <c r="A102" s="331"/>
      <c r="B102" s="378"/>
      <c r="C102" s="378"/>
      <c r="D102" s="378"/>
      <c r="E102" s="129"/>
      <c r="F102" s="128"/>
      <c r="G102" s="127"/>
      <c r="H102" s="133"/>
      <c r="I102" s="133"/>
      <c r="J102" s="133"/>
      <c r="K102" s="133"/>
      <c r="L102" s="398" t="str">
        <f t="shared" si="2"/>
        <v/>
      </c>
      <c r="M102" s="84"/>
    </row>
    <row r="103" spans="1:13" ht="29.25" customHeight="1" thickBot="1">
      <c r="A103" s="331"/>
      <c r="B103" s="378"/>
      <c r="C103" s="378"/>
      <c r="D103" s="378"/>
      <c r="E103" s="129"/>
      <c r="F103" s="128"/>
      <c r="G103" s="127"/>
      <c r="H103" s="133"/>
      <c r="I103" s="133"/>
      <c r="J103" s="133"/>
      <c r="K103" s="133"/>
      <c r="L103" s="398" t="str">
        <f t="shared" si="2"/>
        <v/>
      </c>
      <c r="M103" s="84"/>
    </row>
    <row r="104" spans="1:13" ht="29.25" customHeight="1" thickBot="1">
      <c r="A104" s="331"/>
      <c r="B104" s="378"/>
      <c r="C104" s="378"/>
      <c r="D104" s="378"/>
      <c r="E104" s="129"/>
      <c r="F104" s="128"/>
      <c r="G104" s="127"/>
      <c r="H104" s="133"/>
      <c r="I104" s="133"/>
      <c r="J104" s="133"/>
      <c r="K104" s="133"/>
      <c r="L104" s="398" t="str">
        <f t="shared" si="2"/>
        <v/>
      </c>
      <c r="M104" s="84"/>
    </row>
    <row r="105" spans="1:13" ht="29.25" customHeight="1" thickBot="1">
      <c r="A105" s="331"/>
      <c r="B105" s="378"/>
      <c r="C105" s="378"/>
      <c r="D105" s="378"/>
      <c r="E105" s="129"/>
      <c r="F105" s="128"/>
      <c r="G105" s="127"/>
      <c r="H105" s="133"/>
      <c r="I105" s="133"/>
      <c r="J105" s="133"/>
      <c r="K105" s="133"/>
      <c r="L105" s="398" t="str">
        <f t="shared" si="2"/>
        <v/>
      </c>
      <c r="M105" s="84"/>
    </row>
    <row r="106" spans="1:13" ht="29.25" customHeight="1" thickBot="1">
      <c r="A106" s="331"/>
      <c r="B106" s="378"/>
      <c r="C106" s="378"/>
      <c r="D106" s="378"/>
      <c r="E106" s="129"/>
      <c r="F106" s="128"/>
      <c r="G106" s="127"/>
      <c r="H106" s="133"/>
      <c r="I106" s="133"/>
      <c r="J106" s="133"/>
      <c r="K106" s="133"/>
      <c r="L106" s="398" t="str">
        <f t="shared" si="2"/>
        <v/>
      </c>
      <c r="M106" s="84"/>
    </row>
    <row r="107" spans="1:13" ht="29.25" customHeight="1" thickBot="1">
      <c r="A107" s="331"/>
      <c r="B107" s="378"/>
      <c r="C107" s="378"/>
      <c r="D107" s="378"/>
      <c r="E107" s="129"/>
      <c r="F107" s="128"/>
      <c r="G107" s="127"/>
      <c r="H107" s="133"/>
      <c r="I107" s="133"/>
      <c r="J107" s="133"/>
      <c r="K107" s="133"/>
      <c r="L107" s="398" t="str">
        <f t="shared" si="2"/>
        <v/>
      </c>
      <c r="M107" s="84"/>
    </row>
    <row r="108" spans="1:13" ht="29.25" customHeight="1" thickBot="1">
      <c r="A108" s="331"/>
      <c r="B108" s="378"/>
      <c r="C108" s="378"/>
      <c r="D108" s="378"/>
      <c r="E108" s="129"/>
      <c r="F108" s="128"/>
      <c r="G108" s="127"/>
      <c r="H108" s="133"/>
      <c r="I108" s="133"/>
      <c r="J108" s="133"/>
      <c r="K108" s="133"/>
      <c r="L108" s="398" t="str">
        <f t="shared" si="2"/>
        <v/>
      </c>
      <c r="M108" s="84"/>
    </row>
    <row r="109" spans="1:13" ht="29.25" customHeight="1" thickBot="1">
      <c r="A109" s="331"/>
      <c r="B109" s="378"/>
      <c r="C109" s="378"/>
      <c r="D109" s="378"/>
      <c r="E109" s="129"/>
      <c r="F109" s="128"/>
      <c r="G109" s="127"/>
      <c r="H109" s="133"/>
      <c r="I109" s="133"/>
      <c r="J109" s="133"/>
      <c r="K109" s="133"/>
      <c r="L109" s="398" t="str">
        <f t="shared" si="2"/>
        <v/>
      </c>
      <c r="M109" s="84"/>
    </row>
    <row r="110" spans="1:13" ht="29.25" customHeight="1" thickBot="1">
      <c r="A110" s="331"/>
      <c r="B110" s="378"/>
      <c r="C110" s="378"/>
      <c r="D110" s="378"/>
      <c r="E110" s="129"/>
      <c r="F110" s="128"/>
      <c r="G110" s="127"/>
      <c r="H110" s="133"/>
      <c r="I110" s="133"/>
      <c r="J110" s="133"/>
      <c r="K110" s="133"/>
      <c r="L110" s="398" t="str">
        <f t="shared" si="2"/>
        <v/>
      </c>
      <c r="M110" s="84"/>
    </row>
    <row r="111" spans="1:13" ht="29.25" customHeight="1" thickBot="1">
      <c r="A111" s="331"/>
      <c r="B111" s="378"/>
      <c r="C111" s="378"/>
      <c r="D111" s="378"/>
      <c r="E111" s="129"/>
      <c r="F111" s="128"/>
      <c r="G111" s="127"/>
      <c r="H111" s="133"/>
      <c r="I111" s="133"/>
      <c r="J111" s="133"/>
      <c r="K111" s="133"/>
      <c r="L111" s="398" t="str">
        <f t="shared" si="2"/>
        <v/>
      </c>
      <c r="M111" s="84"/>
    </row>
    <row r="112" spans="1:13" ht="29.25" customHeight="1" thickBot="1">
      <c r="A112" s="331"/>
      <c r="B112" s="378"/>
      <c r="C112" s="378"/>
      <c r="D112" s="378"/>
      <c r="E112" s="129"/>
      <c r="F112" s="128"/>
      <c r="G112" s="127"/>
      <c r="H112" s="133"/>
      <c r="I112" s="133"/>
      <c r="J112" s="133"/>
      <c r="K112" s="133"/>
      <c r="L112" s="398" t="str">
        <f t="shared" si="2"/>
        <v/>
      </c>
      <c r="M112" s="84"/>
    </row>
    <row r="113" spans="1:13" ht="29.25" customHeight="1" thickBot="1">
      <c r="A113" s="331"/>
      <c r="B113" s="378"/>
      <c r="C113" s="378"/>
      <c r="D113" s="378"/>
      <c r="E113" s="129"/>
      <c r="F113" s="128"/>
      <c r="G113" s="127"/>
      <c r="H113" s="133"/>
      <c r="I113" s="133"/>
      <c r="J113" s="133"/>
      <c r="K113" s="133"/>
      <c r="L113" s="398" t="str">
        <f t="shared" si="2"/>
        <v/>
      </c>
      <c r="M113" s="84"/>
    </row>
    <row r="114" spans="1:13" ht="29.25" customHeight="1" thickBot="1">
      <c r="A114" s="331"/>
      <c r="B114" s="378"/>
      <c r="C114" s="378"/>
      <c r="D114" s="378"/>
      <c r="E114" s="129"/>
      <c r="F114" s="128"/>
      <c r="G114" s="127"/>
      <c r="H114" s="133"/>
      <c r="I114" s="133"/>
      <c r="J114" s="133"/>
      <c r="K114" s="133"/>
      <c r="L114" s="398" t="str">
        <f t="shared" si="2"/>
        <v/>
      </c>
      <c r="M114" s="84"/>
    </row>
    <row r="115" spans="1:13" ht="29.25" customHeight="1" thickBot="1">
      <c r="A115" s="331"/>
      <c r="B115" s="378"/>
      <c r="C115" s="378"/>
      <c r="D115" s="378"/>
      <c r="E115" s="129"/>
      <c r="F115" s="128"/>
      <c r="G115" s="127"/>
      <c r="H115" s="133"/>
      <c r="I115" s="133"/>
      <c r="J115" s="133"/>
      <c r="K115" s="133"/>
      <c r="L115" s="398" t="str">
        <f t="shared" si="2"/>
        <v/>
      </c>
      <c r="M115" s="84"/>
    </row>
    <row r="116" spans="1:13" ht="29.25" customHeight="1" thickBot="1">
      <c r="A116" s="331"/>
      <c r="B116" s="378"/>
      <c r="C116" s="378"/>
      <c r="D116" s="378"/>
      <c r="E116" s="129"/>
      <c r="F116" s="128"/>
      <c r="G116" s="127"/>
      <c r="H116" s="133"/>
      <c r="I116" s="133"/>
      <c r="J116" s="133"/>
      <c r="K116" s="133"/>
      <c r="L116" s="398" t="str">
        <f t="shared" si="2"/>
        <v/>
      </c>
      <c r="M116" s="84"/>
    </row>
    <row r="117" spans="1:13" ht="29.25" customHeight="1" thickBot="1">
      <c r="A117" s="331"/>
      <c r="B117" s="378"/>
      <c r="C117" s="378"/>
      <c r="D117" s="378"/>
      <c r="E117" s="129"/>
      <c r="F117" s="128"/>
      <c r="G117" s="127"/>
      <c r="H117" s="133"/>
      <c r="I117" s="133"/>
      <c r="J117" s="133"/>
      <c r="K117" s="133"/>
      <c r="L117" s="398" t="str">
        <f t="shared" si="2"/>
        <v/>
      </c>
      <c r="M117" s="84"/>
    </row>
    <row r="118" spans="1:13" ht="29.25" customHeight="1" thickBot="1">
      <c r="A118" s="331"/>
      <c r="B118" s="378"/>
      <c r="C118" s="378"/>
      <c r="D118" s="378"/>
      <c r="E118" s="129"/>
      <c r="F118" s="128"/>
      <c r="G118" s="127"/>
      <c r="H118" s="133"/>
      <c r="I118" s="133"/>
      <c r="J118" s="133"/>
      <c r="K118" s="133"/>
      <c r="L118" s="398" t="str">
        <f t="shared" si="2"/>
        <v/>
      </c>
      <c r="M118" s="84"/>
    </row>
    <row r="119" spans="1:13" ht="29.25" customHeight="1" thickBot="1">
      <c r="A119" s="331"/>
      <c r="B119" s="378"/>
      <c r="C119" s="378"/>
      <c r="D119" s="378"/>
      <c r="E119" s="129"/>
      <c r="F119" s="128"/>
      <c r="G119" s="127"/>
      <c r="H119" s="133"/>
      <c r="I119" s="133"/>
      <c r="J119" s="133"/>
      <c r="K119" s="133"/>
      <c r="L119" s="398" t="str">
        <f t="shared" si="2"/>
        <v/>
      </c>
      <c r="M119" s="84"/>
    </row>
    <row r="120" spans="1:13" ht="29.25" customHeight="1" thickBot="1">
      <c r="A120" s="331"/>
      <c r="B120" s="378"/>
      <c r="C120" s="378"/>
      <c r="D120" s="378"/>
      <c r="E120" s="129"/>
      <c r="F120" s="128"/>
      <c r="G120" s="127"/>
      <c r="H120" s="133"/>
      <c r="I120" s="133"/>
      <c r="J120" s="133"/>
      <c r="K120" s="133"/>
      <c r="L120" s="398" t="str">
        <f t="shared" si="2"/>
        <v/>
      </c>
      <c r="M120" s="84"/>
    </row>
    <row r="121" spans="1:13" ht="29.25" customHeight="1" thickBot="1">
      <c r="A121" s="331"/>
      <c r="B121" s="378"/>
      <c r="C121" s="378"/>
      <c r="D121" s="378"/>
      <c r="E121" s="129"/>
      <c r="F121" s="128"/>
      <c r="G121" s="127"/>
      <c r="H121" s="133"/>
      <c r="I121" s="133"/>
      <c r="J121" s="133"/>
      <c r="K121" s="133"/>
      <c r="L121" s="398" t="str">
        <f t="shared" si="2"/>
        <v/>
      </c>
      <c r="M121" s="84"/>
    </row>
    <row r="122" spans="1:13" ht="29.25" customHeight="1" thickBot="1">
      <c r="A122" s="331"/>
      <c r="B122" s="378"/>
      <c r="C122" s="378"/>
      <c r="D122" s="378"/>
      <c r="E122" s="129"/>
      <c r="F122" s="128"/>
      <c r="G122" s="127"/>
      <c r="H122" s="133"/>
      <c r="I122" s="133"/>
      <c r="J122" s="133"/>
      <c r="K122" s="133"/>
      <c r="L122" s="398" t="str">
        <f t="shared" si="2"/>
        <v/>
      </c>
      <c r="M122" s="84"/>
    </row>
    <row r="123" spans="1:13" ht="29.25" customHeight="1" thickBot="1">
      <c r="A123" s="331"/>
      <c r="B123" s="378"/>
      <c r="C123" s="378"/>
      <c r="D123" s="378"/>
      <c r="E123" s="129"/>
      <c r="F123" s="128"/>
      <c r="G123" s="127"/>
      <c r="H123" s="133"/>
      <c r="I123" s="133"/>
      <c r="J123" s="133"/>
      <c r="K123" s="133"/>
      <c r="L123" s="398" t="str">
        <f t="shared" si="2"/>
        <v/>
      </c>
      <c r="M123" s="84"/>
    </row>
    <row r="124" spans="1:13" ht="29.25" customHeight="1" thickBot="1">
      <c r="A124" s="331"/>
      <c r="B124" s="378"/>
      <c r="C124" s="378"/>
      <c r="D124" s="378"/>
      <c r="E124" s="129"/>
      <c r="F124" s="128"/>
      <c r="G124" s="127"/>
      <c r="H124" s="133"/>
      <c r="I124" s="133"/>
      <c r="J124" s="133"/>
      <c r="K124" s="133"/>
      <c r="L124" s="398" t="str">
        <f t="shared" si="2"/>
        <v/>
      </c>
      <c r="M124" s="84"/>
    </row>
    <row r="125" spans="1:13" ht="29.25" customHeight="1" thickBot="1">
      <c r="A125" s="331"/>
      <c r="B125" s="378"/>
      <c r="C125" s="378"/>
      <c r="D125" s="378"/>
      <c r="E125" s="129"/>
      <c r="F125" s="128"/>
      <c r="G125" s="127"/>
      <c r="H125" s="133"/>
      <c r="I125" s="133"/>
      <c r="J125" s="133"/>
      <c r="K125" s="133"/>
      <c r="L125" s="398" t="str">
        <f t="shared" si="2"/>
        <v/>
      </c>
      <c r="M125" s="84"/>
    </row>
    <row r="126" spans="1:13" ht="29.25" customHeight="1" thickBot="1">
      <c r="A126" s="331"/>
      <c r="B126" s="378"/>
      <c r="C126" s="378"/>
      <c r="D126" s="378"/>
      <c r="E126" s="129"/>
      <c r="F126" s="128"/>
      <c r="G126" s="127"/>
      <c r="H126" s="133"/>
      <c r="I126" s="133"/>
      <c r="J126" s="133"/>
      <c r="K126" s="133"/>
      <c r="L126" s="398" t="str">
        <f t="shared" si="2"/>
        <v/>
      </c>
      <c r="M126" s="84"/>
    </row>
    <row r="127" spans="1:13" ht="29.25" customHeight="1" thickBot="1">
      <c r="A127" s="331"/>
      <c r="B127" s="378"/>
      <c r="C127" s="378"/>
      <c r="D127" s="378"/>
      <c r="E127" s="129"/>
      <c r="F127" s="128"/>
      <c r="G127" s="127"/>
      <c r="H127" s="133"/>
      <c r="I127" s="133"/>
      <c r="J127" s="133"/>
      <c r="K127" s="133"/>
      <c r="L127" s="398" t="str">
        <f t="shared" si="2"/>
        <v/>
      </c>
      <c r="M127" s="84"/>
    </row>
    <row r="128" spans="1:13" ht="29.25" customHeight="1" thickBot="1">
      <c r="A128" s="331"/>
      <c r="B128" s="378"/>
      <c r="C128" s="378"/>
      <c r="D128" s="378"/>
      <c r="E128" s="129"/>
      <c r="F128" s="128"/>
      <c r="G128" s="127"/>
      <c r="H128" s="133"/>
      <c r="I128" s="133"/>
      <c r="J128" s="133"/>
      <c r="K128" s="133"/>
      <c r="L128" s="398" t="str">
        <f t="shared" si="2"/>
        <v/>
      </c>
      <c r="M128" s="84"/>
    </row>
    <row r="129" spans="1:13" ht="29.25" customHeight="1" thickBot="1">
      <c r="A129" s="331"/>
      <c r="B129" s="378"/>
      <c r="C129" s="378"/>
      <c r="D129" s="378"/>
      <c r="E129" s="129"/>
      <c r="F129" s="128"/>
      <c r="G129" s="127"/>
      <c r="H129" s="133"/>
      <c r="I129" s="133"/>
      <c r="J129" s="133"/>
      <c r="K129" s="133"/>
      <c r="L129" s="398" t="str">
        <f t="shared" si="2"/>
        <v/>
      </c>
      <c r="M129" s="84"/>
    </row>
    <row r="130" spans="1:13" ht="29.25" customHeight="1" thickBot="1">
      <c r="A130" s="331"/>
      <c r="B130" s="378"/>
      <c r="C130" s="378"/>
      <c r="D130" s="378"/>
      <c r="E130" s="129"/>
      <c r="F130" s="128"/>
      <c r="G130" s="127"/>
      <c r="H130" s="133"/>
      <c r="I130" s="133"/>
      <c r="J130" s="133"/>
      <c r="K130" s="133"/>
      <c r="L130" s="398" t="str">
        <f t="shared" si="2"/>
        <v/>
      </c>
      <c r="M130" s="84"/>
    </row>
    <row r="131" spans="1:13" ht="29.25" customHeight="1" thickBot="1">
      <c r="A131" s="331"/>
      <c r="B131" s="378"/>
      <c r="C131" s="378"/>
      <c r="D131" s="378"/>
      <c r="E131" s="129"/>
      <c r="F131" s="128"/>
      <c r="G131" s="127"/>
      <c r="H131" s="133"/>
      <c r="I131" s="133"/>
      <c r="J131" s="133"/>
      <c r="K131" s="133"/>
      <c r="L131" s="398" t="str">
        <f t="shared" si="2"/>
        <v/>
      </c>
      <c r="M131" s="84"/>
    </row>
    <row r="132" spans="1:13" ht="29.25" customHeight="1" thickBot="1">
      <c r="A132" s="331"/>
      <c r="B132" s="378"/>
      <c r="C132" s="378"/>
      <c r="D132" s="378"/>
      <c r="E132" s="129"/>
      <c r="F132" s="128"/>
      <c r="G132" s="127"/>
      <c r="H132" s="133"/>
      <c r="I132" s="133"/>
      <c r="J132" s="133"/>
      <c r="K132" s="133"/>
      <c r="L132" s="398" t="str">
        <f t="shared" si="2"/>
        <v/>
      </c>
      <c r="M132" s="84"/>
    </row>
    <row r="133" spans="1:13" ht="29.25" customHeight="1" thickBot="1">
      <c r="A133" s="331"/>
      <c r="B133" s="378"/>
      <c r="C133" s="378"/>
      <c r="D133" s="378"/>
      <c r="E133" s="129"/>
      <c r="F133" s="128"/>
      <c r="G133" s="127"/>
      <c r="H133" s="133"/>
      <c r="I133" s="133"/>
      <c r="J133" s="133"/>
      <c r="K133" s="133"/>
      <c r="L133" s="398" t="str">
        <f t="shared" si="2"/>
        <v/>
      </c>
      <c r="M133" s="84"/>
    </row>
    <row r="134" spans="1:13" ht="29.25" customHeight="1" thickBot="1">
      <c r="A134" s="331"/>
      <c r="B134" s="378"/>
      <c r="C134" s="378"/>
      <c r="D134" s="378"/>
      <c r="E134" s="129"/>
      <c r="F134" s="128"/>
      <c r="G134" s="127"/>
      <c r="H134" s="133"/>
      <c r="I134" s="133"/>
      <c r="J134" s="133"/>
      <c r="K134" s="133"/>
      <c r="L134" s="398" t="str">
        <f t="shared" si="2"/>
        <v/>
      </c>
      <c r="M134" s="84"/>
    </row>
    <row r="135" spans="1:13" ht="29.25" customHeight="1" thickBot="1">
      <c r="A135" s="331"/>
      <c r="B135" s="378"/>
      <c r="C135" s="378"/>
      <c r="D135" s="378"/>
      <c r="E135" s="129"/>
      <c r="F135" s="128"/>
      <c r="G135" s="127"/>
      <c r="H135" s="133"/>
      <c r="I135" s="133"/>
      <c r="J135" s="133"/>
      <c r="K135" s="133"/>
      <c r="L135" s="398" t="str">
        <f t="shared" si="2"/>
        <v/>
      </c>
      <c r="M135" s="84"/>
    </row>
    <row r="136" spans="1:13" ht="29.25" customHeight="1" thickBot="1">
      <c r="A136" s="331"/>
      <c r="B136" s="378"/>
      <c r="C136" s="378"/>
      <c r="D136" s="378"/>
      <c r="E136" s="129"/>
      <c r="F136" s="128"/>
      <c r="G136" s="127"/>
      <c r="H136" s="133"/>
      <c r="I136" s="133"/>
      <c r="J136" s="133"/>
      <c r="K136" s="133"/>
      <c r="L136" s="398" t="str">
        <f t="shared" si="2"/>
        <v/>
      </c>
      <c r="M136" s="84"/>
    </row>
    <row r="137" spans="1:13" ht="29.25" customHeight="1" thickBot="1">
      <c r="A137" s="331"/>
      <c r="B137" s="378"/>
      <c r="C137" s="378"/>
      <c r="D137" s="378"/>
      <c r="E137" s="129"/>
      <c r="F137" s="128"/>
      <c r="G137" s="127"/>
      <c r="H137" s="133"/>
      <c r="I137" s="133"/>
      <c r="J137" s="133"/>
      <c r="K137" s="133"/>
      <c r="L137" s="398" t="str">
        <f t="shared" si="2"/>
        <v/>
      </c>
      <c r="M137" s="84"/>
    </row>
    <row r="138" spans="1:13" ht="29.25" customHeight="1" thickBot="1">
      <c r="A138" s="331"/>
      <c r="B138" s="378"/>
      <c r="C138" s="378"/>
      <c r="D138" s="378"/>
      <c r="E138" s="129"/>
      <c r="F138" s="128"/>
      <c r="G138" s="127"/>
      <c r="H138" s="133"/>
      <c r="I138" s="133"/>
      <c r="J138" s="133"/>
      <c r="K138" s="133"/>
      <c r="L138" s="398" t="str">
        <f t="shared" ref="L138:L201" si="3">IF((I138+J138-K138)=0, "", (I138+J138-K138))</f>
        <v/>
      </c>
      <c r="M138" s="84"/>
    </row>
    <row r="139" spans="1:13" ht="29.25" customHeight="1" thickBot="1">
      <c r="A139" s="331"/>
      <c r="B139" s="378"/>
      <c r="C139" s="378"/>
      <c r="D139" s="378"/>
      <c r="E139" s="129"/>
      <c r="F139" s="128"/>
      <c r="G139" s="127"/>
      <c r="H139" s="133"/>
      <c r="I139" s="133"/>
      <c r="J139" s="133"/>
      <c r="K139" s="133"/>
      <c r="L139" s="398" t="str">
        <f t="shared" si="3"/>
        <v/>
      </c>
      <c r="M139" s="84"/>
    </row>
    <row r="140" spans="1:13" ht="29.25" customHeight="1" thickBot="1">
      <c r="A140" s="331"/>
      <c r="B140" s="378"/>
      <c r="C140" s="378"/>
      <c r="D140" s="378"/>
      <c r="E140" s="129"/>
      <c r="F140" s="128"/>
      <c r="G140" s="127"/>
      <c r="H140" s="133"/>
      <c r="I140" s="133"/>
      <c r="J140" s="133"/>
      <c r="K140" s="133"/>
      <c r="L140" s="398" t="str">
        <f t="shared" si="3"/>
        <v/>
      </c>
      <c r="M140" s="84"/>
    </row>
    <row r="141" spans="1:13" ht="29.25" customHeight="1" thickBot="1">
      <c r="A141" s="331"/>
      <c r="B141" s="378"/>
      <c r="C141" s="378"/>
      <c r="D141" s="378"/>
      <c r="E141" s="129"/>
      <c r="F141" s="128"/>
      <c r="G141" s="127"/>
      <c r="H141" s="133"/>
      <c r="I141" s="133"/>
      <c r="J141" s="133"/>
      <c r="K141" s="133"/>
      <c r="L141" s="398" t="str">
        <f t="shared" si="3"/>
        <v/>
      </c>
      <c r="M141" s="84"/>
    </row>
    <row r="142" spans="1:13" ht="29.25" customHeight="1" thickBot="1">
      <c r="A142" s="331"/>
      <c r="B142" s="378"/>
      <c r="C142" s="378"/>
      <c r="D142" s="378"/>
      <c r="E142" s="129"/>
      <c r="F142" s="128"/>
      <c r="G142" s="127"/>
      <c r="H142" s="133"/>
      <c r="I142" s="133"/>
      <c r="J142" s="133"/>
      <c r="K142" s="133"/>
      <c r="L142" s="398" t="str">
        <f t="shared" si="3"/>
        <v/>
      </c>
      <c r="M142" s="84"/>
    </row>
    <row r="143" spans="1:13" ht="29.25" customHeight="1" thickBot="1">
      <c r="A143" s="331"/>
      <c r="B143" s="378"/>
      <c r="C143" s="378"/>
      <c r="D143" s="378"/>
      <c r="E143" s="129"/>
      <c r="F143" s="128"/>
      <c r="G143" s="127"/>
      <c r="H143" s="133"/>
      <c r="I143" s="133"/>
      <c r="J143" s="133"/>
      <c r="K143" s="133"/>
      <c r="L143" s="398" t="str">
        <f t="shared" si="3"/>
        <v/>
      </c>
      <c r="M143" s="84"/>
    </row>
    <row r="144" spans="1:13" ht="29.25" customHeight="1" thickBot="1">
      <c r="A144" s="331"/>
      <c r="B144" s="378"/>
      <c r="C144" s="378"/>
      <c r="D144" s="378"/>
      <c r="E144" s="129"/>
      <c r="F144" s="128"/>
      <c r="G144" s="127"/>
      <c r="H144" s="133"/>
      <c r="I144" s="133"/>
      <c r="J144" s="133"/>
      <c r="K144" s="133"/>
      <c r="L144" s="398" t="str">
        <f t="shared" si="3"/>
        <v/>
      </c>
      <c r="M144" s="84"/>
    </row>
    <row r="145" spans="1:13" ht="29.25" customHeight="1" thickBot="1">
      <c r="A145" s="331"/>
      <c r="B145" s="378"/>
      <c r="C145" s="378"/>
      <c r="D145" s="378"/>
      <c r="E145" s="129"/>
      <c r="F145" s="128"/>
      <c r="G145" s="127"/>
      <c r="H145" s="133"/>
      <c r="I145" s="133"/>
      <c r="J145" s="133"/>
      <c r="K145" s="133"/>
      <c r="L145" s="398" t="str">
        <f t="shared" si="3"/>
        <v/>
      </c>
      <c r="M145" s="84"/>
    </row>
    <row r="146" spans="1:13" ht="29.25" customHeight="1" thickBot="1">
      <c r="A146" s="331"/>
      <c r="B146" s="378"/>
      <c r="C146" s="378"/>
      <c r="D146" s="378"/>
      <c r="E146" s="129"/>
      <c r="F146" s="128"/>
      <c r="G146" s="127"/>
      <c r="H146" s="133"/>
      <c r="I146" s="133"/>
      <c r="J146" s="133"/>
      <c r="K146" s="133"/>
      <c r="L146" s="398" t="str">
        <f t="shared" si="3"/>
        <v/>
      </c>
      <c r="M146" s="84"/>
    </row>
    <row r="147" spans="1:13" ht="29.25" customHeight="1" thickBot="1">
      <c r="A147" s="331"/>
      <c r="B147" s="378"/>
      <c r="C147" s="378"/>
      <c r="D147" s="378"/>
      <c r="E147" s="129"/>
      <c r="F147" s="128"/>
      <c r="G147" s="127"/>
      <c r="H147" s="133"/>
      <c r="I147" s="133"/>
      <c r="J147" s="133"/>
      <c r="K147" s="133"/>
      <c r="L147" s="398" t="str">
        <f t="shared" si="3"/>
        <v/>
      </c>
      <c r="M147" s="84"/>
    </row>
    <row r="148" spans="1:13" ht="29.25" customHeight="1" thickBot="1">
      <c r="A148" s="331"/>
      <c r="B148" s="378"/>
      <c r="C148" s="378"/>
      <c r="D148" s="378"/>
      <c r="E148" s="129"/>
      <c r="F148" s="128"/>
      <c r="G148" s="127"/>
      <c r="H148" s="133"/>
      <c r="I148" s="133"/>
      <c r="J148" s="133"/>
      <c r="K148" s="133"/>
      <c r="L148" s="398" t="str">
        <f t="shared" si="3"/>
        <v/>
      </c>
      <c r="M148" s="84"/>
    </row>
    <row r="149" spans="1:13" ht="29.25" customHeight="1" thickBot="1">
      <c r="A149" s="331"/>
      <c r="B149" s="378"/>
      <c r="C149" s="378"/>
      <c r="D149" s="378"/>
      <c r="E149" s="129"/>
      <c r="F149" s="128"/>
      <c r="G149" s="127"/>
      <c r="H149" s="133"/>
      <c r="I149" s="133"/>
      <c r="J149" s="133"/>
      <c r="K149" s="133"/>
      <c r="L149" s="398" t="str">
        <f t="shared" si="3"/>
        <v/>
      </c>
      <c r="M149" s="84"/>
    </row>
    <row r="150" spans="1:13" ht="29.25" customHeight="1" thickBot="1">
      <c r="A150" s="331"/>
      <c r="B150" s="378"/>
      <c r="C150" s="378"/>
      <c r="D150" s="378"/>
      <c r="E150" s="129"/>
      <c r="F150" s="128"/>
      <c r="G150" s="127"/>
      <c r="H150" s="133"/>
      <c r="I150" s="133"/>
      <c r="J150" s="133"/>
      <c r="K150" s="133"/>
      <c r="L150" s="398" t="str">
        <f t="shared" si="3"/>
        <v/>
      </c>
      <c r="M150" s="84"/>
    </row>
    <row r="151" spans="1:13" ht="29.25" customHeight="1" thickBot="1">
      <c r="A151" s="331"/>
      <c r="B151" s="378"/>
      <c r="C151" s="378"/>
      <c r="D151" s="378"/>
      <c r="E151" s="129"/>
      <c r="F151" s="128"/>
      <c r="G151" s="127"/>
      <c r="H151" s="133"/>
      <c r="I151" s="133"/>
      <c r="J151" s="133"/>
      <c r="K151" s="133"/>
      <c r="L151" s="398" t="str">
        <f t="shared" si="3"/>
        <v/>
      </c>
      <c r="M151" s="84"/>
    </row>
    <row r="152" spans="1:13" ht="29.25" customHeight="1" thickBot="1">
      <c r="A152" s="331"/>
      <c r="B152" s="378"/>
      <c r="C152" s="378"/>
      <c r="D152" s="378"/>
      <c r="E152" s="129"/>
      <c r="F152" s="128"/>
      <c r="G152" s="127"/>
      <c r="H152" s="133"/>
      <c r="I152" s="133"/>
      <c r="J152" s="133"/>
      <c r="K152" s="133"/>
      <c r="L152" s="398" t="str">
        <f t="shared" si="3"/>
        <v/>
      </c>
      <c r="M152" s="84"/>
    </row>
    <row r="153" spans="1:13" ht="29.25" customHeight="1" thickBot="1">
      <c r="A153" s="331"/>
      <c r="B153" s="378"/>
      <c r="C153" s="378"/>
      <c r="D153" s="378"/>
      <c r="E153" s="129"/>
      <c r="F153" s="128"/>
      <c r="G153" s="127"/>
      <c r="H153" s="133"/>
      <c r="I153" s="133"/>
      <c r="J153" s="133"/>
      <c r="K153" s="133"/>
      <c r="L153" s="398" t="str">
        <f t="shared" si="3"/>
        <v/>
      </c>
      <c r="M153" s="84"/>
    </row>
    <row r="154" spans="1:13" ht="29.25" customHeight="1" thickBot="1">
      <c r="A154" s="331"/>
      <c r="B154" s="378"/>
      <c r="C154" s="378"/>
      <c r="D154" s="378"/>
      <c r="E154" s="129"/>
      <c r="F154" s="128"/>
      <c r="G154" s="127"/>
      <c r="H154" s="133"/>
      <c r="I154" s="133"/>
      <c r="J154" s="133"/>
      <c r="K154" s="133"/>
      <c r="L154" s="398" t="str">
        <f t="shared" si="3"/>
        <v/>
      </c>
      <c r="M154" s="84"/>
    </row>
    <row r="155" spans="1:13" ht="29.25" customHeight="1" thickBot="1">
      <c r="A155" s="331"/>
      <c r="B155" s="378"/>
      <c r="C155" s="378"/>
      <c r="D155" s="378"/>
      <c r="E155" s="129"/>
      <c r="F155" s="128"/>
      <c r="G155" s="127"/>
      <c r="H155" s="133"/>
      <c r="I155" s="133"/>
      <c r="J155" s="133"/>
      <c r="K155" s="133"/>
      <c r="L155" s="398" t="str">
        <f t="shared" si="3"/>
        <v/>
      </c>
      <c r="M155" s="84"/>
    </row>
    <row r="156" spans="1:13" ht="29.25" customHeight="1" thickBot="1">
      <c r="A156" s="331"/>
      <c r="B156" s="378"/>
      <c r="C156" s="378"/>
      <c r="D156" s="378"/>
      <c r="E156" s="129"/>
      <c r="F156" s="128"/>
      <c r="G156" s="127"/>
      <c r="H156" s="133"/>
      <c r="I156" s="133"/>
      <c r="J156" s="133"/>
      <c r="K156" s="133"/>
      <c r="L156" s="398" t="str">
        <f t="shared" si="3"/>
        <v/>
      </c>
      <c r="M156" s="84"/>
    </row>
    <row r="157" spans="1:13" ht="29.25" customHeight="1" thickBot="1">
      <c r="A157" s="331"/>
      <c r="B157" s="378"/>
      <c r="C157" s="378"/>
      <c r="D157" s="378"/>
      <c r="E157" s="129"/>
      <c r="F157" s="128"/>
      <c r="G157" s="127"/>
      <c r="H157" s="133"/>
      <c r="I157" s="133"/>
      <c r="J157" s="133"/>
      <c r="K157" s="133"/>
      <c r="L157" s="398" t="str">
        <f t="shared" si="3"/>
        <v/>
      </c>
      <c r="M157" s="84"/>
    </row>
    <row r="158" spans="1:13" ht="29.25" customHeight="1" thickBot="1">
      <c r="A158" s="331"/>
      <c r="B158" s="378"/>
      <c r="C158" s="378"/>
      <c r="D158" s="378"/>
      <c r="E158" s="129"/>
      <c r="F158" s="128"/>
      <c r="G158" s="127"/>
      <c r="H158" s="133"/>
      <c r="I158" s="133"/>
      <c r="J158" s="133"/>
      <c r="K158" s="133"/>
      <c r="L158" s="398" t="str">
        <f t="shared" si="3"/>
        <v/>
      </c>
      <c r="M158" s="84"/>
    </row>
    <row r="159" spans="1:13" ht="29.25" customHeight="1" thickBot="1">
      <c r="A159" s="331"/>
      <c r="B159" s="378"/>
      <c r="C159" s="378"/>
      <c r="D159" s="378"/>
      <c r="E159" s="129"/>
      <c r="F159" s="128"/>
      <c r="G159" s="127"/>
      <c r="H159" s="133"/>
      <c r="I159" s="133"/>
      <c r="J159" s="133"/>
      <c r="K159" s="133"/>
      <c r="L159" s="398" t="str">
        <f t="shared" si="3"/>
        <v/>
      </c>
      <c r="M159" s="84"/>
    </row>
    <row r="160" spans="1:13" ht="29.25" customHeight="1" thickBot="1">
      <c r="A160" s="331"/>
      <c r="B160" s="378"/>
      <c r="C160" s="378"/>
      <c r="D160" s="378"/>
      <c r="E160" s="129"/>
      <c r="F160" s="128"/>
      <c r="G160" s="127"/>
      <c r="H160" s="133"/>
      <c r="I160" s="133"/>
      <c r="J160" s="133"/>
      <c r="K160" s="133"/>
      <c r="L160" s="398" t="str">
        <f t="shared" si="3"/>
        <v/>
      </c>
      <c r="M160" s="84"/>
    </row>
    <row r="161" spans="1:13" ht="29.25" customHeight="1" thickBot="1">
      <c r="A161" s="331"/>
      <c r="B161" s="378"/>
      <c r="C161" s="378"/>
      <c r="D161" s="378"/>
      <c r="E161" s="129"/>
      <c r="F161" s="128"/>
      <c r="G161" s="127"/>
      <c r="H161" s="133"/>
      <c r="I161" s="133"/>
      <c r="J161" s="133"/>
      <c r="K161" s="133"/>
      <c r="L161" s="398" t="str">
        <f t="shared" si="3"/>
        <v/>
      </c>
      <c r="M161" s="84"/>
    </row>
    <row r="162" spans="1:13" ht="29.25" customHeight="1" thickBot="1">
      <c r="A162" s="331"/>
      <c r="B162" s="378"/>
      <c r="C162" s="378"/>
      <c r="D162" s="378"/>
      <c r="E162" s="129"/>
      <c r="F162" s="128"/>
      <c r="G162" s="127"/>
      <c r="H162" s="133"/>
      <c r="I162" s="133"/>
      <c r="J162" s="133"/>
      <c r="K162" s="133"/>
      <c r="L162" s="398" t="str">
        <f t="shared" si="3"/>
        <v/>
      </c>
      <c r="M162" s="84"/>
    </row>
    <row r="163" spans="1:13" ht="29.25" customHeight="1" thickBot="1">
      <c r="A163" s="331"/>
      <c r="B163" s="378"/>
      <c r="C163" s="378"/>
      <c r="D163" s="378"/>
      <c r="E163" s="129"/>
      <c r="F163" s="128"/>
      <c r="G163" s="127"/>
      <c r="H163" s="133"/>
      <c r="I163" s="133"/>
      <c r="J163" s="133"/>
      <c r="K163" s="133"/>
      <c r="L163" s="398" t="str">
        <f t="shared" si="3"/>
        <v/>
      </c>
      <c r="M163" s="84"/>
    </row>
    <row r="164" spans="1:13" ht="29.25" customHeight="1" thickBot="1">
      <c r="A164" s="331"/>
      <c r="B164" s="378"/>
      <c r="C164" s="378"/>
      <c r="D164" s="378"/>
      <c r="E164" s="129"/>
      <c r="F164" s="128"/>
      <c r="G164" s="127"/>
      <c r="H164" s="133"/>
      <c r="I164" s="133"/>
      <c r="J164" s="133"/>
      <c r="K164" s="133"/>
      <c r="L164" s="398" t="str">
        <f t="shared" si="3"/>
        <v/>
      </c>
      <c r="M164" s="84"/>
    </row>
    <row r="165" spans="1:13" ht="29.25" customHeight="1" thickBot="1">
      <c r="A165" s="331"/>
      <c r="B165" s="378"/>
      <c r="C165" s="378"/>
      <c r="D165" s="378"/>
      <c r="E165" s="129"/>
      <c r="F165" s="128"/>
      <c r="G165" s="127"/>
      <c r="H165" s="133"/>
      <c r="I165" s="133"/>
      <c r="J165" s="133"/>
      <c r="K165" s="133"/>
      <c r="L165" s="398" t="str">
        <f t="shared" si="3"/>
        <v/>
      </c>
      <c r="M165" s="84"/>
    </row>
    <row r="166" spans="1:13" ht="29.25" customHeight="1" thickBot="1">
      <c r="A166" s="331"/>
      <c r="B166" s="378"/>
      <c r="C166" s="378"/>
      <c r="D166" s="378"/>
      <c r="E166" s="129"/>
      <c r="F166" s="128"/>
      <c r="G166" s="127"/>
      <c r="H166" s="133"/>
      <c r="I166" s="133"/>
      <c r="J166" s="133"/>
      <c r="K166" s="133"/>
      <c r="L166" s="398" t="str">
        <f t="shared" si="3"/>
        <v/>
      </c>
      <c r="M166" s="84"/>
    </row>
    <row r="167" spans="1:13" ht="29.25" customHeight="1" thickBot="1">
      <c r="A167" s="331"/>
      <c r="B167" s="378"/>
      <c r="C167" s="378"/>
      <c r="D167" s="378"/>
      <c r="E167" s="129"/>
      <c r="F167" s="128"/>
      <c r="G167" s="127"/>
      <c r="H167" s="133"/>
      <c r="I167" s="133"/>
      <c r="J167" s="133"/>
      <c r="K167" s="133"/>
      <c r="L167" s="398" t="str">
        <f t="shared" si="3"/>
        <v/>
      </c>
      <c r="M167" s="84"/>
    </row>
    <row r="168" spans="1:13" ht="29.25" customHeight="1" thickBot="1">
      <c r="A168" s="331"/>
      <c r="B168" s="378"/>
      <c r="C168" s="378"/>
      <c r="D168" s="378"/>
      <c r="E168" s="129"/>
      <c r="F168" s="128"/>
      <c r="G168" s="127"/>
      <c r="H168" s="133"/>
      <c r="I168" s="133"/>
      <c r="J168" s="133"/>
      <c r="K168" s="133"/>
      <c r="L168" s="398" t="str">
        <f t="shared" si="3"/>
        <v/>
      </c>
      <c r="M168" s="84"/>
    </row>
    <row r="169" spans="1:13" ht="29.25" customHeight="1" thickBot="1">
      <c r="A169" s="331"/>
      <c r="B169" s="378"/>
      <c r="C169" s="378"/>
      <c r="D169" s="378"/>
      <c r="E169" s="129"/>
      <c r="F169" s="128"/>
      <c r="G169" s="127"/>
      <c r="H169" s="133"/>
      <c r="I169" s="133"/>
      <c r="J169" s="133"/>
      <c r="K169" s="133"/>
      <c r="L169" s="398" t="str">
        <f t="shared" si="3"/>
        <v/>
      </c>
      <c r="M169" s="84"/>
    </row>
    <row r="170" spans="1:13" ht="29.25" customHeight="1" thickBot="1">
      <c r="A170" s="331"/>
      <c r="B170" s="378"/>
      <c r="C170" s="378"/>
      <c r="D170" s="378"/>
      <c r="E170" s="129"/>
      <c r="F170" s="128"/>
      <c r="G170" s="127"/>
      <c r="H170" s="133"/>
      <c r="I170" s="133"/>
      <c r="J170" s="133"/>
      <c r="K170" s="133"/>
      <c r="L170" s="398" t="str">
        <f t="shared" si="3"/>
        <v/>
      </c>
      <c r="M170" s="84"/>
    </row>
    <row r="171" spans="1:13" ht="29.25" customHeight="1" thickBot="1">
      <c r="A171" s="331"/>
      <c r="B171" s="378"/>
      <c r="C171" s="378"/>
      <c r="D171" s="378"/>
      <c r="E171" s="129"/>
      <c r="F171" s="128"/>
      <c r="G171" s="127"/>
      <c r="H171" s="133"/>
      <c r="I171" s="133"/>
      <c r="J171" s="133"/>
      <c r="K171" s="133"/>
      <c r="L171" s="398" t="str">
        <f t="shared" si="3"/>
        <v/>
      </c>
      <c r="M171" s="84"/>
    </row>
    <row r="172" spans="1:13" ht="29.25" customHeight="1" thickBot="1">
      <c r="A172" s="331"/>
      <c r="B172" s="378"/>
      <c r="C172" s="378"/>
      <c r="D172" s="378"/>
      <c r="E172" s="129"/>
      <c r="F172" s="128"/>
      <c r="G172" s="127"/>
      <c r="H172" s="133"/>
      <c r="I172" s="133"/>
      <c r="J172" s="133"/>
      <c r="K172" s="133"/>
      <c r="L172" s="398" t="str">
        <f t="shared" si="3"/>
        <v/>
      </c>
      <c r="M172" s="84"/>
    </row>
    <row r="173" spans="1:13" ht="29.25" customHeight="1" thickBot="1">
      <c r="A173" s="331"/>
      <c r="B173" s="378"/>
      <c r="C173" s="378"/>
      <c r="D173" s="378"/>
      <c r="E173" s="129"/>
      <c r="F173" s="128"/>
      <c r="G173" s="127"/>
      <c r="H173" s="133"/>
      <c r="I173" s="133"/>
      <c r="J173" s="133"/>
      <c r="K173" s="133"/>
      <c r="L173" s="398" t="str">
        <f t="shared" si="3"/>
        <v/>
      </c>
      <c r="M173" s="84"/>
    </row>
    <row r="174" spans="1:13" ht="29.25" customHeight="1" thickBot="1">
      <c r="A174" s="331"/>
      <c r="B174" s="378"/>
      <c r="C174" s="378"/>
      <c r="D174" s="378"/>
      <c r="E174" s="129"/>
      <c r="F174" s="128"/>
      <c r="G174" s="127"/>
      <c r="H174" s="133"/>
      <c r="I174" s="133"/>
      <c r="J174" s="133"/>
      <c r="K174" s="133"/>
      <c r="L174" s="398" t="str">
        <f t="shared" si="3"/>
        <v/>
      </c>
      <c r="M174" s="84"/>
    </row>
    <row r="175" spans="1:13" ht="29.25" customHeight="1" thickBot="1">
      <c r="A175" s="331"/>
      <c r="B175" s="378"/>
      <c r="C175" s="378"/>
      <c r="D175" s="378"/>
      <c r="E175" s="129"/>
      <c r="F175" s="128"/>
      <c r="G175" s="127"/>
      <c r="H175" s="133"/>
      <c r="I175" s="133"/>
      <c r="J175" s="133"/>
      <c r="K175" s="133"/>
      <c r="L175" s="398" t="str">
        <f t="shared" si="3"/>
        <v/>
      </c>
      <c r="M175" s="84"/>
    </row>
    <row r="176" spans="1:13" ht="29.25" customHeight="1" thickBot="1">
      <c r="A176" s="331"/>
      <c r="B176" s="378"/>
      <c r="C176" s="378"/>
      <c r="D176" s="378"/>
      <c r="E176" s="129"/>
      <c r="F176" s="128"/>
      <c r="G176" s="127"/>
      <c r="H176" s="133"/>
      <c r="I176" s="133"/>
      <c r="J176" s="133"/>
      <c r="K176" s="133"/>
      <c r="L176" s="398" t="str">
        <f t="shared" si="3"/>
        <v/>
      </c>
      <c r="M176" s="84"/>
    </row>
    <row r="177" spans="1:13" ht="29.25" customHeight="1" thickBot="1">
      <c r="A177" s="331"/>
      <c r="B177" s="378"/>
      <c r="C177" s="378"/>
      <c r="D177" s="378"/>
      <c r="E177" s="129"/>
      <c r="F177" s="128"/>
      <c r="G177" s="127"/>
      <c r="H177" s="133"/>
      <c r="I177" s="133"/>
      <c r="J177" s="133"/>
      <c r="K177" s="133"/>
      <c r="L177" s="398" t="str">
        <f t="shared" si="3"/>
        <v/>
      </c>
      <c r="M177" s="84"/>
    </row>
    <row r="178" spans="1:13" ht="29.25" customHeight="1" thickBot="1">
      <c r="A178" s="331"/>
      <c r="B178" s="378"/>
      <c r="C178" s="378"/>
      <c r="D178" s="378"/>
      <c r="E178" s="129"/>
      <c r="F178" s="128"/>
      <c r="G178" s="127"/>
      <c r="H178" s="133"/>
      <c r="I178" s="133"/>
      <c r="J178" s="133"/>
      <c r="K178" s="133"/>
      <c r="L178" s="398" t="str">
        <f t="shared" si="3"/>
        <v/>
      </c>
      <c r="M178" s="84"/>
    </row>
    <row r="179" spans="1:13" ht="29.25" customHeight="1" thickBot="1">
      <c r="A179" s="331"/>
      <c r="B179" s="378"/>
      <c r="C179" s="378"/>
      <c r="D179" s="378"/>
      <c r="E179" s="129"/>
      <c r="F179" s="128"/>
      <c r="G179" s="127"/>
      <c r="H179" s="133"/>
      <c r="I179" s="133"/>
      <c r="J179" s="133"/>
      <c r="K179" s="133"/>
      <c r="L179" s="398" t="str">
        <f t="shared" si="3"/>
        <v/>
      </c>
      <c r="M179" s="84"/>
    </row>
    <row r="180" spans="1:13" ht="29.25" customHeight="1" thickBot="1">
      <c r="A180" s="331"/>
      <c r="B180" s="378"/>
      <c r="C180" s="378"/>
      <c r="D180" s="378"/>
      <c r="E180" s="129"/>
      <c r="F180" s="128"/>
      <c r="G180" s="127"/>
      <c r="H180" s="133"/>
      <c r="I180" s="133"/>
      <c r="J180" s="133"/>
      <c r="K180" s="133"/>
      <c r="L180" s="398" t="str">
        <f t="shared" si="3"/>
        <v/>
      </c>
      <c r="M180" s="84"/>
    </row>
    <row r="181" spans="1:13" ht="29.25" customHeight="1" thickBot="1">
      <c r="A181" s="331"/>
      <c r="B181" s="378"/>
      <c r="C181" s="378"/>
      <c r="D181" s="378"/>
      <c r="E181" s="129"/>
      <c r="F181" s="128"/>
      <c r="G181" s="127"/>
      <c r="H181" s="133"/>
      <c r="I181" s="133"/>
      <c r="J181" s="133"/>
      <c r="K181" s="133"/>
      <c r="L181" s="398" t="str">
        <f t="shared" si="3"/>
        <v/>
      </c>
      <c r="M181" s="84"/>
    </row>
    <row r="182" spans="1:13" ht="29.25" customHeight="1" thickBot="1">
      <c r="A182" s="331"/>
      <c r="B182" s="378"/>
      <c r="C182" s="378"/>
      <c r="D182" s="378"/>
      <c r="E182" s="129"/>
      <c r="F182" s="128"/>
      <c r="G182" s="127"/>
      <c r="H182" s="133"/>
      <c r="I182" s="133"/>
      <c r="J182" s="133"/>
      <c r="K182" s="133"/>
      <c r="L182" s="398" t="str">
        <f t="shared" si="3"/>
        <v/>
      </c>
      <c r="M182" s="84"/>
    </row>
    <row r="183" spans="1:13" ht="29.25" customHeight="1" thickBot="1">
      <c r="A183" s="331"/>
      <c r="B183" s="378"/>
      <c r="C183" s="378"/>
      <c r="D183" s="378"/>
      <c r="E183" s="129"/>
      <c r="F183" s="128"/>
      <c r="G183" s="127"/>
      <c r="H183" s="133"/>
      <c r="I183" s="133"/>
      <c r="J183" s="133"/>
      <c r="K183" s="133"/>
      <c r="L183" s="398" t="str">
        <f t="shared" si="3"/>
        <v/>
      </c>
      <c r="M183" s="84"/>
    </row>
    <row r="184" spans="1:13" ht="29.25" customHeight="1" thickBot="1">
      <c r="A184" s="331"/>
      <c r="B184" s="378"/>
      <c r="C184" s="378"/>
      <c r="D184" s="378"/>
      <c r="E184" s="129"/>
      <c r="F184" s="128"/>
      <c r="G184" s="127"/>
      <c r="H184" s="133"/>
      <c r="I184" s="133"/>
      <c r="J184" s="133"/>
      <c r="K184" s="133"/>
      <c r="L184" s="398" t="str">
        <f t="shared" si="3"/>
        <v/>
      </c>
      <c r="M184" s="84"/>
    </row>
    <row r="185" spans="1:13" ht="29.25" customHeight="1" thickBot="1">
      <c r="A185" s="331"/>
      <c r="B185" s="378"/>
      <c r="C185" s="378"/>
      <c r="D185" s="378"/>
      <c r="E185" s="129"/>
      <c r="F185" s="128"/>
      <c r="G185" s="127"/>
      <c r="H185" s="133"/>
      <c r="I185" s="133"/>
      <c r="J185" s="133"/>
      <c r="K185" s="133"/>
      <c r="L185" s="398" t="str">
        <f t="shared" si="3"/>
        <v/>
      </c>
      <c r="M185" s="84"/>
    </row>
    <row r="186" spans="1:13" ht="29.25" customHeight="1" thickBot="1">
      <c r="A186" s="331"/>
      <c r="B186" s="378"/>
      <c r="C186" s="378"/>
      <c r="D186" s="378"/>
      <c r="E186" s="129"/>
      <c r="F186" s="128"/>
      <c r="G186" s="127"/>
      <c r="H186" s="133"/>
      <c r="I186" s="133"/>
      <c r="J186" s="133"/>
      <c r="K186" s="133"/>
      <c r="L186" s="398" t="str">
        <f t="shared" si="3"/>
        <v/>
      </c>
      <c r="M186" s="84"/>
    </row>
    <row r="187" spans="1:13" ht="29.25" customHeight="1" thickBot="1">
      <c r="A187" s="331"/>
      <c r="B187" s="378"/>
      <c r="C187" s="378"/>
      <c r="D187" s="378"/>
      <c r="E187" s="129"/>
      <c r="F187" s="128"/>
      <c r="G187" s="127"/>
      <c r="H187" s="133"/>
      <c r="I187" s="133"/>
      <c r="J187" s="133"/>
      <c r="K187" s="133"/>
      <c r="L187" s="398" t="str">
        <f t="shared" si="3"/>
        <v/>
      </c>
      <c r="M187" s="84"/>
    </row>
    <row r="188" spans="1:13" ht="29.25" customHeight="1" thickBot="1">
      <c r="A188" s="331"/>
      <c r="B188" s="378"/>
      <c r="C188" s="378"/>
      <c r="D188" s="378"/>
      <c r="E188" s="129"/>
      <c r="F188" s="128"/>
      <c r="G188" s="127"/>
      <c r="H188" s="133"/>
      <c r="I188" s="133"/>
      <c r="J188" s="133"/>
      <c r="K188" s="133"/>
      <c r="L188" s="398" t="str">
        <f t="shared" si="3"/>
        <v/>
      </c>
      <c r="M188" s="84"/>
    </row>
    <row r="189" spans="1:13" ht="29.25" customHeight="1" thickBot="1">
      <c r="A189" s="331"/>
      <c r="B189" s="378"/>
      <c r="C189" s="378"/>
      <c r="D189" s="378"/>
      <c r="E189" s="129"/>
      <c r="F189" s="128"/>
      <c r="G189" s="127"/>
      <c r="H189" s="133"/>
      <c r="I189" s="133"/>
      <c r="J189" s="133"/>
      <c r="K189" s="133"/>
      <c r="L189" s="398" t="str">
        <f t="shared" si="3"/>
        <v/>
      </c>
      <c r="M189" s="84"/>
    </row>
    <row r="190" spans="1:13" ht="29.25" customHeight="1" thickBot="1">
      <c r="A190" s="331"/>
      <c r="B190" s="378"/>
      <c r="C190" s="378"/>
      <c r="D190" s="378"/>
      <c r="E190" s="129"/>
      <c r="F190" s="128"/>
      <c r="G190" s="127"/>
      <c r="H190" s="133"/>
      <c r="I190" s="133"/>
      <c r="J190" s="133"/>
      <c r="K190" s="133"/>
      <c r="L190" s="398" t="str">
        <f t="shared" si="3"/>
        <v/>
      </c>
      <c r="M190" s="84"/>
    </row>
    <row r="191" spans="1:13" ht="29.25" customHeight="1" thickBot="1">
      <c r="A191" s="331"/>
      <c r="B191" s="378"/>
      <c r="C191" s="378"/>
      <c r="D191" s="378"/>
      <c r="E191" s="129"/>
      <c r="F191" s="128"/>
      <c r="G191" s="127"/>
      <c r="H191" s="133"/>
      <c r="I191" s="133"/>
      <c r="J191" s="133"/>
      <c r="K191" s="133"/>
      <c r="L191" s="398" t="str">
        <f t="shared" si="3"/>
        <v/>
      </c>
      <c r="M191" s="84"/>
    </row>
    <row r="192" spans="1:13" ht="29.25" customHeight="1" thickBot="1">
      <c r="A192" s="331"/>
      <c r="B192" s="378"/>
      <c r="C192" s="378"/>
      <c r="D192" s="378"/>
      <c r="E192" s="129"/>
      <c r="F192" s="128"/>
      <c r="G192" s="127"/>
      <c r="H192" s="133"/>
      <c r="I192" s="133"/>
      <c r="J192" s="133"/>
      <c r="K192" s="133"/>
      <c r="L192" s="398" t="str">
        <f t="shared" si="3"/>
        <v/>
      </c>
      <c r="M192" s="84"/>
    </row>
    <row r="193" spans="1:13" ht="29.25" customHeight="1" thickBot="1">
      <c r="A193" s="331"/>
      <c r="B193" s="378"/>
      <c r="C193" s="378"/>
      <c r="D193" s="378"/>
      <c r="E193" s="129"/>
      <c r="F193" s="128"/>
      <c r="G193" s="127"/>
      <c r="H193" s="133"/>
      <c r="I193" s="133"/>
      <c r="J193" s="133"/>
      <c r="K193" s="133"/>
      <c r="L193" s="398" t="str">
        <f t="shared" si="3"/>
        <v/>
      </c>
      <c r="M193" s="84"/>
    </row>
    <row r="194" spans="1:13" ht="29.25" customHeight="1" thickBot="1">
      <c r="A194" s="331"/>
      <c r="B194" s="378"/>
      <c r="C194" s="378"/>
      <c r="D194" s="378"/>
      <c r="E194" s="129"/>
      <c r="F194" s="128"/>
      <c r="G194" s="127"/>
      <c r="H194" s="133"/>
      <c r="I194" s="133"/>
      <c r="J194" s="133"/>
      <c r="K194" s="133"/>
      <c r="L194" s="398" t="str">
        <f t="shared" si="3"/>
        <v/>
      </c>
      <c r="M194" s="84"/>
    </row>
    <row r="195" spans="1:13" ht="29.25" customHeight="1" thickBot="1">
      <c r="A195" s="331"/>
      <c r="B195" s="378"/>
      <c r="C195" s="378"/>
      <c r="D195" s="378"/>
      <c r="E195" s="129"/>
      <c r="F195" s="128"/>
      <c r="G195" s="127"/>
      <c r="H195" s="133"/>
      <c r="I195" s="133"/>
      <c r="J195" s="133"/>
      <c r="K195" s="133"/>
      <c r="L195" s="398" t="str">
        <f t="shared" si="3"/>
        <v/>
      </c>
      <c r="M195" s="84"/>
    </row>
    <row r="196" spans="1:13" ht="29.25" customHeight="1" thickBot="1">
      <c r="A196" s="331"/>
      <c r="B196" s="378"/>
      <c r="C196" s="378"/>
      <c r="D196" s="378"/>
      <c r="E196" s="129"/>
      <c r="F196" s="128"/>
      <c r="G196" s="127"/>
      <c r="H196" s="133"/>
      <c r="I196" s="133"/>
      <c r="J196" s="133"/>
      <c r="K196" s="133"/>
      <c r="L196" s="398" t="str">
        <f t="shared" si="3"/>
        <v/>
      </c>
      <c r="M196" s="84"/>
    </row>
    <row r="197" spans="1:13" ht="29.25" customHeight="1" thickBot="1">
      <c r="A197" s="331"/>
      <c r="B197" s="378"/>
      <c r="C197" s="378"/>
      <c r="D197" s="378"/>
      <c r="E197" s="129"/>
      <c r="F197" s="128"/>
      <c r="G197" s="127"/>
      <c r="H197" s="133"/>
      <c r="I197" s="133"/>
      <c r="J197" s="133"/>
      <c r="K197" s="133"/>
      <c r="L197" s="398" t="str">
        <f t="shared" si="3"/>
        <v/>
      </c>
      <c r="M197" s="84"/>
    </row>
    <row r="198" spans="1:13" ht="29.25" customHeight="1" thickBot="1">
      <c r="A198" s="331"/>
      <c r="B198" s="378"/>
      <c r="C198" s="378"/>
      <c r="D198" s="378"/>
      <c r="E198" s="129"/>
      <c r="F198" s="128"/>
      <c r="G198" s="127"/>
      <c r="H198" s="133"/>
      <c r="I198" s="133"/>
      <c r="J198" s="133"/>
      <c r="K198" s="133"/>
      <c r="L198" s="398" t="str">
        <f t="shared" si="3"/>
        <v/>
      </c>
      <c r="M198" s="84"/>
    </row>
    <row r="199" spans="1:13" ht="29.25" customHeight="1" thickBot="1">
      <c r="A199" s="331"/>
      <c r="B199" s="378"/>
      <c r="C199" s="378"/>
      <c r="D199" s="378"/>
      <c r="E199" s="129"/>
      <c r="F199" s="128"/>
      <c r="G199" s="127"/>
      <c r="H199" s="133"/>
      <c r="I199" s="133"/>
      <c r="J199" s="133"/>
      <c r="K199" s="133"/>
      <c r="L199" s="398" t="str">
        <f t="shared" si="3"/>
        <v/>
      </c>
      <c r="M199" s="84"/>
    </row>
    <row r="200" spans="1:13" ht="29.25" customHeight="1" thickBot="1">
      <c r="A200" s="331"/>
      <c r="B200" s="378"/>
      <c r="C200" s="378"/>
      <c r="D200" s="378"/>
      <c r="E200" s="129"/>
      <c r="F200" s="128"/>
      <c r="G200" s="127"/>
      <c r="H200" s="133"/>
      <c r="I200" s="133"/>
      <c r="J200" s="133"/>
      <c r="K200" s="133"/>
      <c r="L200" s="398" t="str">
        <f t="shared" si="3"/>
        <v/>
      </c>
      <c r="M200" s="84"/>
    </row>
    <row r="201" spans="1:13" ht="29.25" customHeight="1" thickBot="1">
      <c r="A201" s="331"/>
      <c r="B201" s="378"/>
      <c r="C201" s="378"/>
      <c r="D201" s="378"/>
      <c r="E201" s="129"/>
      <c r="F201" s="128"/>
      <c r="G201" s="127"/>
      <c r="H201" s="133"/>
      <c r="I201" s="133"/>
      <c r="J201" s="133"/>
      <c r="K201" s="133"/>
      <c r="L201" s="398" t="str">
        <f t="shared" si="3"/>
        <v/>
      </c>
      <c r="M201" s="84"/>
    </row>
    <row r="202" spans="1:13" ht="29.25" customHeight="1" thickBot="1">
      <c r="A202" s="331"/>
      <c r="B202" s="378"/>
      <c r="C202" s="378"/>
      <c r="D202" s="378"/>
      <c r="E202" s="129"/>
      <c r="F202" s="128"/>
      <c r="G202" s="127"/>
      <c r="H202" s="133"/>
      <c r="I202" s="133"/>
      <c r="J202" s="133"/>
      <c r="K202" s="133"/>
      <c r="L202" s="398" t="str">
        <f t="shared" ref="L202:L258" si="4">IF((I202+J202-K202)=0, "", (I202+J202-K202))</f>
        <v/>
      </c>
      <c r="M202" s="84"/>
    </row>
    <row r="203" spans="1:13" ht="29.25" customHeight="1" thickBot="1">
      <c r="A203" s="331"/>
      <c r="B203" s="378"/>
      <c r="C203" s="378"/>
      <c r="D203" s="378"/>
      <c r="E203" s="129"/>
      <c r="F203" s="128"/>
      <c r="G203" s="127"/>
      <c r="H203" s="133"/>
      <c r="I203" s="133"/>
      <c r="J203" s="133"/>
      <c r="K203" s="133"/>
      <c r="L203" s="398" t="str">
        <f t="shared" si="4"/>
        <v/>
      </c>
      <c r="M203" s="84"/>
    </row>
    <row r="204" spans="1:13" ht="29.25" customHeight="1" thickBot="1">
      <c r="A204" s="331"/>
      <c r="B204" s="378"/>
      <c r="C204" s="378"/>
      <c r="D204" s="378"/>
      <c r="E204" s="129"/>
      <c r="F204" s="128"/>
      <c r="G204" s="127"/>
      <c r="H204" s="133"/>
      <c r="I204" s="133"/>
      <c r="J204" s="133"/>
      <c r="K204" s="133"/>
      <c r="L204" s="398" t="str">
        <f t="shared" si="4"/>
        <v/>
      </c>
      <c r="M204" s="84"/>
    </row>
    <row r="205" spans="1:13" ht="29.25" customHeight="1" thickBot="1">
      <c r="A205" s="331"/>
      <c r="B205" s="378"/>
      <c r="C205" s="378"/>
      <c r="D205" s="378"/>
      <c r="E205" s="129"/>
      <c r="F205" s="128"/>
      <c r="G205" s="127"/>
      <c r="H205" s="133"/>
      <c r="I205" s="133"/>
      <c r="J205" s="133"/>
      <c r="K205" s="133"/>
      <c r="L205" s="398" t="str">
        <f t="shared" si="4"/>
        <v/>
      </c>
      <c r="M205" s="84"/>
    </row>
    <row r="206" spans="1:13" ht="29.25" customHeight="1" thickBot="1">
      <c r="A206" s="331"/>
      <c r="B206" s="378"/>
      <c r="C206" s="378"/>
      <c r="D206" s="378"/>
      <c r="E206" s="129"/>
      <c r="F206" s="128"/>
      <c r="G206" s="127"/>
      <c r="H206" s="133"/>
      <c r="I206" s="133"/>
      <c r="J206" s="133"/>
      <c r="K206" s="133"/>
      <c r="L206" s="398" t="str">
        <f t="shared" si="4"/>
        <v/>
      </c>
      <c r="M206" s="84"/>
    </row>
    <row r="207" spans="1:13" ht="29.25" customHeight="1" thickBot="1">
      <c r="A207" s="331"/>
      <c r="B207" s="378"/>
      <c r="C207" s="378"/>
      <c r="D207" s="378"/>
      <c r="E207" s="129"/>
      <c r="F207" s="128"/>
      <c r="G207" s="127"/>
      <c r="H207" s="133"/>
      <c r="I207" s="133"/>
      <c r="J207" s="133"/>
      <c r="K207" s="133"/>
      <c r="L207" s="398" t="str">
        <f t="shared" si="4"/>
        <v/>
      </c>
      <c r="M207" s="84"/>
    </row>
    <row r="208" spans="1:13" ht="29.25" customHeight="1" thickBot="1">
      <c r="A208" s="331"/>
      <c r="B208" s="378"/>
      <c r="C208" s="378"/>
      <c r="D208" s="378"/>
      <c r="E208" s="129"/>
      <c r="F208" s="128"/>
      <c r="G208" s="127"/>
      <c r="H208" s="133"/>
      <c r="I208" s="133"/>
      <c r="J208" s="133"/>
      <c r="K208" s="133"/>
      <c r="L208" s="398" t="str">
        <f t="shared" si="4"/>
        <v/>
      </c>
      <c r="M208" s="84"/>
    </row>
    <row r="209" spans="1:13" ht="29.25" customHeight="1" thickBot="1">
      <c r="A209" s="331"/>
      <c r="B209" s="378"/>
      <c r="C209" s="378"/>
      <c r="D209" s="378"/>
      <c r="E209" s="129"/>
      <c r="F209" s="128"/>
      <c r="G209" s="127"/>
      <c r="H209" s="133"/>
      <c r="I209" s="133"/>
      <c r="J209" s="133"/>
      <c r="K209" s="133"/>
      <c r="L209" s="398" t="str">
        <f t="shared" si="4"/>
        <v/>
      </c>
      <c r="M209" s="84"/>
    </row>
    <row r="210" spans="1:13" ht="29.25" customHeight="1" thickBot="1">
      <c r="A210" s="331"/>
      <c r="B210" s="378"/>
      <c r="C210" s="378"/>
      <c r="D210" s="378"/>
      <c r="E210" s="129"/>
      <c r="F210" s="128"/>
      <c r="G210" s="127"/>
      <c r="H210" s="133"/>
      <c r="I210" s="133"/>
      <c r="J210" s="133"/>
      <c r="K210" s="133"/>
      <c r="L210" s="398" t="str">
        <f t="shared" si="4"/>
        <v/>
      </c>
      <c r="M210" s="84"/>
    </row>
    <row r="211" spans="1:13" ht="29.25" customHeight="1" thickBot="1">
      <c r="A211" s="331"/>
      <c r="B211" s="378"/>
      <c r="C211" s="378"/>
      <c r="D211" s="378"/>
      <c r="E211" s="129"/>
      <c r="F211" s="128"/>
      <c r="G211" s="127"/>
      <c r="H211" s="133"/>
      <c r="I211" s="133"/>
      <c r="J211" s="133"/>
      <c r="K211" s="133"/>
      <c r="L211" s="398" t="str">
        <f t="shared" si="4"/>
        <v/>
      </c>
      <c r="M211" s="84"/>
    </row>
    <row r="212" spans="1:13" ht="29.25" customHeight="1" thickBot="1">
      <c r="A212" s="331"/>
      <c r="B212" s="378"/>
      <c r="C212" s="378"/>
      <c r="D212" s="378"/>
      <c r="E212" s="129"/>
      <c r="F212" s="128"/>
      <c r="G212" s="127"/>
      <c r="H212" s="133"/>
      <c r="I212" s="133"/>
      <c r="J212" s="133"/>
      <c r="K212" s="133"/>
      <c r="L212" s="398" t="str">
        <f t="shared" si="4"/>
        <v/>
      </c>
      <c r="M212" s="84"/>
    </row>
    <row r="213" spans="1:13" ht="29.25" customHeight="1" thickBot="1">
      <c r="A213" s="331"/>
      <c r="B213" s="378"/>
      <c r="C213" s="378"/>
      <c r="D213" s="378"/>
      <c r="E213" s="129"/>
      <c r="F213" s="128"/>
      <c r="G213" s="127"/>
      <c r="H213" s="133"/>
      <c r="I213" s="133"/>
      <c r="J213" s="133"/>
      <c r="K213" s="133"/>
      <c r="L213" s="398" t="str">
        <f t="shared" si="4"/>
        <v/>
      </c>
      <c r="M213" s="84"/>
    </row>
    <row r="214" spans="1:13" ht="29.25" customHeight="1" thickBot="1">
      <c r="A214" s="331"/>
      <c r="B214" s="378"/>
      <c r="C214" s="378"/>
      <c r="D214" s="378"/>
      <c r="E214" s="129"/>
      <c r="F214" s="128"/>
      <c r="G214" s="127"/>
      <c r="H214" s="133"/>
      <c r="I214" s="133"/>
      <c r="J214" s="133"/>
      <c r="K214" s="133"/>
      <c r="L214" s="398" t="str">
        <f t="shared" si="4"/>
        <v/>
      </c>
      <c r="M214" s="84"/>
    </row>
    <row r="215" spans="1:13" ht="29.25" customHeight="1" thickBot="1">
      <c r="A215" s="331"/>
      <c r="B215" s="378"/>
      <c r="C215" s="378"/>
      <c r="D215" s="378"/>
      <c r="E215" s="129"/>
      <c r="F215" s="128"/>
      <c r="G215" s="127"/>
      <c r="H215" s="133"/>
      <c r="I215" s="133"/>
      <c r="J215" s="133"/>
      <c r="K215" s="133"/>
      <c r="L215" s="398" t="str">
        <f t="shared" si="4"/>
        <v/>
      </c>
      <c r="M215" s="84"/>
    </row>
    <row r="216" spans="1:13" ht="29.25" customHeight="1" thickBot="1">
      <c r="A216" s="331"/>
      <c r="B216" s="378"/>
      <c r="C216" s="378"/>
      <c r="D216" s="378"/>
      <c r="E216" s="129"/>
      <c r="F216" s="128"/>
      <c r="G216" s="127"/>
      <c r="H216" s="133"/>
      <c r="I216" s="133"/>
      <c r="J216" s="133"/>
      <c r="K216" s="133"/>
      <c r="L216" s="398" t="str">
        <f t="shared" si="4"/>
        <v/>
      </c>
      <c r="M216" s="84"/>
    </row>
    <row r="217" spans="1:13" ht="29.25" customHeight="1" thickBot="1">
      <c r="A217" s="331"/>
      <c r="B217" s="378"/>
      <c r="C217" s="378"/>
      <c r="D217" s="378"/>
      <c r="E217" s="129"/>
      <c r="F217" s="128"/>
      <c r="G217" s="127"/>
      <c r="H217" s="133"/>
      <c r="I217" s="133"/>
      <c r="J217" s="133"/>
      <c r="K217" s="133"/>
      <c r="L217" s="398" t="str">
        <f t="shared" si="4"/>
        <v/>
      </c>
      <c r="M217" s="84"/>
    </row>
    <row r="218" spans="1:13" ht="29.25" customHeight="1" thickBot="1">
      <c r="A218" s="331"/>
      <c r="B218" s="378"/>
      <c r="C218" s="378"/>
      <c r="D218" s="378"/>
      <c r="E218" s="129"/>
      <c r="F218" s="128"/>
      <c r="G218" s="127"/>
      <c r="H218" s="133"/>
      <c r="I218" s="133"/>
      <c r="J218" s="133"/>
      <c r="K218" s="133"/>
      <c r="L218" s="398" t="str">
        <f t="shared" si="4"/>
        <v/>
      </c>
      <c r="M218" s="84"/>
    </row>
    <row r="219" spans="1:13" ht="29.25" customHeight="1" thickBot="1">
      <c r="A219" s="331"/>
      <c r="B219" s="378"/>
      <c r="C219" s="378"/>
      <c r="D219" s="378"/>
      <c r="E219" s="129"/>
      <c r="F219" s="128"/>
      <c r="G219" s="127"/>
      <c r="H219" s="133"/>
      <c r="I219" s="133"/>
      <c r="J219" s="133"/>
      <c r="K219" s="133"/>
      <c r="L219" s="398" t="str">
        <f t="shared" si="4"/>
        <v/>
      </c>
      <c r="M219" s="84"/>
    </row>
    <row r="220" spans="1:13" ht="29.25" customHeight="1" thickBot="1">
      <c r="A220" s="331"/>
      <c r="B220" s="378"/>
      <c r="C220" s="378"/>
      <c r="D220" s="378"/>
      <c r="E220" s="129"/>
      <c r="F220" s="128"/>
      <c r="G220" s="127"/>
      <c r="H220" s="133"/>
      <c r="I220" s="133"/>
      <c r="J220" s="133"/>
      <c r="K220" s="133"/>
      <c r="L220" s="398" t="str">
        <f t="shared" si="4"/>
        <v/>
      </c>
      <c r="M220" s="84"/>
    </row>
    <row r="221" spans="1:13" ht="29.25" customHeight="1" thickBot="1">
      <c r="A221" s="331"/>
      <c r="B221" s="378"/>
      <c r="C221" s="378"/>
      <c r="D221" s="378"/>
      <c r="E221" s="129"/>
      <c r="F221" s="128"/>
      <c r="G221" s="127"/>
      <c r="H221" s="133"/>
      <c r="I221" s="133"/>
      <c r="J221" s="133"/>
      <c r="K221" s="133"/>
      <c r="L221" s="398" t="str">
        <f t="shared" si="4"/>
        <v/>
      </c>
      <c r="M221" s="84"/>
    </row>
    <row r="222" spans="1:13" ht="29.25" customHeight="1" thickBot="1">
      <c r="A222" s="331"/>
      <c r="B222" s="378"/>
      <c r="C222" s="378"/>
      <c r="D222" s="378"/>
      <c r="E222" s="129"/>
      <c r="F222" s="128"/>
      <c r="G222" s="127"/>
      <c r="H222" s="133"/>
      <c r="I222" s="133"/>
      <c r="J222" s="133"/>
      <c r="K222" s="133"/>
      <c r="L222" s="398" t="str">
        <f t="shared" si="4"/>
        <v/>
      </c>
      <c r="M222" s="84"/>
    </row>
    <row r="223" spans="1:13" ht="29.25" customHeight="1" thickBot="1">
      <c r="A223" s="331"/>
      <c r="B223" s="378"/>
      <c r="C223" s="378"/>
      <c r="D223" s="378"/>
      <c r="E223" s="129"/>
      <c r="F223" s="128"/>
      <c r="G223" s="127"/>
      <c r="H223" s="133"/>
      <c r="I223" s="133"/>
      <c r="J223" s="133"/>
      <c r="K223" s="133"/>
      <c r="L223" s="398" t="str">
        <f t="shared" si="4"/>
        <v/>
      </c>
      <c r="M223" s="84"/>
    </row>
    <row r="224" spans="1:13" ht="29.25" customHeight="1" thickBot="1">
      <c r="A224" s="331"/>
      <c r="B224" s="378"/>
      <c r="C224" s="378"/>
      <c r="D224" s="378"/>
      <c r="E224" s="129"/>
      <c r="F224" s="128"/>
      <c r="G224" s="127"/>
      <c r="H224" s="133"/>
      <c r="I224" s="133"/>
      <c r="J224" s="133"/>
      <c r="K224" s="133"/>
      <c r="L224" s="398" t="str">
        <f t="shared" si="4"/>
        <v/>
      </c>
      <c r="M224" s="84"/>
    </row>
    <row r="225" spans="1:13" ht="29.25" customHeight="1" thickBot="1">
      <c r="A225" s="331"/>
      <c r="B225" s="378"/>
      <c r="C225" s="378"/>
      <c r="D225" s="378"/>
      <c r="E225" s="129"/>
      <c r="F225" s="128"/>
      <c r="G225" s="127"/>
      <c r="H225" s="133"/>
      <c r="I225" s="133"/>
      <c r="J225" s="133"/>
      <c r="K225" s="133"/>
      <c r="L225" s="398" t="str">
        <f t="shared" si="4"/>
        <v/>
      </c>
      <c r="M225" s="84"/>
    </row>
    <row r="226" spans="1:13" ht="29.25" customHeight="1" thickBot="1">
      <c r="A226" s="331"/>
      <c r="B226" s="378"/>
      <c r="C226" s="378"/>
      <c r="D226" s="378"/>
      <c r="E226" s="129"/>
      <c r="F226" s="128"/>
      <c r="G226" s="127"/>
      <c r="H226" s="133"/>
      <c r="I226" s="133"/>
      <c r="J226" s="133"/>
      <c r="K226" s="133"/>
      <c r="L226" s="398" t="str">
        <f t="shared" si="4"/>
        <v/>
      </c>
      <c r="M226" s="84"/>
    </row>
    <row r="227" spans="1:13" ht="29.25" customHeight="1" thickBot="1">
      <c r="A227" s="331"/>
      <c r="B227" s="378"/>
      <c r="C227" s="378"/>
      <c r="D227" s="378"/>
      <c r="E227" s="129"/>
      <c r="F227" s="128"/>
      <c r="G227" s="127"/>
      <c r="H227" s="133"/>
      <c r="I227" s="133"/>
      <c r="J227" s="133"/>
      <c r="K227" s="133"/>
      <c r="L227" s="398" t="str">
        <f t="shared" si="4"/>
        <v/>
      </c>
      <c r="M227" s="84"/>
    </row>
    <row r="228" spans="1:13" ht="29.25" customHeight="1" thickBot="1">
      <c r="A228" s="331"/>
      <c r="B228" s="378"/>
      <c r="C228" s="378"/>
      <c r="D228" s="378"/>
      <c r="E228" s="129"/>
      <c r="F228" s="128"/>
      <c r="G228" s="127"/>
      <c r="H228" s="133"/>
      <c r="I228" s="133"/>
      <c r="J228" s="133"/>
      <c r="K228" s="133"/>
      <c r="L228" s="398" t="str">
        <f t="shared" si="4"/>
        <v/>
      </c>
      <c r="M228" s="84"/>
    </row>
    <row r="229" spans="1:13" ht="29.25" customHeight="1" thickBot="1">
      <c r="A229" s="331"/>
      <c r="B229" s="378"/>
      <c r="C229" s="378"/>
      <c r="D229" s="378"/>
      <c r="E229" s="129"/>
      <c r="F229" s="128"/>
      <c r="G229" s="127"/>
      <c r="H229" s="133"/>
      <c r="I229" s="133"/>
      <c r="J229" s="133"/>
      <c r="K229" s="133"/>
      <c r="L229" s="398" t="str">
        <f t="shared" si="4"/>
        <v/>
      </c>
      <c r="M229" s="84"/>
    </row>
    <row r="230" spans="1:13" ht="29.25" customHeight="1" thickBot="1">
      <c r="A230" s="331"/>
      <c r="B230" s="378"/>
      <c r="C230" s="378"/>
      <c r="D230" s="378"/>
      <c r="E230" s="129"/>
      <c r="F230" s="128"/>
      <c r="G230" s="127"/>
      <c r="H230" s="133"/>
      <c r="I230" s="133"/>
      <c r="J230" s="133"/>
      <c r="K230" s="133"/>
      <c r="L230" s="398" t="str">
        <f t="shared" si="4"/>
        <v/>
      </c>
      <c r="M230" s="84"/>
    </row>
    <row r="231" spans="1:13" ht="29.25" customHeight="1" thickBot="1">
      <c r="A231" s="331"/>
      <c r="B231" s="378"/>
      <c r="C231" s="378"/>
      <c r="D231" s="378"/>
      <c r="E231" s="129"/>
      <c r="F231" s="128"/>
      <c r="G231" s="127"/>
      <c r="H231" s="133"/>
      <c r="I231" s="133"/>
      <c r="J231" s="133"/>
      <c r="K231" s="133"/>
      <c r="L231" s="398" t="str">
        <f t="shared" si="4"/>
        <v/>
      </c>
      <c r="M231" s="84"/>
    </row>
    <row r="232" spans="1:13" ht="29.25" customHeight="1" thickBot="1">
      <c r="A232" s="331"/>
      <c r="B232" s="378"/>
      <c r="C232" s="378"/>
      <c r="D232" s="378"/>
      <c r="E232" s="129"/>
      <c r="F232" s="128"/>
      <c r="G232" s="127"/>
      <c r="H232" s="133"/>
      <c r="I232" s="133"/>
      <c r="J232" s="133"/>
      <c r="K232" s="133"/>
      <c r="L232" s="398" t="str">
        <f t="shared" si="4"/>
        <v/>
      </c>
      <c r="M232" s="84"/>
    </row>
    <row r="233" spans="1:13" ht="29.25" customHeight="1" thickBot="1">
      <c r="A233" s="331"/>
      <c r="B233" s="378"/>
      <c r="C233" s="378"/>
      <c r="D233" s="378"/>
      <c r="E233" s="129"/>
      <c r="F233" s="128"/>
      <c r="G233" s="127"/>
      <c r="H233" s="133"/>
      <c r="I233" s="133"/>
      <c r="J233" s="133"/>
      <c r="K233" s="133"/>
      <c r="L233" s="398" t="str">
        <f t="shared" si="4"/>
        <v/>
      </c>
      <c r="M233" s="84"/>
    </row>
    <row r="234" spans="1:13" ht="29.25" customHeight="1" thickBot="1">
      <c r="A234" s="331"/>
      <c r="B234" s="378"/>
      <c r="C234" s="378"/>
      <c r="D234" s="378"/>
      <c r="E234" s="129"/>
      <c r="F234" s="128"/>
      <c r="G234" s="127"/>
      <c r="H234" s="133"/>
      <c r="I234" s="133"/>
      <c r="J234" s="133"/>
      <c r="K234" s="133"/>
      <c r="L234" s="398" t="str">
        <f t="shared" si="4"/>
        <v/>
      </c>
      <c r="M234" s="84"/>
    </row>
    <row r="235" spans="1:13" ht="29.25" customHeight="1" thickBot="1">
      <c r="A235" s="331"/>
      <c r="B235" s="378"/>
      <c r="C235" s="378"/>
      <c r="D235" s="378"/>
      <c r="E235" s="129"/>
      <c r="F235" s="128"/>
      <c r="G235" s="127"/>
      <c r="H235" s="133"/>
      <c r="I235" s="133"/>
      <c r="J235" s="133"/>
      <c r="K235" s="133"/>
      <c r="L235" s="398" t="str">
        <f t="shared" si="4"/>
        <v/>
      </c>
      <c r="M235" s="84"/>
    </row>
    <row r="236" spans="1:13" ht="29.25" customHeight="1" thickBot="1">
      <c r="A236" s="331"/>
      <c r="B236" s="378"/>
      <c r="C236" s="378"/>
      <c r="D236" s="378"/>
      <c r="E236" s="129"/>
      <c r="F236" s="128"/>
      <c r="G236" s="127"/>
      <c r="H236" s="133"/>
      <c r="I236" s="133"/>
      <c r="J236" s="133"/>
      <c r="K236" s="133"/>
      <c r="L236" s="398" t="str">
        <f t="shared" si="4"/>
        <v/>
      </c>
      <c r="M236" s="84"/>
    </row>
    <row r="237" spans="1:13" ht="29.25" customHeight="1" thickBot="1">
      <c r="A237" s="331"/>
      <c r="B237" s="378"/>
      <c r="C237" s="378"/>
      <c r="D237" s="378"/>
      <c r="E237" s="129"/>
      <c r="F237" s="128"/>
      <c r="G237" s="127"/>
      <c r="H237" s="133"/>
      <c r="I237" s="133"/>
      <c r="J237" s="133"/>
      <c r="K237" s="133"/>
      <c r="L237" s="398" t="str">
        <f t="shared" si="4"/>
        <v/>
      </c>
      <c r="M237" s="84"/>
    </row>
    <row r="238" spans="1:13" ht="29.25" customHeight="1" thickBot="1">
      <c r="A238" s="331"/>
      <c r="B238" s="378"/>
      <c r="C238" s="378"/>
      <c r="D238" s="378"/>
      <c r="E238" s="129"/>
      <c r="F238" s="128"/>
      <c r="G238" s="127"/>
      <c r="H238" s="133"/>
      <c r="I238" s="133"/>
      <c r="J238" s="133"/>
      <c r="K238" s="133"/>
      <c r="L238" s="398" t="str">
        <f t="shared" si="4"/>
        <v/>
      </c>
      <c r="M238" s="84"/>
    </row>
    <row r="239" spans="1:13" ht="29.25" customHeight="1" thickBot="1">
      <c r="A239" s="331"/>
      <c r="B239" s="378"/>
      <c r="C239" s="378"/>
      <c r="D239" s="378"/>
      <c r="E239" s="129"/>
      <c r="F239" s="128"/>
      <c r="G239" s="127"/>
      <c r="H239" s="133"/>
      <c r="I239" s="133"/>
      <c r="J239" s="133"/>
      <c r="K239" s="133"/>
      <c r="L239" s="398" t="str">
        <f t="shared" si="4"/>
        <v/>
      </c>
      <c r="M239" s="84"/>
    </row>
    <row r="240" spans="1:13" ht="29.25" customHeight="1" thickBot="1">
      <c r="A240" s="331"/>
      <c r="B240" s="378"/>
      <c r="C240" s="378"/>
      <c r="D240" s="378"/>
      <c r="E240" s="129"/>
      <c r="F240" s="128"/>
      <c r="G240" s="127"/>
      <c r="H240" s="133"/>
      <c r="I240" s="133"/>
      <c r="J240" s="133"/>
      <c r="K240" s="133"/>
      <c r="L240" s="398" t="str">
        <f t="shared" si="4"/>
        <v/>
      </c>
      <c r="M240" s="84"/>
    </row>
    <row r="241" spans="1:13" ht="29.25" customHeight="1" thickBot="1">
      <c r="A241" s="331"/>
      <c r="B241" s="378"/>
      <c r="C241" s="378"/>
      <c r="D241" s="378"/>
      <c r="E241" s="129"/>
      <c r="F241" s="128"/>
      <c r="G241" s="127"/>
      <c r="H241" s="133"/>
      <c r="I241" s="133"/>
      <c r="J241" s="133"/>
      <c r="K241" s="133"/>
      <c r="L241" s="398" t="str">
        <f t="shared" si="4"/>
        <v/>
      </c>
      <c r="M241" s="84"/>
    </row>
    <row r="242" spans="1:13" ht="29.25" customHeight="1" thickBot="1">
      <c r="A242" s="331"/>
      <c r="B242" s="378"/>
      <c r="C242" s="378"/>
      <c r="D242" s="378"/>
      <c r="E242" s="129"/>
      <c r="F242" s="128"/>
      <c r="G242" s="127"/>
      <c r="H242" s="133"/>
      <c r="I242" s="133"/>
      <c r="J242" s="133"/>
      <c r="K242" s="133"/>
      <c r="L242" s="398" t="str">
        <f t="shared" si="4"/>
        <v/>
      </c>
      <c r="M242" s="84"/>
    </row>
    <row r="243" spans="1:13" ht="29.25" customHeight="1" thickBot="1">
      <c r="A243" s="331"/>
      <c r="B243" s="378"/>
      <c r="C243" s="378"/>
      <c r="D243" s="378"/>
      <c r="E243" s="129"/>
      <c r="F243" s="128"/>
      <c r="G243" s="127"/>
      <c r="H243" s="133"/>
      <c r="I243" s="133"/>
      <c r="J243" s="133"/>
      <c r="K243" s="133"/>
      <c r="L243" s="398" t="str">
        <f t="shared" si="4"/>
        <v/>
      </c>
      <c r="M243" s="84"/>
    </row>
    <row r="244" spans="1:13" ht="29.25" customHeight="1" thickBot="1">
      <c r="A244" s="331"/>
      <c r="B244" s="378"/>
      <c r="C244" s="378"/>
      <c r="D244" s="378"/>
      <c r="E244" s="129"/>
      <c r="F244" s="128"/>
      <c r="G244" s="127"/>
      <c r="H244" s="133"/>
      <c r="I244" s="133"/>
      <c r="J244" s="133"/>
      <c r="K244" s="133"/>
      <c r="L244" s="398" t="str">
        <f t="shared" si="4"/>
        <v/>
      </c>
      <c r="M244" s="84"/>
    </row>
    <row r="245" spans="1:13" ht="29.25" customHeight="1" thickBot="1">
      <c r="A245" s="331"/>
      <c r="B245" s="378"/>
      <c r="C245" s="378"/>
      <c r="D245" s="378"/>
      <c r="E245" s="129"/>
      <c r="F245" s="128"/>
      <c r="G245" s="127"/>
      <c r="H245" s="133"/>
      <c r="I245" s="133"/>
      <c r="J245" s="133"/>
      <c r="K245" s="133"/>
      <c r="L245" s="398" t="str">
        <f t="shared" si="4"/>
        <v/>
      </c>
      <c r="M245" s="84"/>
    </row>
    <row r="246" spans="1:13" ht="29.25" customHeight="1" thickBot="1">
      <c r="A246" s="331"/>
      <c r="B246" s="378"/>
      <c r="C246" s="378"/>
      <c r="D246" s="378"/>
      <c r="E246" s="129"/>
      <c r="F246" s="128"/>
      <c r="G246" s="127"/>
      <c r="H246" s="133"/>
      <c r="I246" s="133"/>
      <c r="J246" s="133"/>
      <c r="K246" s="133"/>
      <c r="L246" s="398" t="str">
        <f t="shared" si="4"/>
        <v/>
      </c>
      <c r="M246" s="84"/>
    </row>
    <row r="247" spans="1:13" ht="29.25" customHeight="1" thickBot="1">
      <c r="A247" s="331"/>
      <c r="B247" s="378"/>
      <c r="C247" s="378"/>
      <c r="D247" s="378"/>
      <c r="E247" s="129"/>
      <c r="F247" s="128"/>
      <c r="G247" s="127"/>
      <c r="H247" s="133"/>
      <c r="I247" s="133"/>
      <c r="J247" s="133"/>
      <c r="K247" s="133"/>
      <c r="L247" s="398" t="str">
        <f t="shared" si="4"/>
        <v/>
      </c>
      <c r="M247" s="84"/>
    </row>
    <row r="248" spans="1:13" ht="29.25" customHeight="1" thickBot="1">
      <c r="A248" s="331"/>
      <c r="B248" s="378"/>
      <c r="C248" s="378"/>
      <c r="D248" s="378"/>
      <c r="E248" s="129"/>
      <c r="F248" s="128"/>
      <c r="G248" s="127"/>
      <c r="H248" s="133"/>
      <c r="I248" s="133"/>
      <c r="J248" s="133"/>
      <c r="K248" s="133"/>
      <c r="L248" s="398" t="str">
        <f t="shared" si="4"/>
        <v/>
      </c>
      <c r="M248" s="84"/>
    </row>
    <row r="249" spans="1:13" ht="29.25" customHeight="1" thickBot="1">
      <c r="A249" s="331"/>
      <c r="B249" s="378"/>
      <c r="C249" s="378"/>
      <c r="D249" s="378"/>
      <c r="E249" s="129"/>
      <c r="F249" s="128"/>
      <c r="G249" s="127"/>
      <c r="H249" s="133"/>
      <c r="I249" s="133"/>
      <c r="J249" s="133"/>
      <c r="K249" s="133"/>
      <c r="L249" s="398" t="str">
        <f t="shared" si="4"/>
        <v/>
      </c>
      <c r="M249" s="84"/>
    </row>
    <row r="250" spans="1:13" ht="29.25" customHeight="1" thickBot="1">
      <c r="A250" s="331"/>
      <c r="B250" s="378"/>
      <c r="C250" s="378"/>
      <c r="D250" s="378"/>
      <c r="E250" s="129"/>
      <c r="F250" s="128"/>
      <c r="G250" s="127"/>
      <c r="H250" s="133"/>
      <c r="I250" s="133"/>
      <c r="J250" s="133"/>
      <c r="K250" s="133"/>
      <c r="L250" s="398" t="str">
        <f t="shared" si="4"/>
        <v/>
      </c>
      <c r="M250" s="84"/>
    </row>
    <row r="251" spans="1:13" ht="29.25" customHeight="1" thickBot="1">
      <c r="A251" s="331"/>
      <c r="B251" s="378"/>
      <c r="C251" s="378"/>
      <c r="D251" s="378"/>
      <c r="E251" s="129"/>
      <c r="F251" s="128"/>
      <c r="G251" s="127"/>
      <c r="H251" s="133"/>
      <c r="I251" s="133"/>
      <c r="J251" s="133"/>
      <c r="K251" s="133"/>
      <c r="L251" s="398" t="str">
        <f t="shared" si="4"/>
        <v/>
      </c>
      <c r="M251" s="84"/>
    </row>
    <row r="252" spans="1:13" ht="29.25" customHeight="1" thickBot="1">
      <c r="A252" s="331"/>
      <c r="B252" s="378"/>
      <c r="C252" s="378"/>
      <c r="D252" s="378"/>
      <c r="E252" s="129"/>
      <c r="F252" s="128"/>
      <c r="G252" s="127"/>
      <c r="H252" s="133"/>
      <c r="I252" s="133"/>
      <c r="J252" s="133"/>
      <c r="K252" s="133"/>
      <c r="L252" s="398" t="str">
        <f t="shared" si="4"/>
        <v/>
      </c>
      <c r="M252" s="84"/>
    </row>
    <row r="253" spans="1:13" ht="29.25" customHeight="1" thickBot="1">
      <c r="A253" s="331"/>
      <c r="B253" s="378"/>
      <c r="C253" s="378"/>
      <c r="D253" s="378"/>
      <c r="E253" s="129"/>
      <c r="F253" s="128"/>
      <c r="G253" s="127"/>
      <c r="H253" s="133"/>
      <c r="I253" s="133"/>
      <c r="J253" s="133"/>
      <c r="K253" s="133"/>
      <c r="L253" s="398" t="str">
        <f t="shared" si="4"/>
        <v/>
      </c>
      <c r="M253" s="84"/>
    </row>
    <row r="254" spans="1:13" ht="29.25" customHeight="1" thickBot="1">
      <c r="A254" s="331"/>
      <c r="B254" s="378"/>
      <c r="C254" s="378"/>
      <c r="D254" s="378"/>
      <c r="E254" s="129"/>
      <c r="F254" s="128"/>
      <c r="G254" s="127"/>
      <c r="H254" s="133"/>
      <c r="I254" s="133"/>
      <c r="J254" s="133"/>
      <c r="K254" s="133"/>
      <c r="L254" s="398" t="str">
        <f t="shared" si="4"/>
        <v/>
      </c>
      <c r="M254" s="84"/>
    </row>
    <row r="255" spans="1:13" ht="29.25" customHeight="1" thickBot="1">
      <c r="A255" s="331"/>
      <c r="B255" s="378"/>
      <c r="C255" s="378"/>
      <c r="D255" s="378"/>
      <c r="E255" s="129"/>
      <c r="F255" s="128"/>
      <c r="G255" s="127"/>
      <c r="H255" s="133"/>
      <c r="I255" s="133"/>
      <c r="J255" s="133"/>
      <c r="K255" s="133"/>
      <c r="L255" s="398" t="str">
        <f t="shared" si="4"/>
        <v/>
      </c>
      <c r="M255" s="84"/>
    </row>
    <row r="256" spans="1:13" ht="29.25" customHeight="1" thickBot="1">
      <c r="A256" s="331"/>
      <c r="B256" s="378"/>
      <c r="C256" s="378"/>
      <c r="D256" s="378"/>
      <c r="E256" s="129"/>
      <c r="F256" s="128"/>
      <c r="G256" s="127"/>
      <c r="H256" s="133"/>
      <c r="I256" s="133"/>
      <c r="J256" s="133"/>
      <c r="K256" s="133"/>
      <c r="L256" s="398" t="str">
        <f t="shared" si="4"/>
        <v/>
      </c>
      <c r="M256" s="84"/>
    </row>
    <row r="257" spans="1:15" ht="29.25" customHeight="1" thickBot="1">
      <c r="A257" s="331"/>
      <c r="B257" s="378"/>
      <c r="C257" s="378"/>
      <c r="D257" s="378"/>
      <c r="E257" s="129"/>
      <c r="F257" s="128"/>
      <c r="G257" s="127"/>
      <c r="H257" s="133"/>
      <c r="I257" s="133"/>
      <c r="J257" s="133"/>
      <c r="K257" s="133"/>
      <c r="L257" s="398" t="str">
        <f t="shared" si="4"/>
        <v/>
      </c>
      <c r="M257" s="84"/>
    </row>
    <row r="258" spans="1:15" ht="29.25" customHeight="1" thickBot="1">
      <c r="A258" s="331"/>
      <c r="B258" s="378"/>
      <c r="C258" s="378"/>
      <c r="D258" s="378"/>
      <c r="E258" s="129"/>
      <c r="F258" s="128"/>
      <c r="G258" s="127"/>
      <c r="H258" s="133"/>
      <c r="I258" s="133"/>
      <c r="J258" s="133"/>
      <c r="K258" s="133"/>
      <c r="L258" s="398" t="str">
        <f t="shared" si="4"/>
        <v/>
      </c>
      <c r="M258" s="84"/>
    </row>
    <row r="259" spans="1:15" ht="18" thickBot="1">
      <c r="A259" s="542" t="s">
        <v>54</v>
      </c>
      <c r="B259" s="420"/>
      <c r="C259" s="420"/>
      <c r="D259" s="420"/>
      <c r="E259" s="420"/>
      <c r="F259" s="543"/>
      <c r="G259" s="8"/>
      <c r="H259" s="398">
        <f>IF('Summary Schedule'!$C$4="ESA", SUMIFS(H9:H258,$C$9:$C$258,"&lt;&gt;Yes",$A$9:$A$258,"&lt;&gt;"),SUM(H9:H258))</f>
        <v>0</v>
      </c>
      <c r="I259" s="398">
        <f>IF('Summary Schedule'!$C$4="ESA", SUMIFS(I9:I258,$C$9:$C$258,"&lt;&gt;Yes",$A$9:$A$258,"&lt;&gt;"),SUM(I9:I258))</f>
        <v>0</v>
      </c>
      <c r="J259" s="398">
        <f>IF('Summary Schedule'!$C$4="ESA", SUMIFS(J9:J258,$C$9:$C$258,"&lt;&gt;Yes",$A$9:$A$258,"&lt;&gt;"),SUM(J9:J258))</f>
        <v>0</v>
      </c>
      <c r="K259" s="398">
        <f>IF('Summary Schedule'!$C$4="ESA", SUMIFS(K9:K258,$C$9:$C$258,"&lt;&gt;Yes",$A$9:$A$258,"&lt;&gt;"),SUM(K9:K258))</f>
        <v>0</v>
      </c>
      <c r="L259" s="398">
        <f>IF('Summary Schedule'!$C$4="ESA", SUMIFS(L9:L258,$C$9:$C$258,"&lt;&gt;Yes",$A$9:$A$258,"&lt;&gt;")+L8,SUM(L8:L258))</f>
        <v>0</v>
      </c>
      <c r="M259" s="109"/>
      <c r="N259" s="57"/>
      <c r="O259" s="57"/>
    </row>
    <row r="260" spans="1:15" ht="35" customHeight="1" thickBot="1">
      <c r="A260" s="110"/>
      <c r="B260" s="111"/>
      <c r="C260" s="185"/>
      <c r="D260" s="186"/>
      <c r="E260" s="186"/>
      <c r="F260" s="186"/>
      <c r="G260" s="186"/>
      <c r="H260" s="187"/>
      <c r="I260" s="187"/>
      <c r="J260" s="187"/>
      <c r="K260" s="188"/>
      <c r="L260" s="112"/>
    </row>
    <row r="261" spans="1:15" ht="15.75" customHeight="1">
      <c r="A261" s="455" t="s">
        <v>76</v>
      </c>
      <c r="B261" s="456"/>
      <c r="C261" s="456"/>
      <c r="D261" s="456"/>
      <c r="E261" s="456"/>
      <c r="F261" s="456"/>
      <c r="G261" s="456"/>
      <c r="H261" s="456"/>
      <c r="I261" s="456"/>
      <c r="J261" s="456"/>
      <c r="K261" s="456"/>
      <c r="L261" s="457"/>
    </row>
    <row r="262" spans="1:15" s="27" customFormat="1" ht="18.5" customHeight="1">
      <c r="A262" s="461" t="s">
        <v>92</v>
      </c>
      <c r="B262" s="430"/>
      <c r="C262" s="430"/>
      <c r="D262" s="430"/>
      <c r="E262" s="430"/>
      <c r="F262" s="430"/>
      <c r="G262" s="430"/>
      <c r="H262" s="430"/>
      <c r="I262" s="430"/>
      <c r="J262" s="430"/>
      <c r="K262" s="430"/>
      <c r="L262" s="541"/>
    </row>
    <row r="263" spans="1:15" s="27" customFormat="1" ht="33" customHeight="1">
      <c r="A263" s="544" t="str">
        <f>IF('Summary Schedule'!C4="Direct-Funded",CONCATENATE("(2)  Implementation Cost shall include only direct costs for each ECM and no post-acceptance performance period expenses."," Mark-up are added to each of the ECMs and include direct and indirect costs as well as profit"),IF('Summary Schedule'!C4="UESC",CONCATENATE("(2)  Implementation Cost shall include only direct costs for each ECM and no post-acceptance performance period expenses."," Mark-up are added to each of the ECMs and include direct and indirect costs as well as profit",""),CONCATENATE("(2)  Cost of Goods and Services (Base Construction) shall include only direct costs for each ECM and no post-acceptance performance period expenses."," Project Implementation Delivery Charges are added to each of the ECMs and include direct and indirect costs as well as profit."," For IDIQ ESPC projects, Cost of Goods and Services and Project Implementation Delivery Charges are itemized in Schedule-2b.")))</f>
        <v>(2)  Cost of Goods and Services (Base Construction) shall include only direct costs for each ECM and no post-acceptance performance period expenses. Project Implementation Delivery Charges are added to each of the ECMs and include direct and indirect costs as well as profit. For IDIQ ESPC projects, Cost of Goods and Services and Project Implementation Delivery Charges are itemized in Schedule-2b.</v>
      </c>
      <c r="B263" s="425"/>
      <c r="C263" s="425"/>
      <c r="D263" s="425"/>
      <c r="E263" s="425"/>
      <c r="F263" s="425"/>
      <c r="G263" s="425"/>
      <c r="H263" s="425"/>
      <c r="I263" s="425"/>
      <c r="J263" s="425"/>
      <c r="K263" s="425"/>
      <c r="L263" s="545"/>
    </row>
    <row r="264" spans="1:15" s="27" customFormat="1" ht="23.5" customHeight="1">
      <c r="A264" s="461" t="s">
        <v>206</v>
      </c>
      <c r="B264" s="430"/>
      <c r="C264" s="430"/>
      <c r="D264" s="430"/>
      <c r="E264" s="430"/>
      <c r="F264" s="430"/>
      <c r="G264" s="430"/>
      <c r="H264" s="430"/>
      <c r="I264" s="430"/>
      <c r="J264" s="430"/>
      <c r="K264" s="430"/>
      <c r="L264" s="541"/>
    </row>
    <row r="265" spans="1:15" s="27" customFormat="1" ht="31.5" customHeight="1">
      <c r="A265" s="544" t="s">
        <v>226</v>
      </c>
      <c r="B265" s="425"/>
      <c r="C265" s="425"/>
      <c r="D265" s="425"/>
      <c r="E265" s="425"/>
      <c r="F265" s="425"/>
      <c r="G265" s="425"/>
      <c r="H265" s="425"/>
      <c r="I265" s="425"/>
      <c r="J265" s="425"/>
      <c r="K265" s="425"/>
      <c r="L265" s="545"/>
    </row>
    <row r="266" spans="1:15" s="27" customFormat="1" ht="22.5" customHeight="1">
      <c r="A266" s="461" t="s">
        <v>193</v>
      </c>
      <c r="B266" s="430"/>
      <c r="C266" s="430"/>
      <c r="D266" s="430"/>
      <c r="E266" s="430"/>
      <c r="F266" s="430"/>
      <c r="G266" s="430"/>
      <c r="H266" s="430"/>
      <c r="I266" s="430"/>
      <c r="J266" s="430"/>
      <c r="K266" s="430"/>
      <c r="L266" s="541"/>
    </row>
    <row r="267" spans="1:15" s="27" customFormat="1" ht="45" customHeight="1">
      <c r="A267" s="544" t="s">
        <v>327</v>
      </c>
      <c r="B267" s="425"/>
      <c r="C267" s="425"/>
      <c r="D267" s="425"/>
      <c r="E267" s="425"/>
      <c r="F267" s="425"/>
      <c r="G267" s="425"/>
      <c r="H267" s="425"/>
      <c r="I267" s="425"/>
      <c r="J267" s="425"/>
      <c r="K267" s="425"/>
      <c r="L267" s="545"/>
    </row>
    <row r="268" spans="1:15" s="27" customFormat="1" ht="12.5" customHeight="1" thickBot="1">
      <c r="A268" s="380"/>
      <c r="B268" s="381"/>
      <c r="C268" s="381"/>
      <c r="D268" s="381"/>
      <c r="E268" s="381"/>
      <c r="F268" s="381"/>
      <c r="G268" s="381"/>
      <c r="H268" s="381"/>
      <c r="I268" s="381"/>
      <c r="J268" s="381"/>
      <c r="K268" s="381"/>
      <c r="L268" s="382"/>
    </row>
    <row r="269" spans="1:15" s="27" customFormat="1" ht="16" customHeight="1">
      <c r="A269" s="442" t="s">
        <v>113</v>
      </c>
      <c r="B269" s="443"/>
      <c r="C269" s="443"/>
      <c r="D269" s="443"/>
      <c r="E269" s="443"/>
      <c r="F269" s="443"/>
      <c r="G269" s="443"/>
      <c r="H269" s="443"/>
      <c r="I269" s="444"/>
      <c r="J269" s="444"/>
      <c r="K269" s="444"/>
      <c r="L269" s="445"/>
    </row>
    <row r="270" spans="1:15" ht="94" customHeight="1" thickBot="1">
      <c r="A270" s="438"/>
      <c r="B270" s="439"/>
      <c r="C270" s="439"/>
      <c r="D270" s="439"/>
      <c r="E270" s="439"/>
      <c r="F270" s="439"/>
      <c r="G270" s="439"/>
      <c r="H270" s="439"/>
      <c r="I270" s="439"/>
      <c r="J270" s="439"/>
      <c r="K270" s="439"/>
      <c r="L270" s="487"/>
    </row>
    <row r="271" spans="1:15">
      <c r="A271" s="16" t="str">
        <f>'Summary Schedule'!A53</f>
        <v>4.2.9.n</v>
      </c>
    </row>
    <row r="272" spans="1:15">
      <c r="A272" s="16" t="str">
        <f>'Summary Schedule'!A54</f>
        <v>02072025</v>
      </c>
    </row>
  </sheetData>
  <sheetProtection algorithmName="SHA-512" hashValue="7M9OoOfsmINZ8zehNzrxVgRGeusXpMF4nuudEO2JHbi7w6Nh0uE3tOkP8d1gDkN6EwWc9k/VyO3Gyz+hKOu92g==" saltValue="YylDXlDuxu8nekuiyVEwdg==" spinCount="100000" sheet="1" objects="1" scenarios="1"/>
  <mergeCells count="30">
    <mergeCell ref="L6:L7"/>
    <mergeCell ref="A270:L270"/>
    <mergeCell ref="A269:L269"/>
    <mergeCell ref="A262:L262"/>
    <mergeCell ref="A264:L264"/>
    <mergeCell ref="A266:L266"/>
    <mergeCell ref="A259:F259"/>
    <mergeCell ref="A265:L265"/>
    <mergeCell ref="A263:L263"/>
    <mergeCell ref="A261:L261"/>
    <mergeCell ref="A8:K8"/>
    <mergeCell ref="G4:G7"/>
    <mergeCell ref="C4:C7"/>
    <mergeCell ref="A267:L267"/>
    <mergeCell ref="A1:L1"/>
    <mergeCell ref="A2:L2"/>
    <mergeCell ref="A3:L3"/>
    <mergeCell ref="I6:I7"/>
    <mergeCell ref="K6:K7"/>
    <mergeCell ref="K4:K5"/>
    <mergeCell ref="J6:J7"/>
    <mergeCell ref="J4:J5"/>
    <mergeCell ref="E4:E7"/>
    <mergeCell ref="A4:A7"/>
    <mergeCell ref="D4:D7"/>
    <mergeCell ref="I4:I5"/>
    <mergeCell ref="F4:F7"/>
    <mergeCell ref="H4:H7"/>
    <mergeCell ref="B4:B7"/>
    <mergeCell ref="L4:L5"/>
  </mergeCells>
  <conditionalFormatting sqref="C41:E258">
    <cfRule type="expression" dxfId="16" priority="45">
      <formula>$C41:$C291="Yes"</formula>
    </cfRule>
  </conditionalFormatting>
  <conditionalFormatting sqref="B10:E40 A10:A258 G10:G40 F10:F258 A9:K9 H10:K258">
    <cfRule type="expression" dxfId="15" priority="1">
      <formula>$C9:$C258="Yes"</formula>
    </cfRule>
  </conditionalFormatting>
  <conditionalFormatting sqref="B41:B258 G41:G258">
    <cfRule type="expression" dxfId="14" priority="4">
      <formula>$C41:$C290="Yes"</formula>
    </cfRule>
  </conditionalFormatting>
  <conditionalFormatting sqref="H260:L260">
    <cfRule type="containsBlanks" dxfId="13" priority="6">
      <formula>LEN(TRIM(H260))=0</formula>
    </cfRule>
  </conditionalFormatting>
  <dataValidations count="7">
    <dataValidation type="list" allowBlank="1" showInputMessage="1" showErrorMessage="1" error="This column is only applicable for federal ESA projects. Choose Yes if this is a federal ESA project." sqref="C41:C258" xr:uid="{5122C33B-4092-405B-AE89-8DD468CDC2A3}">
      <formula1>"Yes, No"</formula1>
    </dataValidation>
    <dataValidation type="list" allowBlank="1" showInputMessage="1" showErrorMessage="1" sqref="C9:C40" xr:uid="{B11E1685-18B7-9140-9703-10ED1EB17ACE}">
      <formula1>"Yes, No"</formula1>
    </dataValidation>
    <dataValidation type="textLength" showInputMessage="1" showErrorMessage="1" sqref="D16:D40" xr:uid="{E4373BFB-60F9-D84F-A18E-FCACFC4C3E22}">
      <formula1>1</formula1>
      <formula2>200</formula2>
    </dataValidation>
    <dataValidation type="whole" allowBlank="1" showInputMessage="1" showErrorMessage="1" error="Enter a number" sqref="L8" xr:uid="{8C8DCEA4-A96F-5A4C-8D4F-6D312B56C68E}">
      <formula1>-100000000</formula1>
      <formula2>1000000000</formula2>
    </dataValidation>
    <dataValidation type="whole" allowBlank="1" showInputMessage="1" showErrorMessage="1" sqref="L9:L259 H259:K259" xr:uid="{7B2191A1-C6A0-2F40-98DB-F86BCAAC8CD4}">
      <formula1>-10000000</formula1>
      <formula2>1000000000</formula2>
    </dataValidation>
    <dataValidation type="decimal" operator="lessThanOrEqual" allowBlank="1" showInputMessage="1" showErrorMessage="1" error="Enter a number" sqref="F9:F258" xr:uid="{7A040310-835F-4AB7-A189-48510C825859}">
      <formula1>1</formula1>
    </dataValidation>
    <dataValidation type="whole" allowBlank="1" showInputMessage="1" showErrorMessage="1" error="Enter a number" sqref="H9:K258" xr:uid="{1D0B389A-31BA-48B3-AD45-5649F4829ECF}">
      <formula1>-10000000</formula1>
      <formula2>1000000000</formula2>
    </dataValidation>
  </dataValidations>
  <pageMargins left="0.75" right="0.75" top="1" bottom="1" header="0.5" footer="0.5"/>
  <pageSetup scale="40" fitToHeight="0" orientation="portrait" horizontalDpi="4294967292" verticalDpi="4294967292"/>
  <drawing r:id="rId1"/>
  <extLst>
    <ext xmlns:x14="http://schemas.microsoft.com/office/spreadsheetml/2009/9/main" uri="{CCE6A557-97BC-4b89-ADB6-D9C93CAAB3DF}">
      <x14:dataValidations xmlns:xm="http://schemas.microsoft.com/office/excel/2006/main" count="1">
        <x14:dataValidation type="list" allowBlank="1" showInputMessage="1" showErrorMessage="1" error="Choose from the dropdown list" xr:uid="{A970F37E-F53E-4229-914A-45489D035B24}">
          <x14:formula1>
            <xm:f>ECM!$A$3:$A$22</xm:f>
          </x14:formula1>
          <xm:sqref>A9:A258</xm:sqref>
        </x14:dataValidation>
      </x14:dataValidations>
    </ex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A1:I30"/>
  <sheetViews>
    <sheetView zoomScale="90" zoomScaleNormal="90" zoomScalePageLayoutView="75" workbookViewId="0">
      <selection sqref="A1:F1"/>
    </sheetView>
  </sheetViews>
  <sheetFormatPr defaultColWidth="11" defaultRowHeight="15.5"/>
  <cols>
    <col min="1" max="1" width="12.6640625" bestFit="1" customWidth="1"/>
    <col min="3" max="3" width="31.6640625" customWidth="1"/>
    <col min="4" max="4" width="55.5" customWidth="1"/>
    <col min="5" max="5" width="19" customWidth="1"/>
    <col min="6" max="6" width="19.33203125" customWidth="1"/>
    <col min="7" max="7" width="11.1640625" bestFit="1" customWidth="1"/>
  </cols>
  <sheetData>
    <row r="1" spans="1:9" s="16" customFormat="1" ht="20.25" customHeight="1">
      <c r="A1" s="400" t="s">
        <v>181</v>
      </c>
      <c r="B1" s="400"/>
      <c r="C1" s="400"/>
      <c r="D1" s="400"/>
      <c r="E1" s="400"/>
      <c r="F1" s="400"/>
    </row>
    <row r="2" spans="1:9" s="16" customFormat="1" ht="18" customHeight="1" thickBot="1">
      <c r="A2" s="557" t="s">
        <v>163</v>
      </c>
      <c r="B2" s="557"/>
      <c r="C2" s="557"/>
      <c r="D2" s="557"/>
      <c r="E2" s="557"/>
      <c r="F2" s="557"/>
    </row>
    <row r="3" spans="1:9" ht="56" customHeight="1" thickBot="1">
      <c r="A3" s="562"/>
      <c r="B3" s="61"/>
      <c r="C3" s="61" t="s">
        <v>191</v>
      </c>
      <c r="D3" s="101" t="s">
        <v>190</v>
      </c>
      <c r="E3" s="61" t="s">
        <v>208</v>
      </c>
      <c r="F3" s="99" t="s">
        <v>183</v>
      </c>
    </row>
    <row r="4" spans="1:9" ht="41" thickBot="1">
      <c r="A4" s="563"/>
      <c r="B4" s="100" t="s">
        <v>164</v>
      </c>
      <c r="C4" s="92" t="s">
        <v>207</v>
      </c>
      <c r="D4" s="106" t="s">
        <v>188</v>
      </c>
      <c r="E4" s="102"/>
      <c r="F4" s="130"/>
    </row>
    <row r="5" spans="1:9" ht="27.5" thickBot="1">
      <c r="A5" s="563"/>
      <c r="B5" s="93" t="s">
        <v>165</v>
      </c>
      <c r="C5" s="92" t="s">
        <v>186</v>
      </c>
      <c r="D5" s="113" t="s">
        <v>209</v>
      </c>
      <c r="E5" s="102"/>
      <c r="F5" s="130"/>
    </row>
    <row r="6" spans="1:9" ht="16.5" thickBot="1">
      <c r="A6" s="563"/>
      <c r="B6" s="93" t="s">
        <v>166</v>
      </c>
      <c r="C6" s="94" t="s">
        <v>187</v>
      </c>
      <c r="D6" s="107" t="s">
        <v>189</v>
      </c>
      <c r="E6" s="102"/>
      <c r="F6" s="130"/>
    </row>
    <row r="7" spans="1:9" ht="54.5" thickBot="1">
      <c r="A7" s="564"/>
      <c r="B7" s="93" t="s">
        <v>167</v>
      </c>
      <c r="C7" s="94" t="s">
        <v>222</v>
      </c>
      <c r="D7" s="113" t="s">
        <v>210</v>
      </c>
      <c r="E7" s="102"/>
      <c r="F7" s="130"/>
    </row>
    <row r="8" spans="1:9" ht="44" customHeight="1" thickBot="1">
      <c r="A8" s="59" t="s">
        <v>179</v>
      </c>
      <c r="B8" s="93" t="s">
        <v>168</v>
      </c>
      <c r="C8" s="565" t="s">
        <v>211</v>
      </c>
      <c r="D8" s="566"/>
      <c r="E8" s="102"/>
      <c r="F8" s="223">
        <f>SUM(F4:F7)</f>
        <v>0</v>
      </c>
      <c r="I8" s="16"/>
    </row>
    <row r="9" spans="1:9" ht="35" thickBot="1">
      <c r="A9" s="89"/>
      <c r="B9" s="93" t="s">
        <v>169</v>
      </c>
      <c r="C9" s="94" t="s">
        <v>170</v>
      </c>
      <c r="D9" s="114" t="s">
        <v>212</v>
      </c>
      <c r="E9" s="325"/>
      <c r="F9" s="130">
        <f>E9*$F$8</f>
        <v>0</v>
      </c>
    </row>
    <row r="10" spans="1:9" ht="23.5" thickBot="1">
      <c r="A10" s="90"/>
      <c r="B10" s="93" t="s">
        <v>171</v>
      </c>
      <c r="C10" s="94" t="s">
        <v>172</v>
      </c>
      <c r="D10" s="107" t="s">
        <v>213</v>
      </c>
      <c r="E10" s="325"/>
      <c r="F10" s="130">
        <f>E10*$F$8</f>
        <v>0</v>
      </c>
    </row>
    <row r="11" spans="1:9" ht="46.5" thickBot="1">
      <c r="A11" s="90"/>
      <c r="B11" s="93" t="s">
        <v>31</v>
      </c>
      <c r="C11" s="94" t="s">
        <v>214</v>
      </c>
      <c r="D11" s="107" t="s">
        <v>192</v>
      </c>
      <c r="E11" s="325"/>
      <c r="F11" s="130">
        <f>E11*$F$8</f>
        <v>0</v>
      </c>
    </row>
    <row r="12" spans="1:9" ht="202.5" customHeight="1" thickBot="1">
      <c r="A12" s="90"/>
      <c r="B12" s="93" t="s">
        <v>32</v>
      </c>
      <c r="C12" s="94" t="s">
        <v>194</v>
      </c>
      <c r="D12" s="107" t="s">
        <v>536</v>
      </c>
      <c r="E12" s="325"/>
      <c r="F12" s="130">
        <f>E12*$F$8</f>
        <v>0</v>
      </c>
    </row>
    <row r="13" spans="1:9" ht="81" thickBot="1">
      <c r="A13" s="90"/>
      <c r="B13" s="93" t="s">
        <v>33</v>
      </c>
      <c r="C13" s="94" t="s">
        <v>195</v>
      </c>
      <c r="D13" s="107" t="s">
        <v>215</v>
      </c>
      <c r="E13" s="325"/>
      <c r="F13" s="130">
        <f>E13*$F$8</f>
        <v>0</v>
      </c>
      <c r="H13" s="105"/>
    </row>
    <row r="14" spans="1:9" ht="23.5" thickBot="1">
      <c r="A14" s="95"/>
      <c r="B14" s="93" t="s">
        <v>57</v>
      </c>
      <c r="C14" s="94" t="s">
        <v>216</v>
      </c>
      <c r="D14" s="115" t="s">
        <v>218</v>
      </c>
      <c r="E14" s="137"/>
      <c r="F14" s="130">
        <f t="shared" ref="F14:F15" si="0">E14*$F$8</f>
        <v>0</v>
      </c>
    </row>
    <row r="15" spans="1:9" ht="23.5" thickBot="1">
      <c r="A15" s="95"/>
      <c r="B15" s="93" t="s">
        <v>173</v>
      </c>
      <c r="C15" s="94" t="s">
        <v>217</v>
      </c>
      <c r="D15" s="115" t="s">
        <v>219</v>
      </c>
      <c r="E15" s="137"/>
      <c r="F15" s="130">
        <f t="shared" si="0"/>
        <v>0</v>
      </c>
    </row>
    <row r="16" spans="1:9" ht="29.25" customHeight="1" thickBot="1">
      <c r="A16" s="96" t="s">
        <v>177</v>
      </c>
      <c r="B16" s="93" t="s">
        <v>58</v>
      </c>
      <c r="C16" s="565" t="s">
        <v>224</v>
      </c>
      <c r="D16" s="566"/>
      <c r="E16" s="224" t="str">
        <f>IF(F8=0,"",F16/F8)</f>
        <v/>
      </c>
      <c r="F16" s="103">
        <f>SUM(F9:F15)</f>
        <v>0</v>
      </c>
    </row>
    <row r="17" spans="1:6" ht="16.5" thickBot="1">
      <c r="A17" s="89"/>
      <c r="B17" s="93" t="s">
        <v>174</v>
      </c>
      <c r="C17" s="565" t="s">
        <v>231</v>
      </c>
      <c r="D17" s="566"/>
      <c r="E17" s="102"/>
      <c r="F17" s="104">
        <f>'Sch2a-Imp Price by ECM'!L8</f>
        <v>0</v>
      </c>
    </row>
    <row r="18" spans="1:6" ht="16.5" thickBot="1">
      <c r="A18" s="91"/>
      <c r="B18" s="93" t="s">
        <v>175</v>
      </c>
      <c r="C18" s="565" t="s">
        <v>26</v>
      </c>
      <c r="D18" s="566"/>
      <c r="E18" s="102"/>
      <c r="F18" s="104">
        <f>'Sch2a-Imp Price by ECM'!K259</f>
        <v>0</v>
      </c>
    </row>
    <row r="19" spans="1:6" ht="49" customHeight="1" thickBot="1">
      <c r="A19" s="59" t="s">
        <v>178</v>
      </c>
      <c r="B19" s="93" t="s">
        <v>176</v>
      </c>
      <c r="C19" s="565" t="s">
        <v>180</v>
      </c>
      <c r="D19" s="566"/>
      <c r="E19" s="102"/>
      <c r="F19" s="108">
        <f>'Sch2a-Imp Price by ECM'!L259*0+F8+F16+F17-F18</f>
        <v>0</v>
      </c>
    </row>
    <row r="20" spans="1:6" ht="16" thickBot="1">
      <c r="A20" s="97"/>
      <c r="B20" s="98"/>
      <c r="C20" s="98"/>
      <c r="D20" s="98"/>
      <c r="E20" s="98"/>
      <c r="F20" s="98"/>
    </row>
    <row r="21" spans="1:6">
      <c r="A21" s="558" t="s">
        <v>15</v>
      </c>
      <c r="B21" s="559"/>
      <c r="C21" s="559"/>
      <c r="D21" s="559"/>
      <c r="E21" s="559"/>
      <c r="F21" s="559"/>
    </row>
    <row r="22" spans="1:6" ht="19" customHeight="1">
      <c r="A22" s="560" t="s">
        <v>220</v>
      </c>
      <c r="B22" s="561"/>
      <c r="C22" s="561"/>
      <c r="D22" s="561"/>
      <c r="E22" s="561"/>
      <c r="F22" s="561"/>
    </row>
    <row r="23" spans="1:6">
      <c r="A23" s="461"/>
      <c r="B23" s="430"/>
      <c r="C23" s="430"/>
      <c r="D23" s="430"/>
      <c r="E23" s="430"/>
      <c r="F23" s="430"/>
    </row>
    <row r="24" spans="1:6">
      <c r="A24" s="461"/>
      <c r="B24" s="430"/>
      <c r="C24" s="430"/>
      <c r="D24" s="430"/>
      <c r="E24" s="430"/>
      <c r="F24" s="430"/>
    </row>
    <row r="25" spans="1:6">
      <c r="A25" s="549"/>
      <c r="B25" s="550"/>
      <c r="C25" s="550"/>
      <c r="D25" s="550"/>
      <c r="E25" s="550"/>
      <c r="F25" s="550"/>
    </row>
    <row r="26" spans="1:6" ht="16" thickBot="1">
      <c r="A26" s="551"/>
      <c r="B26" s="552"/>
      <c r="C26" s="552"/>
      <c r="D26" s="552"/>
      <c r="E26" s="552"/>
      <c r="F26" s="552"/>
    </row>
    <row r="27" spans="1:6">
      <c r="A27" s="553" t="s">
        <v>113</v>
      </c>
      <c r="B27" s="554"/>
      <c r="C27" s="554"/>
      <c r="D27" s="554"/>
      <c r="E27" s="554"/>
      <c r="F27" s="554"/>
    </row>
    <row r="28" spans="1:6" ht="69" customHeight="1" thickBot="1">
      <c r="A28" s="555"/>
      <c r="B28" s="556"/>
      <c r="C28" s="556"/>
      <c r="D28" s="556"/>
      <c r="E28" s="556"/>
      <c r="F28" s="556"/>
    </row>
    <row r="29" spans="1:6">
      <c r="A29" t="str">
        <f>'Summary Schedule'!A53</f>
        <v>4.2.9.n</v>
      </c>
    </row>
    <row r="30" spans="1:6">
      <c r="A30" t="str">
        <f>'Summary Schedule'!A54</f>
        <v>02072025</v>
      </c>
    </row>
  </sheetData>
  <sheetProtection algorithmName="SHA-512" hashValue="WPYTy8ssWGdIx7d2LLzZ4JpHNmOFkO75iZhXqT0ssTHFke2HdxmI56y0ZMveJX8/zZYrV/Q5GvlRC5tvZrhBRQ==" saltValue="ZZUHG1xTegkQGxwgNwwlbA==" spinCount="100000" sheet="1" objects="1" scenarios="1"/>
  <mergeCells count="16">
    <mergeCell ref="A1:F1"/>
    <mergeCell ref="A25:F25"/>
    <mergeCell ref="A26:F26"/>
    <mergeCell ref="A27:F27"/>
    <mergeCell ref="A28:F28"/>
    <mergeCell ref="A2:F2"/>
    <mergeCell ref="A21:F21"/>
    <mergeCell ref="A22:F22"/>
    <mergeCell ref="A23:F23"/>
    <mergeCell ref="A24:F24"/>
    <mergeCell ref="A3:A7"/>
    <mergeCell ref="C8:D8"/>
    <mergeCell ref="C16:D16"/>
    <mergeCell ref="C17:D17"/>
    <mergeCell ref="C18:D18"/>
    <mergeCell ref="C19:D19"/>
  </mergeCells>
  <dataValidations count="3">
    <dataValidation type="decimal" allowBlank="1" showInputMessage="1" showErrorMessage="1" errorTitle="Data Input Error" error="Please enter a percentage value between 0 and 100." sqref="E9:E14" xr:uid="{00000000-0002-0000-0800-000000000000}">
      <formula1>0</formula1>
      <formula2>1</formula2>
    </dataValidation>
    <dataValidation allowBlank="1" showInputMessage="1" showErrorMessage="1" errorTitle="Data Input Error" error="Please enter a percentage value between 0 and 100." sqref="E15" xr:uid="{00000000-0002-0000-0800-000001000000}"/>
    <dataValidation type="decimal" allowBlank="1" showInputMessage="1" showErrorMessage="1" errorTitle="Data Input Error" error="Please enter a dollar value " sqref="F4:F7" xr:uid="{00000000-0002-0000-0800-000002000000}">
      <formula1>0</formula1>
      <formula2>1000000000000</formula2>
    </dataValidation>
  </dataValidations>
  <pageMargins left="0.75" right="0.75" top="1" bottom="1" header="0.5" footer="0.5"/>
  <pageSetup orientation="portrait" horizontalDpi="4294967292" verticalDpi="4294967292"/>
  <drawing r:id="rId1"/>
  <extLst>
    <ext xmlns:x14="http://schemas.microsoft.com/office/spreadsheetml/2009/9/main" uri="{78C0D931-6437-407d-A8EE-F0AAD7539E65}">
      <x14:conditionalFormattings>
        <x14:conditionalFormatting xmlns:xm="http://schemas.microsoft.com/office/excel/2006/main">
          <x14:cfRule type="expression" priority="3" id="{00000000-000E-0000-0800-000003000000}">
            <xm:f>'Summary Schedule'!$C$4&lt;&gt;"Guaranteed Savings"</xm:f>
            <x14:dxf>
              <font>
                <color theme="0" tint="-0.24994659260841701"/>
              </font>
              <fill>
                <patternFill patternType="solid">
                  <fgColor theme="0" tint="-0.24994659260841701"/>
                  <bgColor theme="0" tint="-0.24994659260841701"/>
                </patternFill>
              </fill>
              <border>
                <left/>
                <right/>
                <top/>
                <bottom/>
                <vertical/>
                <horizontal/>
              </border>
            </x14:dxf>
          </x14:cfRule>
          <xm:sqref>A1:F30</xm:sqref>
        </x14:conditionalFormatting>
      </x14:conditionalFormattings>
    </ex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0E2970-2504-C649-AED8-C1E2F1EE538B}">
  <sheetPr codeName="Sheet9">
    <pageSetUpPr fitToPage="1"/>
  </sheetPr>
  <dimension ref="A1:AR48"/>
  <sheetViews>
    <sheetView zoomScale="90" zoomScaleNormal="90" zoomScalePageLayoutView="200" workbookViewId="0">
      <selection sqref="A1:AR1"/>
    </sheetView>
  </sheetViews>
  <sheetFormatPr defaultColWidth="11" defaultRowHeight="16"/>
  <cols>
    <col min="1" max="1" width="23.1640625" style="24" customWidth="1"/>
    <col min="2" max="2" width="40.33203125" style="24" customWidth="1"/>
    <col min="3" max="3" width="19.33203125" style="24" customWidth="1"/>
    <col min="4" max="4" width="22.6640625" style="24" customWidth="1"/>
    <col min="5" max="5" width="15" style="24" customWidth="1"/>
    <col min="6" max="11" width="16" style="24" bestFit="1" customWidth="1"/>
    <col min="12" max="12" width="13.6640625" style="24" customWidth="1"/>
    <col min="13" max="13" width="14.5" style="24" customWidth="1"/>
    <col min="14" max="14" width="13" style="24" customWidth="1"/>
    <col min="15" max="15" width="13.5" style="24" bestFit="1" customWidth="1"/>
    <col min="16" max="17" width="15.33203125" style="24" bestFit="1" customWidth="1"/>
    <col min="18" max="18" width="12.33203125" style="24" customWidth="1"/>
    <col min="19" max="19" width="13.1640625" style="24" customWidth="1"/>
    <col min="20" max="20" width="15.33203125" style="16" bestFit="1" customWidth="1"/>
    <col min="21" max="22" width="13.1640625" style="16" customWidth="1"/>
    <col min="23" max="23" width="13" style="16" customWidth="1"/>
    <col min="24" max="26" width="15.33203125" style="16" bestFit="1" customWidth="1"/>
    <col min="27" max="27" width="14.33203125" style="16" bestFit="1" customWidth="1"/>
    <col min="28" max="28" width="11.6640625" style="16" bestFit="1" customWidth="1"/>
    <col min="29" max="43" width="11.6640625" style="16" hidden="1" customWidth="1"/>
    <col min="44" max="44" width="17" style="16" bestFit="1" customWidth="1"/>
    <col min="45" max="16384" width="11" style="16"/>
  </cols>
  <sheetData>
    <row r="1" spans="1:44" ht="20.25" customHeight="1">
      <c r="A1" s="568" t="s">
        <v>184</v>
      </c>
      <c r="B1" s="568"/>
      <c r="C1" s="568"/>
      <c r="D1" s="568"/>
      <c r="E1" s="568"/>
      <c r="F1" s="568"/>
      <c r="G1" s="568"/>
      <c r="H1" s="568"/>
      <c r="I1" s="568"/>
      <c r="J1" s="568"/>
      <c r="K1" s="568"/>
      <c r="L1" s="568"/>
      <c r="M1" s="568"/>
      <c r="N1" s="568"/>
      <c r="O1" s="568"/>
      <c r="P1" s="568"/>
      <c r="Q1" s="568"/>
      <c r="R1" s="568"/>
      <c r="S1" s="568"/>
      <c r="T1" s="568"/>
      <c r="U1" s="568"/>
      <c r="V1" s="568"/>
      <c r="W1" s="568"/>
      <c r="X1" s="568"/>
      <c r="Y1" s="568"/>
      <c r="Z1" s="568"/>
      <c r="AA1" s="568"/>
      <c r="AB1" s="568"/>
      <c r="AC1" s="568"/>
      <c r="AD1" s="568"/>
      <c r="AE1" s="568"/>
      <c r="AF1" s="568"/>
      <c r="AG1" s="568"/>
      <c r="AH1" s="568"/>
      <c r="AI1" s="568"/>
      <c r="AJ1" s="568"/>
      <c r="AK1" s="568"/>
      <c r="AL1" s="568"/>
      <c r="AM1" s="568"/>
      <c r="AN1" s="568"/>
      <c r="AO1" s="568"/>
      <c r="AP1" s="568"/>
      <c r="AQ1" s="568"/>
      <c r="AR1" s="568"/>
    </row>
    <row r="2" spans="1:44" ht="15.75" customHeight="1" thickBot="1">
      <c r="A2" s="569" t="s">
        <v>62</v>
      </c>
      <c r="B2" s="569"/>
      <c r="C2" s="569"/>
      <c r="D2" s="569"/>
      <c r="E2" s="569"/>
      <c r="F2" s="569"/>
      <c r="G2" s="569"/>
      <c r="H2" s="569"/>
      <c r="I2" s="569"/>
      <c r="J2" s="569"/>
      <c r="K2" s="569"/>
      <c r="L2" s="569"/>
      <c r="M2" s="569"/>
      <c r="N2" s="569"/>
      <c r="O2" s="569"/>
      <c r="P2" s="569"/>
      <c r="Q2" s="569"/>
      <c r="R2" s="569"/>
      <c r="S2" s="569"/>
      <c r="T2" s="569"/>
      <c r="U2" s="569"/>
      <c r="V2" s="569"/>
      <c r="W2" s="569"/>
      <c r="X2" s="569"/>
      <c r="Y2" s="569"/>
      <c r="Z2" s="569"/>
      <c r="AA2" s="569"/>
      <c r="AB2" s="569"/>
      <c r="AC2" s="569"/>
      <c r="AD2" s="569"/>
      <c r="AE2" s="569"/>
      <c r="AF2" s="569"/>
      <c r="AG2" s="569"/>
      <c r="AH2" s="569"/>
      <c r="AI2" s="569"/>
      <c r="AJ2" s="569"/>
      <c r="AK2" s="569"/>
      <c r="AL2" s="569"/>
      <c r="AM2" s="569"/>
      <c r="AN2" s="569"/>
      <c r="AO2" s="569"/>
      <c r="AP2" s="569"/>
      <c r="AQ2" s="569"/>
      <c r="AR2" s="569"/>
    </row>
    <row r="3" spans="1:44" ht="16.5" thickBot="1">
      <c r="A3" s="295"/>
      <c r="B3" s="17"/>
      <c r="C3" s="17"/>
      <c r="D3" s="17"/>
      <c r="E3" s="17"/>
      <c r="F3" s="17"/>
      <c r="G3" s="17"/>
      <c r="H3" s="17"/>
      <c r="I3" s="18"/>
      <c r="J3" s="19"/>
      <c r="K3" s="19"/>
      <c r="L3" s="19"/>
      <c r="M3" s="19"/>
      <c r="N3" s="19"/>
      <c r="O3" s="19"/>
      <c r="P3" s="19"/>
      <c r="Q3" s="19"/>
      <c r="R3" s="19"/>
      <c r="S3" s="19"/>
      <c r="T3" s="289"/>
      <c r="U3" s="289"/>
      <c r="V3" s="289"/>
      <c r="W3" s="289"/>
      <c r="X3" s="289"/>
      <c r="Y3" s="289"/>
      <c r="Z3" s="289"/>
      <c r="AA3" s="289"/>
      <c r="AB3" s="289"/>
      <c r="AC3" s="289"/>
      <c r="AD3" s="289"/>
      <c r="AE3" s="289"/>
      <c r="AF3" s="289"/>
      <c r="AG3" s="289"/>
      <c r="AH3" s="289"/>
      <c r="AI3" s="289"/>
      <c r="AJ3" s="289"/>
      <c r="AK3" s="289"/>
      <c r="AL3" s="289"/>
      <c r="AM3" s="289"/>
      <c r="AN3" s="289"/>
      <c r="AO3" s="289"/>
      <c r="AP3" s="289"/>
      <c r="AQ3" s="289"/>
      <c r="AR3" s="296"/>
    </row>
    <row r="4" spans="1:44" ht="28.5" thickBot="1">
      <c r="A4" s="297"/>
      <c r="B4" s="290" t="s">
        <v>162</v>
      </c>
      <c r="C4" s="291" t="s">
        <v>98</v>
      </c>
      <c r="D4" s="291">
        <v>1</v>
      </c>
      <c r="E4" s="291">
        <v>2</v>
      </c>
      <c r="F4" s="291">
        <v>3</v>
      </c>
      <c r="G4" s="290">
        <v>4</v>
      </c>
      <c r="H4" s="291">
        <v>5</v>
      </c>
      <c r="I4" s="291">
        <v>6</v>
      </c>
      <c r="J4" s="291">
        <v>7</v>
      </c>
      <c r="K4" s="291">
        <v>8</v>
      </c>
      <c r="L4" s="291">
        <v>9</v>
      </c>
      <c r="M4" s="291">
        <v>10</v>
      </c>
      <c r="N4" s="291">
        <v>11</v>
      </c>
      <c r="O4" s="291">
        <v>12</v>
      </c>
      <c r="P4" s="291">
        <v>13</v>
      </c>
      <c r="Q4" s="291">
        <v>14</v>
      </c>
      <c r="R4" s="291">
        <v>15</v>
      </c>
      <c r="S4" s="291">
        <v>16</v>
      </c>
      <c r="T4" s="291">
        <v>17</v>
      </c>
      <c r="U4" s="291">
        <v>18</v>
      </c>
      <c r="V4" s="291">
        <v>19</v>
      </c>
      <c r="W4" s="291">
        <v>20</v>
      </c>
      <c r="X4" s="291">
        <v>21</v>
      </c>
      <c r="Y4" s="291">
        <v>22</v>
      </c>
      <c r="Z4" s="291">
        <v>23</v>
      </c>
      <c r="AA4" s="291">
        <v>24</v>
      </c>
      <c r="AB4" s="291">
        <v>25</v>
      </c>
      <c r="AC4" s="291">
        <v>26</v>
      </c>
      <c r="AD4" s="291">
        <v>27</v>
      </c>
      <c r="AE4" s="291">
        <v>28</v>
      </c>
      <c r="AF4" s="291">
        <v>29</v>
      </c>
      <c r="AG4" s="291">
        <v>30</v>
      </c>
      <c r="AH4" s="291">
        <v>31</v>
      </c>
      <c r="AI4" s="291">
        <v>32</v>
      </c>
      <c r="AJ4" s="291">
        <v>33</v>
      </c>
      <c r="AK4" s="291">
        <v>34</v>
      </c>
      <c r="AL4" s="291">
        <v>35</v>
      </c>
      <c r="AM4" s="291">
        <v>36</v>
      </c>
      <c r="AN4" s="291">
        <v>37</v>
      </c>
      <c r="AO4" s="291">
        <v>38</v>
      </c>
      <c r="AP4" s="291">
        <v>39</v>
      </c>
      <c r="AQ4" s="291">
        <v>40</v>
      </c>
      <c r="AR4" s="298" t="s">
        <v>14</v>
      </c>
    </row>
    <row r="5" spans="1:44" ht="17" customHeight="1" thickBot="1">
      <c r="A5" s="570" t="str">
        <f>IF('Summary Schedule'!$C$4="Direct-Funded","Payments","Debt Service/Performance Period Payments")</f>
        <v>Debt Service/Performance Period Payments</v>
      </c>
      <c r="B5" s="20" t="str">
        <f>IF('Summary Schedule'!$C$4="Direct-Funded","","Principal Repayment")</f>
        <v>Principal Repayment</v>
      </c>
      <c r="C5" s="66"/>
      <c r="D5" s="133"/>
      <c r="E5" s="133"/>
      <c r="F5" s="133"/>
      <c r="G5" s="133"/>
      <c r="H5" s="133"/>
      <c r="I5" s="133"/>
      <c r="J5" s="133"/>
      <c r="K5" s="133"/>
      <c r="L5" s="133"/>
      <c r="M5" s="133"/>
      <c r="N5" s="133"/>
      <c r="O5" s="133"/>
      <c r="P5" s="133"/>
      <c r="Q5" s="133"/>
      <c r="R5" s="133"/>
      <c r="S5" s="133"/>
      <c r="T5" s="133"/>
      <c r="U5" s="133"/>
      <c r="V5" s="133"/>
      <c r="W5" s="133"/>
      <c r="X5" s="133"/>
      <c r="Y5" s="133"/>
      <c r="Z5" s="133"/>
      <c r="AA5" s="133"/>
      <c r="AB5" s="133"/>
      <c r="AC5" s="133"/>
      <c r="AD5" s="133"/>
      <c r="AE5" s="133"/>
      <c r="AF5" s="133"/>
      <c r="AG5" s="133"/>
      <c r="AH5" s="133"/>
      <c r="AI5" s="133"/>
      <c r="AJ5" s="133"/>
      <c r="AK5" s="133"/>
      <c r="AL5" s="133"/>
      <c r="AM5" s="133"/>
      <c r="AN5" s="133"/>
      <c r="AO5" s="133"/>
      <c r="AP5" s="133"/>
      <c r="AQ5" s="133"/>
      <c r="AR5" s="299">
        <f>IF('Summary Schedule'!C4="Direct-Funded", "", SUM(D5:AQ5))</f>
        <v>0</v>
      </c>
    </row>
    <row r="6" spans="1:44" ht="54.75" customHeight="1" thickBot="1">
      <c r="A6" s="571"/>
      <c r="B6" s="319" t="str">
        <f>IF('Summary Schedule'!$C$4="Direct-Funded","Incentives and Other Payments","Performance Period Incentives and Other Payments")</f>
        <v>Performance Period Incentives and Other Payments</v>
      </c>
      <c r="C6" s="314"/>
      <c r="D6" s="301"/>
      <c r="E6" s="301"/>
      <c r="F6" s="301"/>
      <c r="G6" s="301"/>
      <c r="H6" s="301"/>
      <c r="I6" s="301"/>
      <c r="J6" s="301"/>
      <c r="K6" s="301"/>
      <c r="L6" s="301"/>
      <c r="M6" s="301"/>
      <c r="N6" s="301"/>
      <c r="O6" s="301"/>
      <c r="P6" s="301"/>
      <c r="Q6" s="301"/>
      <c r="R6" s="301"/>
      <c r="S6" s="301"/>
      <c r="T6" s="301"/>
      <c r="U6" s="301"/>
      <c r="V6" s="301"/>
      <c r="W6" s="301"/>
      <c r="X6" s="301"/>
      <c r="Y6" s="301"/>
      <c r="Z6" s="301"/>
      <c r="AA6" s="301"/>
      <c r="AB6" s="301"/>
      <c r="AC6" s="301"/>
      <c r="AD6" s="301"/>
      <c r="AE6" s="301"/>
      <c r="AF6" s="301"/>
      <c r="AG6" s="301"/>
      <c r="AH6" s="301"/>
      <c r="AI6" s="301"/>
      <c r="AJ6" s="301"/>
      <c r="AK6" s="301"/>
      <c r="AL6" s="301"/>
      <c r="AM6" s="301"/>
      <c r="AN6" s="301"/>
      <c r="AO6" s="301"/>
      <c r="AP6" s="301"/>
      <c r="AQ6" s="301"/>
      <c r="AR6" s="302">
        <f>SUM(D6:AQ6)</f>
        <v>0</v>
      </c>
    </row>
    <row r="7" spans="1:44" ht="35" customHeight="1" thickBot="1">
      <c r="A7" s="572"/>
      <c r="B7" s="73"/>
      <c r="C7" s="73"/>
      <c r="D7" s="73"/>
      <c r="E7" s="73"/>
      <c r="F7" s="73"/>
      <c r="G7" s="73"/>
      <c r="H7" s="73"/>
      <c r="I7" s="73"/>
      <c r="J7" s="73"/>
      <c r="K7" s="73"/>
      <c r="L7" s="73"/>
      <c r="M7" s="73"/>
      <c r="N7" s="73"/>
      <c r="O7" s="73"/>
      <c r="P7" s="73"/>
      <c r="Q7" s="73"/>
      <c r="R7" s="73"/>
      <c r="S7" s="73"/>
      <c r="T7" s="73"/>
      <c r="U7" s="73"/>
      <c r="V7" s="73"/>
      <c r="W7" s="73"/>
      <c r="X7" s="73"/>
      <c r="Y7" s="73"/>
      <c r="Z7" s="73"/>
      <c r="AA7" s="73"/>
      <c r="AB7" s="73"/>
      <c r="AC7" s="73"/>
      <c r="AD7" s="73"/>
      <c r="AE7" s="73"/>
      <c r="AF7" s="73"/>
      <c r="AG7" s="73"/>
      <c r="AH7" s="73"/>
      <c r="AI7" s="73"/>
      <c r="AJ7" s="73"/>
      <c r="AK7" s="73"/>
      <c r="AL7" s="73"/>
      <c r="AM7" s="73"/>
      <c r="AN7" s="73"/>
      <c r="AO7" s="73"/>
      <c r="AP7" s="73"/>
      <c r="AQ7" s="73"/>
      <c r="AR7" s="73"/>
    </row>
    <row r="8" spans="1:44" ht="16.5" thickBot="1">
      <c r="A8" s="571"/>
      <c r="B8" s="300" t="str">
        <f>IF('Summary Schedule'!$C$4="Direct-Funded","","Interest ($)")</f>
        <v>Interest ($)</v>
      </c>
      <c r="C8" s="67"/>
      <c r="D8" s="133"/>
      <c r="E8" s="133"/>
      <c r="F8" s="133"/>
      <c r="G8" s="133"/>
      <c r="H8" s="133"/>
      <c r="I8" s="133"/>
      <c r="J8" s="133"/>
      <c r="K8" s="133"/>
      <c r="L8" s="133"/>
      <c r="M8" s="133"/>
      <c r="N8" s="133"/>
      <c r="O8" s="133"/>
      <c r="P8" s="133"/>
      <c r="Q8" s="133"/>
      <c r="R8" s="133"/>
      <c r="S8" s="133"/>
      <c r="T8" s="133"/>
      <c r="U8" s="133"/>
      <c r="V8" s="133"/>
      <c r="W8" s="133"/>
      <c r="X8" s="133"/>
      <c r="Y8" s="133"/>
      <c r="Z8" s="133"/>
      <c r="AA8" s="133"/>
      <c r="AB8" s="133"/>
      <c r="AC8" s="133"/>
      <c r="AD8" s="133"/>
      <c r="AE8" s="133"/>
      <c r="AF8" s="133"/>
      <c r="AG8" s="133"/>
      <c r="AH8" s="133"/>
      <c r="AI8" s="133"/>
      <c r="AJ8" s="133"/>
      <c r="AK8" s="133"/>
      <c r="AL8" s="133"/>
      <c r="AM8" s="133"/>
      <c r="AN8" s="133"/>
      <c r="AO8" s="133"/>
      <c r="AP8" s="133"/>
      <c r="AQ8" s="133"/>
      <c r="AR8" s="299"/>
    </row>
    <row r="9" spans="1:44" ht="16.5" thickBot="1">
      <c r="A9" s="572"/>
      <c r="B9" s="303" t="str">
        <f>IF('Summary Schedule'!$C$4="Direct-Funded","","Total Debt Service (a)")</f>
        <v>Total Debt Service (a)</v>
      </c>
      <c r="C9" s="304"/>
      <c r="D9" s="305">
        <f>IF('Summary Schedule'!$C$4="Direct-Funded","",SUM(D8,D5))</f>
        <v>0</v>
      </c>
      <c r="E9" s="305">
        <f>IF('Summary Schedule'!$C$4="Direct-Funded","",SUM(E8,E5))</f>
        <v>0</v>
      </c>
      <c r="F9" s="305">
        <f>IF('Summary Schedule'!$C$4="Direct-Funded","",SUM(F8,F5))</f>
        <v>0</v>
      </c>
      <c r="G9" s="305">
        <f>IF('Summary Schedule'!$C$4="Direct-Funded","",SUM(G8,G5))</f>
        <v>0</v>
      </c>
      <c r="H9" s="305">
        <f>IF('Summary Schedule'!$C$4="Direct-Funded","",SUM(H8,H5))</f>
        <v>0</v>
      </c>
      <c r="I9" s="305">
        <f>IF('Summary Schedule'!$C$4="Direct-Funded","",SUM(I8,I5))</f>
        <v>0</v>
      </c>
      <c r="J9" s="305">
        <f>IF('Summary Schedule'!$C$4="Direct-Funded","",SUM(J8,J5))</f>
        <v>0</v>
      </c>
      <c r="K9" s="305">
        <f>IF('Summary Schedule'!$C$4="Direct-Funded","",SUM(K8,K5))</f>
        <v>0</v>
      </c>
      <c r="L9" s="305">
        <f>IF('Summary Schedule'!$C$4="Direct-Funded","",SUM(L8,L5))</f>
        <v>0</v>
      </c>
      <c r="M9" s="305">
        <f>IF('Summary Schedule'!$C$4="Direct-Funded","",SUM(M8,M5))</f>
        <v>0</v>
      </c>
      <c r="N9" s="305">
        <f>IF('Summary Schedule'!$C$4="Direct-Funded","",SUM(N8,N5))</f>
        <v>0</v>
      </c>
      <c r="O9" s="305">
        <f>IF('Summary Schedule'!$C$4="Direct-Funded","",SUM(O8,O5))</f>
        <v>0</v>
      </c>
      <c r="P9" s="305">
        <f>IF('Summary Schedule'!$C$4="Direct-Funded","",SUM(P8,P5))</f>
        <v>0</v>
      </c>
      <c r="Q9" s="305">
        <f>IF('Summary Schedule'!$C$4="Direct-Funded","",SUM(Q8,Q5))</f>
        <v>0</v>
      </c>
      <c r="R9" s="305">
        <f>IF('Summary Schedule'!$C$4="Direct-Funded","",SUM(R8,R5))</f>
        <v>0</v>
      </c>
      <c r="S9" s="305">
        <f>IF('Summary Schedule'!$C$4="Direct-Funded","",SUM(S8,S5))</f>
        <v>0</v>
      </c>
      <c r="T9" s="305">
        <f>IF('Summary Schedule'!$C$4="Direct-Funded","",SUM(T8,T5))</f>
        <v>0</v>
      </c>
      <c r="U9" s="305">
        <f>IF('Summary Schedule'!$C$4="Direct-Funded","",SUM(U8,U5))</f>
        <v>0</v>
      </c>
      <c r="V9" s="305">
        <f>IF('Summary Schedule'!$C$4="Direct-Funded","",SUM(V8,V5))</f>
        <v>0</v>
      </c>
      <c r="W9" s="305">
        <f>IF('Summary Schedule'!$C$4="Direct-Funded","",SUM(W8,W5))</f>
        <v>0</v>
      </c>
      <c r="X9" s="305">
        <f>IF('Summary Schedule'!$C$4="Direct-Funded","",SUM(X8,X5))</f>
        <v>0</v>
      </c>
      <c r="Y9" s="305">
        <f>IF('Summary Schedule'!$C$4="Direct-Funded","",SUM(Y8,Y5))</f>
        <v>0</v>
      </c>
      <c r="Z9" s="305">
        <f>IF('Summary Schedule'!$C$4="Direct-Funded","",SUM(Z8,Z5))</f>
        <v>0</v>
      </c>
      <c r="AA9" s="305">
        <f>IF('Summary Schedule'!$C$4="Direct-Funded","",SUM(AA8,AA5))</f>
        <v>0</v>
      </c>
      <c r="AB9" s="305">
        <f>IF('Summary Schedule'!$C$4="Direct-Funded","",SUM(AB8,AB5))</f>
        <v>0</v>
      </c>
      <c r="AC9" s="305">
        <f>IF('Summary Schedule'!$C$4="Direct-Funded","",SUM(AC8,AC5))</f>
        <v>0</v>
      </c>
      <c r="AD9" s="305">
        <f>IF('Summary Schedule'!$C$4="Direct-Funded","",SUM(AD8,AD5))</f>
        <v>0</v>
      </c>
      <c r="AE9" s="305">
        <f>IF('Summary Schedule'!$C$4="Direct-Funded","",SUM(AE8,AE5))</f>
        <v>0</v>
      </c>
      <c r="AF9" s="305">
        <f>IF('Summary Schedule'!$C$4="Direct-Funded","",SUM(AF8,AF5))</f>
        <v>0</v>
      </c>
      <c r="AG9" s="305">
        <f>IF('Summary Schedule'!$C$4="Direct-Funded","",SUM(AG8,AG5))</f>
        <v>0</v>
      </c>
      <c r="AH9" s="305">
        <f>IF('Summary Schedule'!$C$4="Direct-Funded","",SUM(AH8,AH5))</f>
        <v>0</v>
      </c>
      <c r="AI9" s="305">
        <f>IF('Summary Schedule'!$C$4="Direct-Funded","",SUM(AI8,AI5))</f>
        <v>0</v>
      </c>
      <c r="AJ9" s="305">
        <f>IF('Summary Schedule'!$C$4="Direct-Funded","",SUM(AJ8,AJ5))</f>
        <v>0</v>
      </c>
      <c r="AK9" s="305">
        <f>IF('Summary Schedule'!$C$4="Direct-Funded","",SUM(AK8,AK5))</f>
        <v>0</v>
      </c>
      <c r="AL9" s="305">
        <f>IF('Summary Schedule'!$C$4="Direct-Funded","",SUM(AL8,AL5))</f>
        <v>0</v>
      </c>
      <c r="AM9" s="305">
        <f>IF('Summary Schedule'!$C$4="Direct-Funded","",SUM(AM8,AM5))</f>
        <v>0</v>
      </c>
      <c r="AN9" s="305">
        <f>IF('Summary Schedule'!$C$4="Direct-Funded","",SUM(AN8,AN5))</f>
        <v>0</v>
      </c>
      <c r="AO9" s="305">
        <f>IF('Summary Schedule'!$C$4="Direct-Funded","",SUM(AO8,AO5))</f>
        <v>0</v>
      </c>
      <c r="AP9" s="305">
        <f>IF('Summary Schedule'!$C$4="Direct-Funded","",SUM(AP8,AP5))</f>
        <v>0</v>
      </c>
      <c r="AQ9" s="305">
        <f>IF('Summary Schedule'!$C$4="Direct-Funded","",SUM(AQ8,AQ5))</f>
        <v>0</v>
      </c>
      <c r="AR9" s="306">
        <f>IF('Summary Schedule'!$C$4="Direct-Funded","",SUM(AR8,AR5))</f>
        <v>0</v>
      </c>
    </row>
    <row r="10" spans="1:44" ht="16.5" thickBot="1">
      <c r="A10" s="573"/>
      <c r="B10" s="574"/>
      <c r="C10" s="574"/>
      <c r="D10" s="574"/>
      <c r="E10" s="73"/>
      <c r="F10" s="73"/>
      <c r="G10" s="73"/>
      <c r="H10" s="73"/>
      <c r="I10" s="73"/>
      <c r="J10" s="73"/>
      <c r="K10" s="73"/>
      <c r="L10" s="73"/>
      <c r="M10" s="73"/>
      <c r="N10" s="73"/>
      <c r="O10" s="73"/>
      <c r="P10" s="73"/>
      <c r="Q10" s="73"/>
      <c r="R10" s="73"/>
      <c r="S10" s="73"/>
      <c r="T10" s="73"/>
      <c r="U10" s="73"/>
      <c r="V10" s="73"/>
      <c r="W10" s="73"/>
      <c r="X10" s="73"/>
      <c r="Y10" s="73"/>
      <c r="Z10" s="73"/>
      <c r="AA10" s="73"/>
      <c r="AB10" s="73"/>
      <c r="AC10" s="73"/>
      <c r="AD10" s="73"/>
      <c r="AE10" s="73"/>
      <c r="AF10" s="73"/>
      <c r="AG10" s="73"/>
      <c r="AH10" s="73"/>
      <c r="AI10" s="73"/>
      <c r="AJ10" s="73"/>
      <c r="AK10" s="73"/>
      <c r="AL10" s="73"/>
      <c r="AM10" s="73"/>
      <c r="AN10" s="73"/>
      <c r="AO10" s="73"/>
      <c r="AP10" s="73"/>
      <c r="AQ10" s="73"/>
      <c r="AR10" s="73"/>
    </row>
    <row r="11" spans="1:44" ht="30.75" customHeight="1" thickBot="1">
      <c r="A11" s="571" t="s">
        <v>24</v>
      </c>
      <c r="B11" s="20" t="s">
        <v>11</v>
      </c>
      <c r="C11" s="67"/>
      <c r="D11" s="133"/>
      <c r="E11" s="133"/>
      <c r="F11" s="133"/>
      <c r="G11" s="133"/>
      <c r="H11" s="133"/>
      <c r="I11" s="133"/>
      <c r="J11" s="133"/>
      <c r="K11" s="133"/>
      <c r="L11" s="133"/>
      <c r="M11" s="133"/>
      <c r="N11" s="133"/>
      <c r="O11" s="133"/>
      <c r="P11" s="133"/>
      <c r="Q11" s="133"/>
      <c r="R11" s="133"/>
      <c r="S11" s="133"/>
      <c r="T11" s="133"/>
      <c r="U11" s="133"/>
      <c r="V11" s="133"/>
      <c r="W11" s="133"/>
      <c r="X11" s="133"/>
      <c r="Y11" s="133"/>
      <c r="Z11" s="133"/>
      <c r="AA11" s="133"/>
      <c r="AB11" s="133"/>
      <c r="AC11" s="133"/>
      <c r="AD11" s="133"/>
      <c r="AE11" s="133"/>
      <c r="AF11" s="133"/>
      <c r="AG11" s="133"/>
      <c r="AH11" s="133"/>
      <c r="AI11" s="133"/>
      <c r="AJ11" s="133"/>
      <c r="AK11" s="133"/>
      <c r="AL11" s="133"/>
      <c r="AM11" s="133"/>
      <c r="AN11" s="133"/>
      <c r="AO11" s="133"/>
      <c r="AP11" s="133"/>
      <c r="AQ11" s="133"/>
      <c r="AR11" s="299">
        <f>SUM(D11:AQ11)</f>
        <v>0</v>
      </c>
    </row>
    <row r="12" spans="1:44" ht="16.5" thickBot="1">
      <c r="A12" s="571"/>
      <c r="B12" s="20" t="s">
        <v>41</v>
      </c>
      <c r="C12" s="67"/>
      <c r="D12" s="133"/>
      <c r="E12" s="133"/>
      <c r="F12" s="133"/>
      <c r="G12" s="133"/>
      <c r="H12" s="133"/>
      <c r="I12" s="133"/>
      <c r="J12" s="133"/>
      <c r="K12" s="133"/>
      <c r="L12" s="133"/>
      <c r="M12" s="133"/>
      <c r="N12" s="133"/>
      <c r="O12" s="133"/>
      <c r="P12" s="133"/>
      <c r="Q12" s="133"/>
      <c r="R12" s="133"/>
      <c r="S12" s="133"/>
      <c r="T12" s="133"/>
      <c r="U12" s="133"/>
      <c r="V12" s="133"/>
      <c r="W12" s="133"/>
      <c r="X12" s="133"/>
      <c r="Y12" s="133"/>
      <c r="Z12" s="133"/>
      <c r="AA12" s="133"/>
      <c r="AB12" s="133"/>
      <c r="AC12" s="133"/>
      <c r="AD12" s="133"/>
      <c r="AE12" s="133"/>
      <c r="AF12" s="133"/>
      <c r="AG12" s="133"/>
      <c r="AH12" s="133"/>
      <c r="AI12" s="133"/>
      <c r="AJ12" s="133"/>
      <c r="AK12" s="133"/>
      <c r="AL12" s="133"/>
      <c r="AM12" s="133"/>
      <c r="AN12" s="133"/>
      <c r="AO12" s="133"/>
      <c r="AP12" s="133"/>
      <c r="AQ12" s="133"/>
      <c r="AR12" s="299">
        <f t="shared" ref="AR12:AR18" si="0">SUM(D12:AQ12)</f>
        <v>0</v>
      </c>
    </row>
    <row r="13" spans="1:44" ht="16.5" thickBot="1">
      <c r="A13" s="571"/>
      <c r="B13" s="20" t="s">
        <v>12</v>
      </c>
      <c r="C13" s="67"/>
      <c r="D13" s="133"/>
      <c r="E13" s="133"/>
      <c r="F13" s="133"/>
      <c r="G13" s="133"/>
      <c r="H13" s="133"/>
      <c r="I13" s="133"/>
      <c r="J13" s="133"/>
      <c r="K13" s="133"/>
      <c r="L13" s="133"/>
      <c r="M13" s="133"/>
      <c r="N13" s="133"/>
      <c r="O13" s="133"/>
      <c r="P13" s="133"/>
      <c r="Q13" s="133"/>
      <c r="R13" s="133"/>
      <c r="S13" s="133"/>
      <c r="T13" s="133"/>
      <c r="U13" s="133"/>
      <c r="V13" s="133"/>
      <c r="W13" s="133"/>
      <c r="X13" s="133"/>
      <c r="Y13" s="133"/>
      <c r="Z13" s="133"/>
      <c r="AA13" s="133"/>
      <c r="AB13" s="133"/>
      <c r="AC13" s="133"/>
      <c r="AD13" s="133"/>
      <c r="AE13" s="133"/>
      <c r="AF13" s="133"/>
      <c r="AG13" s="133"/>
      <c r="AH13" s="133"/>
      <c r="AI13" s="133"/>
      <c r="AJ13" s="133"/>
      <c r="AK13" s="133"/>
      <c r="AL13" s="133"/>
      <c r="AM13" s="133"/>
      <c r="AN13" s="133"/>
      <c r="AO13" s="133"/>
      <c r="AP13" s="133"/>
      <c r="AQ13" s="133"/>
      <c r="AR13" s="299">
        <f t="shared" si="0"/>
        <v>0</v>
      </c>
    </row>
    <row r="14" spans="1:44" ht="16.5" thickBot="1">
      <c r="A14" s="571"/>
      <c r="B14" s="20" t="s">
        <v>13</v>
      </c>
      <c r="C14" s="67"/>
      <c r="D14" s="133"/>
      <c r="E14" s="133"/>
      <c r="F14" s="133"/>
      <c r="G14" s="133"/>
      <c r="H14" s="133"/>
      <c r="I14" s="133"/>
      <c r="J14" s="133"/>
      <c r="K14" s="133"/>
      <c r="L14" s="133"/>
      <c r="M14" s="133"/>
      <c r="N14" s="133"/>
      <c r="O14" s="133"/>
      <c r="P14" s="133"/>
      <c r="Q14" s="133"/>
      <c r="R14" s="133"/>
      <c r="S14" s="133"/>
      <c r="T14" s="133"/>
      <c r="U14" s="133"/>
      <c r="V14" s="133"/>
      <c r="W14" s="133"/>
      <c r="X14" s="133"/>
      <c r="Y14" s="133"/>
      <c r="Z14" s="133"/>
      <c r="AA14" s="133"/>
      <c r="AB14" s="133"/>
      <c r="AC14" s="133"/>
      <c r="AD14" s="133"/>
      <c r="AE14" s="133"/>
      <c r="AF14" s="133"/>
      <c r="AG14" s="133"/>
      <c r="AH14" s="133"/>
      <c r="AI14" s="133"/>
      <c r="AJ14" s="133"/>
      <c r="AK14" s="133"/>
      <c r="AL14" s="133"/>
      <c r="AM14" s="133"/>
      <c r="AN14" s="133"/>
      <c r="AO14" s="133"/>
      <c r="AP14" s="133"/>
      <c r="AQ14" s="133"/>
      <c r="AR14" s="299">
        <f t="shared" si="0"/>
        <v>0</v>
      </c>
    </row>
    <row r="15" spans="1:44" ht="16.5" thickBot="1">
      <c r="A15" s="571"/>
      <c r="B15" s="294" t="str">
        <f>IF('Summary Schedule'!C4="UESC", "Performance Assurance", "Measurement and Verification")</f>
        <v>Measurement and Verification</v>
      </c>
      <c r="C15" s="67"/>
      <c r="D15" s="133"/>
      <c r="E15" s="133"/>
      <c r="F15" s="133"/>
      <c r="G15" s="133"/>
      <c r="H15" s="133"/>
      <c r="I15" s="133"/>
      <c r="J15" s="133"/>
      <c r="K15" s="133"/>
      <c r="L15" s="133"/>
      <c r="M15" s="133"/>
      <c r="N15" s="133"/>
      <c r="O15" s="133"/>
      <c r="P15" s="133"/>
      <c r="Q15" s="133"/>
      <c r="R15" s="133"/>
      <c r="S15" s="133"/>
      <c r="T15" s="133"/>
      <c r="U15" s="133"/>
      <c r="V15" s="133"/>
      <c r="W15" s="133"/>
      <c r="X15" s="133"/>
      <c r="Y15" s="133"/>
      <c r="Z15" s="133"/>
      <c r="AA15" s="133"/>
      <c r="AB15" s="133"/>
      <c r="AC15" s="133"/>
      <c r="AD15" s="133"/>
      <c r="AE15" s="133"/>
      <c r="AF15" s="133"/>
      <c r="AG15" s="133"/>
      <c r="AH15" s="133"/>
      <c r="AI15" s="133"/>
      <c r="AJ15" s="133"/>
      <c r="AK15" s="133"/>
      <c r="AL15" s="133"/>
      <c r="AM15" s="133"/>
      <c r="AN15" s="133"/>
      <c r="AO15" s="133"/>
      <c r="AP15" s="133"/>
      <c r="AQ15" s="133"/>
      <c r="AR15" s="299">
        <f t="shared" si="0"/>
        <v>0</v>
      </c>
    </row>
    <row r="16" spans="1:44" ht="16.5" thickBot="1">
      <c r="A16" s="571"/>
      <c r="B16" s="307" t="s">
        <v>228</v>
      </c>
      <c r="C16" s="67"/>
      <c r="D16" s="133"/>
      <c r="E16" s="133"/>
      <c r="F16" s="133"/>
      <c r="G16" s="133"/>
      <c r="H16" s="133"/>
      <c r="I16" s="133"/>
      <c r="J16" s="133"/>
      <c r="K16" s="133"/>
      <c r="L16" s="133"/>
      <c r="M16" s="133"/>
      <c r="N16" s="133"/>
      <c r="O16" s="133"/>
      <c r="P16" s="133"/>
      <c r="Q16" s="133"/>
      <c r="R16" s="133"/>
      <c r="S16" s="133"/>
      <c r="T16" s="133"/>
      <c r="U16" s="133"/>
      <c r="V16" s="133"/>
      <c r="W16" s="133"/>
      <c r="X16" s="133"/>
      <c r="Y16" s="133"/>
      <c r="Z16" s="133"/>
      <c r="AA16" s="133"/>
      <c r="AB16" s="133"/>
      <c r="AC16" s="133"/>
      <c r="AD16" s="133"/>
      <c r="AE16" s="133"/>
      <c r="AF16" s="133"/>
      <c r="AG16" s="133"/>
      <c r="AH16" s="133"/>
      <c r="AI16" s="133"/>
      <c r="AJ16" s="133"/>
      <c r="AK16" s="133"/>
      <c r="AL16" s="133"/>
      <c r="AM16" s="133"/>
      <c r="AN16" s="133"/>
      <c r="AO16" s="133"/>
      <c r="AP16" s="133"/>
      <c r="AQ16" s="133"/>
      <c r="AR16" s="299">
        <f t="shared" si="0"/>
        <v>0</v>
      </c>
    </row>
    <row r="17" spans="1:44" ht="16.5" thickBot="1">
      <c r="A17" s="571"/>
      <c r="B17" s="307" t="s">
        <v>229</v>
      </c>
      <c r="C17" s="67"/>
      <c r="D17" s="133"/>
      <c r="E17" s="133"/>
      <c r="F17" s="133"/>
      <c r="G17" s="133"/>
      <c r="H17" s="133"/>
      <c r="I17" s="133"/>
      <c r="J17" s="133"/>
      <c r="K17" s="133"/>
      <c r="L17" s="133"/>
      <c r="M17" s="133"/>
      <c r="N17" s="133"/>
      <c r="O17" s="133"/>
      <c r="P17" s="133"/>
      <c r="Q17" s="133"/>
      <c r="R17" s="133"/>
      <c r="S17" s="133"/>
      <c r="T17" s="133"/>
      <c r="U17" s="133"/>
      <c r="V17" s="133"/>
      <c r="W17" s="133"/>
      <c r="X17" s="133"/>
      <c r="Y17" s="133"/>
      <c r="Z17" s="133"/>
      <c r="AA17" s="133"/>
      <c r="AB17" s="133"/>
      <c r="AC17" s="133"/>
      <c r="AD17" s="133"/>
      <c r="AE17" s="133"/>
      <c r="AF17" s="133"/>
      <c r="AG17" s="133"/>
      <c r="AH17" s="133"/>
      <c r="AI17" s="133"/>
      <c r="AJ17" s="133"/>
      <c r="AK17" s="133"/>
      <c r="AL17" s="133"/>
      <c r="AM17" s="133"/>
      <c r="AN17" s="133"/>
      <c r="AO17" s="133"/>
      <c r="AP17" s="133"/>
      <c r="AQ17" s="133"/>
      <c r="AR17" s="299">
        <f t="shared" si="0"/>
        <v>0</v>
      </c>
    </row>
    <row r="18" spans="1:44" ht="27.5" thickBot="1">
      <c r="A18" s="571"/>
      <c r="B18" s="308" t="str">
        <f>IF('Summary Schedule'!C4="UESC","SUBTOTAL Before Application of Mark-up",IF('Summary Schedule'!C4="Direct-Funded","","SUBTOTAL Before Application of Performance Period Delivery Percentage"))</f>
        <v>SUBTOTAL Before Application of Performance Period Delivery Percentage</v>
      </c>
      <c r="C18" s="67"/>
      <c r="D18" s="133">
        <f>SUM(D11:D17)</f>
        <v>0</v>
      </c>
      <c r="E18" s="133">
        <f t="shared" ref="E18:AB18" si="1">SUM(E11:E17)</f>
        <v>0</v>
      </c>
      <c r="F18" s="133">
        <f t="shared" si="1"/>
        <v>0</v>
      </c>
      <c r="G18" s="133">
        <f t="shared" si="1"/>
        <v>0</v>
      </c>
      <c r="H18" s="133">
        <f t="shared" si="1"/>
        <v>0</v>
      </c>
      <c r="I18" s="133">
        <f t="shared" si="1"/>
        <v>0</v>
      </c>
      <c r="J18" s="133">
        <f t="shared" si="1"/>
        <v>0</v>
      </c>
      <c r="K18" s="133">
        <f t="shared" si="1"/>
        <v>0</v>
      </c>
      <c r="L18" s="133">
        <f t="shared" si="1"/>
        <v>0</v>
      </c>
      <c r="M18" s="133">
        <f t="shared" si="1"/>
        <v>0</v>
      </c>
      <c r="N18" s="133">
        <f t="shared" si="1"/>
        <v>0</v>
      </c>
      <c r="O18" s="133">
        <f t="shared" si="1"/>
        <v>0</v>
      </c>
      <c r="P18" s="133">
        <f t="shared" si="1"/>
        <v>0</v>
      </c>
      <c r="Q18" s="133">
        <f t="shared" si="1"/>
        <v>0</v>
      </c>
      <c r="R18" s="133">
        <f t="shared" si="1"/>
        <v>0</v>
      </c>
      <c r="S18" s="133">
        <f t="shared" si="1"/>
        <v>0</v>
      </c>
      <c r="T18" s="133">
        <f t="shared" si="1"/>
        <v>0</v>
      </c>
      <c r="U18" s="133">
        <f t="shared" si="1"/>
        <v>0</v>
      </c>
      <c r="V18" s="133">
        <f t="shared" si="1"/>
        <v>0</v>
      </c>
      <c r="W18" s="133">
        <f t="shared" si="1"/>
        <v>0</v>
      </c>
      <c r="X18" s="133">
        <f t="shared" si="1"/>
        <v>0</v>
      </c>
      <c r="Y18" s="133">
        <f t="shared" si="1"/>
        <v>0</v>
      </c>
      <c r="Z18" s="133">
        <f t="shared" si="1"/>
        <v>0</v>
      </c>
      <c r="AA18" s="133">
        <f t="shared" si="1"/>
        <v>0</v>
      </c>
      <c r="AB18" s="133">
        <f t="shared" si="1"/>
        <v>0</v>
      </c>
      <c r="AC18" s="133">
        <f t="shared" ref="AC18:AQ18" si="2">SUM(AC11:AC17)</f>
        <v>0</v>
      </c>
      <c r="AD18" s="133">
        <f t="shared" si="2"/>
        <v>0</v>
      </c>
      <c r="AE18" s="133">
        <f t="shared" si="2"/>
        <v>0</v>
      </c>
      <c r="AF18" s="133">
        <f t="shared" si="2"/>
        <v>0</v>
      </c>
      <c r="AG18" s="133">
        <f t="shared" si="2"/>
        <v>0</v>
      </c>
      <c r="AH18" s="133">
        <f t="shared" si="2"/>
        <v>0</v>
      </c>
      <c r="AI18" s="133">
        <f t="shared" si="2"/>
        <v>0</v>
      </c>
      <c r="AJ18" s="133">
        <f t="shared" si="2"/>
        <v>0</v>
      </c>
      <c r="AK18" s="133">
        <f t="shared" si="2"/>
        <v>0</v>
      </c>
      <c r="AL18" s="133">
        <f t="shared" si="2"/>
        <v>0</v>
      </c>
      <c r="AM18" s="133">
        <f t="shared" si="2"/>
        <v>0</v>
      </c>
      <c r="AN18" s="133">
        <f t="shared" si="2"/>
        <v>0</v>
      </c>
      <c r="AO18" s="133">
        <f t="shared" si="2"/>
        <v>0</v>
      </c>
      <c r="AP18" s="133">
        <f t="shared" si="2"/>
        <v>0</v>
      </c>
      <c r="AQ18" s="133">
        <f t="shared" si="2"/>
        <v>0</v>
      </c>
      <c r="AR18" s="299">
        <f t="shared" si="0"/>
        <v>0</v>
      </c>
    </row>
    <row r="19" spans="1:44" ht="27.5" thickBot="1">
      <c r="A19" s="571"/>
      <c r="B19" s="294" t="str">
        <f>IF('Summary Schedule'!C4="UESC", "Mark-up (Overhead &amp; Profit %)", IF('Summary Schedule'!C4="Direct-Funded","","Performance Period Delivery Percentage (%)"))</f>
        <v>Performance Period Delivery Percentage (%)</v>
      </c>
      <c r="C19" s="67"/>
      <c r="D19" s="128">
        <v>0</v>
      </c>
      <c r="E19" s="128">
        <v>0</v>
      </c>
      <c r="F19" s="128">
        <v>0</v>
      </c>
      <c r="G19" s="128">
        <v>0</v>
      </c>
      <c r="H19" s="128">
        <v>0</v>
      </c>
      <c r="I19" s="128">
        <v>0</v>
      </c>
      <c r="J19" s="128">
        <v>0</v>
      </c>
      <c r="K19" s="128">
        <v>0</v>
      </c>
      <c r="L19" s="128">
        <v>0</v>
      </c>
      <c r="M19" s="128">
        <v>0</v>
      </c>
      <c r="N19" s="128">
        <v>0</v>
      </c>
      <c r="O19" s="128">
        <v>0</v>
      </c>
      <c r="P19" s="128">
        <v>0</v>
      </c>
      <c r="Q19" s="128">
        <v>0</v>
      </c>
      <c r="R19" s="128">
        <v>0</v>
      </c>
      <c r="S19" s="128">
        <v>0</v>
      </c>
      <c r="T19" s="128">
        <v>0</v>
      </c>
      <c r="U19" s="128">
        <v>0</v>
      </c>
      <c r="V19" s="128">
        <v>0</v>
      </c>
      <c r="W19" s="128">
        <v>0</v>
      </c>
      <c r="X19" s="128">
        <v>0</v>
      </c>
      <c r="Y19" s="128">
        <v>0</v>
      </c>
      <c r="Z19" s="128">
        <v>0</v>
      </c>
      <c r="AA19" s="128">
        <v>0</v>
      </c>
      <c r="AB19" s="128">
        <v>0</v>
      </c>
      <c r="AC19" s="128">
        <v>0</v>
      </c>
      <c r="AD19" s="128">
        <v>0</v>
      </c>
      <c r="AE19" s="128">
        <v>0</v>
      </c>
      <c r="AF19" s="128">
        <v>0</v>
      </c>
      <c r="AG19" s="128">
        <v>0</v>
      </c>
      <c r="AH19" s="128">
        <v>0</v>
      </c>
      <c r="AI19" s="128">
        <v>0</v>
      </c>
      <c r="AJ19" s="128">
        <v>0</v>
      </c>
      <c r="AK19" s="128">
        <v>0</v>
      </c>
      <c r="AL19" s="128">
        <v>0</v>
      </c>
      <c r="AM19" s="128">
        <v>0</v>
      </c>
      <c r="AN19" s="128">
        <v>0</v>
      </c>
      <c r="AO19" s="128">
        <v>0</v>
      </c>
      <c r="AP19" s="128">
        <v>0</v>
      </c>
      <c r="AQ19" s="128">
        <v>0</v>
      </c>
      <c r="AR19" s="309">
        <f>IF('Summary Schedule'!$C$4="Direct-Funded","", AVERAGE(D19:AQ19))</f>
        <v>0</v>
      </c>
    </row>
    <row r="20" spans="1:44" ht="16.5" thickBot="1">
      <c r="A20" s="571"/>
      <c r="B20" s="21" t="str">
        <f>IF('Summary Schedule'!C4="UESC", "Mark-up (Overhead &amp; Profit-$)", IF('Summary Schedule'!C4="Direct-Funded","","Performance Period Delivery Charge ($)"))</f>
        <v>Performance Period Delivery Charge ($)</v>
      </c>
      <c r="C20" s="67"/>
      <c r="D20" s="133">
        <f>D18*D19</f>
        <v>0</v>
      </c>
      <c r="E20" s="133">
        <f t="shared" ref="E20:AB20" si="3">E18*E19</f>
        <v>0</v>
      </c>
      <c r="F20" s="133">
        <f t="shared" si="3"/>
        <v>0</v>
      </c>
      <c r="G20" s="133">
        <f t="shared" si="3"/>
        <v>0</v>
      </c>
      <c r="H20" s="133">
        <f t="shared" si="3"/>
        <v>0</v>
      </c>
      <c r="I20" s="133">
        <f t="shared" si="3"/>
        <v>0</v>
      </c>
      <c r="J20" s="133">
        <f t="shared" si="3"/>
        <v>0</v>
      </c>
      <c r="K20" s="133">
        <f t="shared" si="3"/>
        <v>0</v>
      </c>
      <c r="L20" s="133">
        <f t="shared" si="3"/>
        <v>0</v>
      </c>
      <c r="M20" s="133">
        <f t="shared" si="3"/>
        <v>0</v>
      </c>
      <c r="N20" s="133">
        <f t="shared" si="3"/>
        <v>0</v>
      </c>
      <c r="O20" s="133">
        <f t="shared" si="3"/>
        <v>0</v>
      </c>
      <c r="P20" s="133">
        <f t="shared" si="3"/>
        <v>0</v>
      </c>
      <c r="Q20" s="133">
        <f t="shared" si="3"/>
        <v>0</v>
      </c>
      <c r="R20" s="133">
        <f t="shared" si="3"/>
        <v>0</v>
      </c>
      <c r="S20" s="133">
        <f t="shared" si="3"/>
        <v>0</v>
      </c>
      <c r="T20" s="133">
        <f t="shared" si="3"/>
        <v>0</v>
      </c>
      <c r="U20" s="133">
        <f t="shared" si="3"/>
        <v>0</v>
      </c>
      <c r="V20" s="133">
        <f t="shared" si="3"/>
        <v>0</v>
      </c>
      <c r="W20" s="133">
        <f t="shared" si="3"/>
        <v>0</v>
      </c>
      <c r="X20" s="133">
        <f t="shared" si="3"/>
        <v>0</v>
      </c>
      <c r="Y20" s="133">
        <f t="shared" si="3"/>
        <v>0</v>
      </c>
      <c r="Z20" s="133">
        <f t="shared" si="3"/>
        <v>0</v>
      </c>
      <c r="AA20" s="133">
        <f t="shared" si="3"/>
        <v>0</v>
      </c>
      <c r="AB20" s="133">
        <f t="shared" si="3"/>
        <v>0</v>
      </c>
      <c r="AC20" s="133">
        <f t="shared" ref="AC20:AQ20" si="4">AC18*AC19</f>
        <v>0</v>
      </c>
      <c r="AD20" s="133">
        <f t="shared" si="4"/>
        <v>0</v>
      </c>
      <c r="AE20" s="133">
        <f t="shared" si="4"/>
        <v>0</v>
      </c>
      <c r="AF20" s="133">
        <f t="shared" si="4"/>
        <v>0</v>
      </c>
      <c r="AG20" s="133">
        <f t="shared" si="4"/>
        <v>0</v>
      </c>
      <c r="AH20" s="133">
        <f t="shared" si="4"/>
        <v>0</v>
      </c>
      <c r="AI20" s="133">
        <f t="shared" si="4"/>
        <v>0</v>
      </c>
      <c r="AJ20" s="133">
        <f t="shared" si="4"/>
        <v>0</v>
      </c>
      <c r="AK20" s="133">
        <f t="shared" si="4"/>
        <v>0</v>
      </c>
      <c r="AL20" s="133">
        <f t="shared" si="4"/>
        <v>0</v>
      </c>
      <c r="AM20" s="133">
        <f t="shared" si="4"/>
        <v>0</v>
      </c>
      <c r="AN20" s="133">
        <f t="shared" si="4"/>
        <v>0</v>
      </c>
      <c r="AO20" s="133">
        <f t="shared" si="4"/>
        <v>0</v>
      </c>
      <c r="AP20" s="133">
        <f t="shared" si="4"/>
        <v>0</v>
      </c>
      <c r="AQ20" s="133">
        <f t="shared" si="4"/>
        <v>0</v>
      </c>
      <c r="AR20" s="299">
        <f>IF('Summary Schedule'!$C$4="Direct-Funded","", SUM(D20:AQ20))</f>
        <v>0</v>
      </c>
    </row>
    <row r="21" spans="1:44" ht="16.5" thickBot="1">
      <c r="A21" s="575"/>
      <c r="B21" s="21" t="s">
        <v>221</v>
      </c>
      <c r="C21" s="67"/>
      <c r="D21" s="135">
        <f>IF('Summary Schedule'!$C$4="Direct-Funded",SUM('Sch3-Perf Period Cash Flow'!D11:D17), ROUND(D18+D20,0))</f>
        <v>0</v>
      </c>
      <c r="E21" s="135">
        <f>IF('Summary Schedule'!$C$4="Direct-Funded",SUM('Sch3-Perf Period Cash Flow'!E11:E17), ROUND(E18+E20,0))</f>
        <v>0</v>
      </c>
      <c r="F21" s="135">
        <f>IF('Summary Schedule'!$C$4="Direct-Funded",SUM('Sch3-Perf Period Cash Flow'!F11:F17), ROUND(F18+F20,0))</f>
        <v>0</v>
      </c>
      <c r="G21" s="135">
        <f>IF('Summary Schedule'!$C$4="Direct-Funded",SUM('Sch3-Perf Period Cash Flow'!G11:G17), ROUND(G18+G20,0))</f>
        <v>0</v>
      </c>
      <c r="H21" s="135">
        <f>IF('Summary Schedule'!$C$4="Direct-Funded",SUM('Sch3-Perf Period Cash Flow'!H11:H17), ROUND(H18+H20,0))</f>
        <v>0</v>
      </c>
      <c r="I21" s="135">
        <f>IF('Summary Schedule'!$C$4="Direct-Funded",SUM('Sch3-Perf Period Cash Flow'!I11:I17), ROUND(I18+I20,0))</f>
        <v>0</v>
      </c>
      <c r="J21" s="135">
        <f>IF('Summary Schedule'!$C$4="Direct-Funded",SUM('Sch3-Perf Period Cash Flow'!J11:J17), ROUND(J18+J20,0))</f>
        <v>0</v>
      </c>
      <c r="K21" s="135">
        <f>IF('Summary Schedule'!$C$4="Direct-Funded",SUM('Sch3-Perf Period Cash Flow'!K11:K17), ROUND(K18+K20,0))</f>
        <v>0</v>
      </c>
      <c r="L21" s="135">
        <f>IF('Summary Schedule'!$C$4="Direct-Funded",SUM('Sch3-Perf Period Cash Flow'!L11:L17), ROUND(L18+L20,0))</f>
        <v>0</v>
      </c>
      <c r="M21" s="135">
        <f>IF('Summary Schedule'!$C$4="Direct-Funded",SUM('Sch3-Perf Period Cash Flow'!M11:M17), ROUND(M18+M20,0))</f>
        <v>0</v>
      </c>
      <c r="N21" s="135">
        <f>IF('Summary Schedule'!$C$4="Direct-Funded",SUM('Sch3-Perf Period Cash Flow'!N11:N17), ROUND(N18+N20,0))</f>
        <v>0</v>
      </c>
      <c r="O21" s="135">
        <f>IF('Summary Schedule'!$C$4="Direct-Funded",SUM('Sch3-Perf Period Cash Flow'!O11:O17), ROUND(O18+O20,0))</f>
        <v>0</v>
      </c>
      <c r="P21" s="135">
        <f>IF('Summary Schedule'!$C$4="Direct-Funded",SUM('Sch3-Perf Period Cash Flow'!P11:P17), ROUND(P18+P20,0))</f>
        <v>0</v>
      </c>
      <c r="Q21" s="135">
        <f>IF('Summary Schedule'!$C$4="Direct-Funded",SUM('Sch3-Perf Period Cash Flow'!Q11:Q17), ROUND(Q18+Q20,0))</f>
        <v>0</v>
      </c>
      <c r="R21" s="135">
        <f>IF('Summary Schedule'!$C$4="Direct-Funded",SUM('Sch3-Perf Period Cash Flow'!R11:R17), ROUND(R18+R20,0))</f>
        <v>0</v>
      </c>
      <c r="S21" s="135">
        <f>IF('Summary Schedule'!$C$4="Direct-Funded",SUM('Sch3-Perf Period Cash Flow'!S11:S17), ROUND(S18+S20,0))</f>
        <v>0</v>
      </c>
      <c r="T21" s="135">
        <f>IF('Summary Schedule'!$C$4="Direct-Funded",SUM('Sch3-Perf Period Cash Flow'!T11:T17), ROUND(T18+T20,0))</f>
        <v>0</v>
      </c>
      <c r="U21" s="135">
        <f>IF('Summary Schedule'!$C$4="Direct-Funded",SUM('Sch3-Perf Period Cash Flow'!U11:U17), ROUND(U18+U20,0))</f>
        <v>0</v>
      </c>
      <c r="V21" s="135">
        <f>IF('Summary Schedule'!$C$4="Direct-Funded",SUM('Sch3-Perf Period Cash Flow'!V11:V17), ROUND(V18+V20,0))</f>
        <v>0</v>
      </c>
      <c r="W21" s="135">
        <f>IF('Summary Schedule'!$C$4="Direct-Funded",SUM('Sch3-Perf Period Cash Flow'!W11:W17), ROUND(W18+W20,0))</f>
        <v>0</v>
      </c>
      <c r="X21" s="135">
        <f>IF('Summary Schedule'!$C$4="Direct-Funded",SUM('Sch3-Perf Period Cash Flow'!X11:X17), ROUND(X18+X20,0))</f>
        <v>0</v>
      </c>
      <c r="Y21" s="135">
        <f>IF('Summary Schedule'!$C$4="Direct-Funded",SUM('Sch3-Perf Period Cash Flow'!Y11:Y17), ROUND(Y18+Y20,0))</f>
        <v>0</v>
      </c>
      <c r="Z21" s="135">
        <f>IF('Summary Schedule'!$C$4="Direct-Funded",SUM('Sch3-Perf Period Cash Flow'!Z11:Z17), ROUND(Z18+Z20,0))</f>
        <v>0</v>
      </c>
      <c r="AA21" s="135">
        <f>IF('Summary Schedule'!$C$4="Direct-Funded",SUM('Sch3-Perf Period Cash Flow'!AA11:AA17), ROUND(AA18+AA20,0))</f>
        <v>0</v>
      </c>
      <c r="AB21" s="135">
        <f>IF('Summary Schedule'!$C$4="Direct-Funded",SUM('Sch3-Perf Period Cash Flow'!AB11:AB17), ROUND(AB18+AB20,0))</f>
        <v>0</v>
      </c>
      <c r="AC21" s="135">
        <f>IF('Summary Schedule'!$C$4="Direct-Funded",SUM('Sch3-Perf Period Cash Flow'!AC11:AC17), ROUND(AC18+AC20,0))</f>
        <v>0</v>
      </c>
      <c r="AD21" s="135">
        <f>IF('Summary Schedule'!$C$4="Direct-Funded",SUM('Sch3-Perf Period Cash Flow'!AD11:AD17), ROUND(AD18+AD20,0))</f>
        <v>0</v>
      </c>
      <c r="AE21" s="135">
        <f>IF('Summary Schedule'!$C$4="Direct-Funded",SUM('Sch3-Perf Period Cash Flow'!AE11:AE17), ROUND(AE18+AE20,0))</f>
        <v>0</v>
      </c>
      <c r="AF21" s="135">
        <f>IF('Summary Schedule'!$C$4="Direct-Funded",SUM('Sch3-Perf Period Cash Flow'!AF11:AF17), ROUND(AF18+AF20,0))</f>
        <v>0</v>
      </c>
      <c r="AG21" s="135">
        <f>IF('Summary Schedule'!$C$4="Direct-Funded",SUM('Sch3-Perf Period Cash Flow'!AG11:AG17), ROUND(AG18+AG20,0))</f>
        <v>0</v>
      </c>
      <c r="AH21" s="135">
        <f>IF('Summary Schedule'!$C$4="Direct-Funded",SUM('Sch3-Perf Period Cash Flow'!AH11:AH17), ROUND(AH18+AH20,0))</f>
        <v>0</v>
      </c>
      <c r="AI21" s="135">
        <f>IF('Summary Schedule'!$C$4="Direct-Funded",SUM('Sch3-Perf Period Cash Flow'!AI11:AI17), ROUND(AI18+AI20,0))</f>
        <v>0</v>
      </c>
      <c r="AJ21" s="135">
        <f>IF('Summary Schedule'!$C$4="Direct-Funded",SUM('Sch3-Perf Period Cash Flow'!AJ11:AJ17), ROUND(AJ18+AJ20,0))</f>
        <v>0</v>
      </c>
      <c r="AK21" s="135">
        <f>IF('Summary Schedule'!$C$4="Direct-Funded",SUM('Sch3-Perf Period Cash Flow'!AK11:AK17), ROUND(AK18+AK20,0))</f>
        <v>0</v>
      </c>
      <c r="AL21" s="135">
        <f>IF('Summary Schedule'!$C$4="Direct-Funded",SUM('Sch3-Perf Period Cash Flow'!AL11:AL17), ROUND(AL18+AL20,0))</f>
        <v>0</v>
      </c>
      <c r="AM21" s="135">
        <f>IF('Summary Schedule'!$C$4="Direct-Funded",SUM('Sch3-Perf Period Cash Flow'!AM11:AM17), ROUND(AM18+AM20,0))</f>
        <v>0</v>
      </c>
      <c r="AN21" s="135">
        <f>IF('Summary Schedule'!$C$4="Direct-Funded",SUM('Sch3-Perf Period Cash Flow'!AN11:AN17), ROUND(AN18+AN20,0))</f>
        <v>0</v>
      </c>
      <c r="AO21" s="135">
        <f>IF('Summary Schedule'!$C$4="Direct-Funded",SUM('Sch3-Perf Period Cash Flow'!AO11:AO17), ROUND(AO18+AO20,0))</f>
        <v>0</v>
      </c>
      <c r="AP21" s="135">
        <f>IF('Summary Schedule'!$C$4="Direct-Funded",SUM('Sch3-Perf Period Cash Flow'!AP11:AP17), ROUND(AP18+AP20,0))</f>
        <v>0</v>
      </c>
      <c r="AQ21" s="135">
        <f>IF('Summary Schedule'!$C$4="Direct-Funded",SUM('Sch3-Perf Period Cash Flow'!AQ11:AQ17), ROUND(AQ18+AQ20,0))</f>
        <v>0</v>
      </c>
      <c r="AR21" s="310">
        <f>SUM(D21:AQ21)</f>
        <v>0</v>
      </c>
    </row>
    <row r="22" spans="1:44" ht="16.5" thickBot="1">
      <c r="A22" s="390" t="str">
        <f>IF('Summary Schedule'!C4="ESA", "ESA Payments","")</f>
        <v/>
      </c>
      <c r="B22" s="22"/>
      <c r="C22" s="391" t="str">
        <f>IF('Summary Schedule'!C4="ESA", 'Sch1ee-Ann Cost Sav &amp; Pymts'!D6,"")</f>
        <v/>
      </c>
      <c r="D22" s="391" t="str">
        <f>IF('Summary Schedule'!C4="ESA",'Sch1ee-Ann Cost Sav &amp; Pymts'!E9,"")</f>
        <v/>
      </c>
      <c r="E22" s="391" t="str">
        <f>IF('Summary Schedule'!C4="ESA",'Sch1ee-Ann Cost Sav &amp; Pymts'!E10,"")</f>
        <v/>
      </c>
      <c r="F22" s="391" t="str">
        <f>IF('Summary Schedule'!C4="ESA",'Sch1ee-Ann Cost Sav &amp; Pymts'!E11,"")</f>
        <v/>
      </c>
      <c r="G22" s="391" t="str">
        <f>IF('Summary Schedule'!C4="ESA",'Sch1ee-Ann Cost Sav &amp; Pymts'!E12,"")</f>
        <v/>
      </c>
      <c r="H22" s="391" t="str">
        <f>IF('Summary Schedule'!C4="ESA",'Sch1ee-Ann Cost Sav &amp; Pymts'!E13,"")</f>
        <v/>
      </c>
      <c r="I22" s="391" t="str">
        <f>IF('Summary Schedule'!C4="ESA",'Sch1ee-Ann Cost Sav &amp; Pymts'!E14,"")</f>
        <v/>
      </c>
      <c r="J22" s="391" t="str">
        <f>IF('Summary Schedule'!C4="ESA",'Sch1ee-Ann Cost Sav &amp; Pymts'!E15,"")</f>
        <v/>
      </c>
      <c r="K22" s="391" t="str">
        <f>IF('Summary Schedule'!C4="ESA",'Sch1ee-Ann Cost Sav &amp; Pymts'!E16,"")</f>
        <v/>
      </c>
      <c r="L22" s="391" t="str">
        <f>IF('Summary Schedule'!C4="ESA",'Sch1ee-Ann Cost Sav &amp; Pymts'!E17,"")</f>
        <v/>
      </c>
      <c r="M22" s="391" t="str">
        <f>IF('Summary Schedule'!C4="ESA",'Sch1ee-Ann Cost Sav &amp; Pymts'!E18,"")</f>
        <v/>
      </c>
      <c r="N22" s="391" t="str">
        <f>IF('Summary Schedule'!C4="ESA",'Sch1ee-Ann Cost Sav &amp; Pymts'!E19,"")</f>
        <v/>
      </c>
      <c r="O22" s="391" t="str">
        <f>IF('Summary Schedule'!C4="ESA",'Sch1ee-Ann Cost Sav &amp; Pymts'!E20,"")</f>
        <v/>
      </c>
      <c r="P22" s="391" t="str">
        <f>IF('Summary Schedule'!C4="ESA",'Sch1ee-Ann Cost Sav &amp; Pymts'!E21,"")</f>
        <v/>
      </c>
      <c r="Q22" s="391" t="str">
        <f>IF('Summary Schedule'!C4="ESA",'Sch1ee-Ann Cost Sav &amp; Pymts'!E22,"")</f>
        <v/>
      </c>
      <c r="R22" s="391" t="str">
        <f>IF('Summary Schedule'!C4="ESA",'Sch1ee-Ann Cost Sav &amp; Pymts'!E23,"")</f>
        <v/>
      </c>
      <c r="S22" s="391" t="str">
        <f>IF('Summary Schedule'!C4="ESA",'Sch1ee-Ann Cost Sav &amp; Pymts'!E24,"")</f>
        <v/>
      </c>
      <c r="T22" s="391" t="str">
        <f>IF('Summary Schedule'!C4="ESA",'Sch1ee-Ann Cost Sav &amp; Pymts'!E25,"")</f>
        <v/>
      </c>
      <c r="U22" s="391" t="str">
        <f>IF('Summary Schedule'!C4="ESA", 'Sch1ee-Ann Cost Sav &amp; Pymts'!E26,"")</f>
        <v/>
      </c>
      <c r="V22" s="391" t="str">
        <f>IF('Summary Schedule'!C4="ESA",'Sch1ee-Ann Cost Sav &amp; Pymts'!E27,"")</f>
        <v/>
      </c>
      <c r="W22" s="391" t="str">
        <f>IF('Summary Schedule'!C4="ESA",'Sch1ee-Ann Cost Sav &amp; Pymts'!E28,"")</f>
        <v/>
      </c>
      <c r="X22" s="391" t="str">
        <f>IF('Summary Schedule'!C4="ESA",'Sch1ee-Ann Cost Sav &amp; Pymts'!E29,"")</f>
        <v/>
      </c>
      <c r="Y22" s="391" t="str">
        <f>IF('Summary Schedule'!C4="ESA",'Sch1ee-Ann Cost Sav &amp; Pymts'!E30,"")</f>
        <v/>
      </c>
      <c r="Z22" s="391" t="str">
        <f>IF('Summary Schedule'!C4="ESA",'Sch1ee-Ann Cost Sav &amp; Pymts'!E31,"")</f>
        <v/>
      </c>
      <c r="AA22" s="391" t="str">
        <f>IF('Summary Schedule'!C4="ESA",'Sch1ee-Ann Cost Sav &amp; Pymts'!E32,"")</f>
        <v/>
      </c>
      <c r="AB22" s="391" t="str">
        <f>IF('Summary Schedule'!C4="ESA",'Sch1ee-Ann Cost Sav &amp; Pymts'!E33,"")</f>
        <v/>
      </c>
      <c r="AC22" s="397"/>
      <c r="AD22" s="397"/>
      <c r="AE22" s="397"/>
      <c r="AF22" s="397"/>
      <c r="AG22" s="397"/>
      <c r="AH22" s="397"/>
      <c r="AI22" s="397"/>
      <c r="AJ22" s="397"/>
      <c r="AK22" s="397"/>
      <c r="AL22" s="397"/>
      <c r="AM22" s="397"/>
      <c r="AN22" s="397"/>
      <c r="AO22" s="397"/>
      <c r="AP22" s="397"/>
      <c r="AQ22" s="397"/>
      <c r="AR22" s="311"/>
    </row>
    <row r="23" spans="1:44" ht="65.25" customHeight="1" thickBot="1">
      <c r="A23" s="312" t="s">
        <v>25</v>
      </c>
      <c r="B23" s="313" t="str">
        <f>IF('Summary Schedule'!$C$4="Direct-Funded","ANNUAL CASH FLOW", "TOTAL - ANNUAL PAYMENTS (b)-(a)")</f>
        <v>TOTAL - ANNUAL PAYMENTS (b)-(a)</v>
      </c>
      <c r="C23" s="314"/>
      <c r="D23" s="315">
        <f>IF('Summary Schedule'!$C$4="Direct-Funded",D6-D21,IF(D5&gt;0,D21+D9,0))</f>
        <v>0</v>
      </c>
      <c r="E23" s="315">
        <f>IF('Summary Schedule'!$C$4="Direct-Funded",E6-E21,IF(E5&gt;0,E21+E9,0))</f>
        <v>0</v>
      </c>
      <c r="F23" s="315">
        <f>IF('Summary Schedule'!$C$4="Direct-Funded",F6-F21,IF(F5&gt;0,F21+F9,0))</f>
        <v>0</v>
      </c>
      <c r="G23" s="315">
        <f>IF('Summary Schedule'!$C$4="Direct-Funded",G6-G21,IF(G5&gt;0,G21+G9,0))</f>
        <v>0</v>
      </c>
      <c r="H23" s="315">
        <f>IF('Summary Schedule'!$C$4="Direct-Funded",H6-H21,IF(H5&gt;0,H21+H9,0))</f>
        <v>0</v>
      </c>
      <c r="I23" s="315">
        <f>IF('Summary Schedule'!$C$4="Direct-Funded",I6-I21,IF(I5&gt;0,I21+I9,0))</f>
        <v>0</v>
      </c>
      <c r="J23" s="315">
        <f>IF('Summary Schedule'!$C$4="Direct-Funded",J6-J21,IF(J5&gt;0,J21+J9,0))</f>
        <v>0</v>
      </c>
      <c r="K23" s="315">
        <f>IF('Summary Schedule'!$C$4="Direct-Funded",K6-K21,IF(K5&gt;0,K21+K9,0))</f>
        <v>0</v>
      </c>
      <c r="L23" s="315">
        <f>IF('Summary Schedule'!$C$4="Direct-Funded",L6-L21,IF(L5&gt;0,L21+L9,0))</f>
        <v>0</v>
      </c>
      <c r="M23" s="315">
        <f>IF('Summary Schedule'!$C$4="Direct-Funded",M6-M21,IF(M5&gt;0,M21+M9,0))</f>
        <v>0</v>
      </c>
      <c r="N23" s="315">
        <f>IF('Summary Schedule'!$C$4="Direct-Funded",N6-N21,IF(N5&gt;0,N21+N9,0))</f>
        <v>0</v>
      </c>
      <c r="O23" s="315">
        <f>IF('Summary Schedule'!$C$4="Direct-Funded",O6-O21,IF(O5&gt;0,O21+O9,0))</f>
        <v>0</v>
      </c>
      <c r="P23" s="315">
        <f>IF('Summary Schedule'!$C$4="Direct-Funded",P6-P21,IF(P5&gt;0,P21+P9,0))</f>
        <v>0</v>
      </c>
      <c r="Q23" s="315">
        <f>IF('Summary Schedule'!$C$4="Direct-Funded",Q6-Q21,IF(Q5&gt;0,Q21+Q9,0))</f>
        <v>0</v>
      </c>
      <c r="R23" s="315">
        <f>IF('Summary Schedule'!$C$4="Direct-Funded",R6-R21,IF(R5&gt;0,R21+R9,0))</f>
        <v>0</v>
      </c>
      <c r="S23" s="315">
        <f>IF('Summary Schedule'!$C$4="Direct-Funded",S6-S21,IF(S5&gt;0,S21+S9,0))</f>
        <v>0</v>
      </c>
      <c r="T23" s="315">
        <f>IF('Summary Schedule'!$C$4="Direct-Funded",T6-T21,IF(T5&gt;0,T21+T9,0))</f>
        <v>0</v>
      </c>
      <c r="U23" s="315">
        <f>IF('Summary Schedule'!$C$4="Direct-Funded",U6-U21,IF(U5&gt;0,U21+U9,0))</f>
        <v>0</v>
      </c>
      <c r="V23" s="315">
        <f>IF('Summary Schedule'!$C$4="Direct-Funded",V6-V21,IF(V5&gt;0,V21+V9,0))</f>
        <v>0</v>
      </c>
      <c r="W23" s="315">
        <f>IF('Summary Schedule'!$C$4="Direct-Funded",W6-W21,IF(W5&gt;0,W21+W9,0))</f>
        <v>0</v>
      </c>
      <c r="X23" s="315">
        <f>IF('Summary Schedule'!$C$4="Direct-Funded",X6-X21,IF(X5&gt;0,X21+X9,0))</f>
        <v>0</v>
      </c>
      <c r="Y23" s="315">
        <f>IF('Summary Schedule'!$C$4="Direct-Funded",Y6-Y21,IF(Y5&gt;0,Y21+Y9,0))</f>
        <v>0</v>
      </c>
      <c r="Z23" s="315">
        <f>IF('Summary Schedule'!$C$4="Direct-Funded",Z6-Z21,IF(Z5&gt;0,Z21+Z9,0))</f>
        <v>0</v>
      </c>
      <c r="AA23" s="315">
        <f>IF('Summary Schedule'!$C$4="Direct-Funded",AA6-AA21,IF(AA5&gt;0,AA21+AA9,0))</f>
        <v>0</v>
      </c>
      <c r="AB23" s="315">
        <f>IF('Summary Schedule'!$C$4="Direct-Funded",AB6-AB21,IF(AB5&gt;0,AB21+AB9,0))</f>
        <v>0</v>
      </c>
      <c r="AC23" s="315">
        <f>IF('Summary Schedule'!$C$4="Direct-Funded",AC6-AC21,IF(AC5&gt;0,AC21+AC9,0))</f>
        <v>0</v>
      </c>
      <c r="AD23" s="315">
        <f>IF('Summary Schedule'!$C$4="Direct-Funded",AD6-AD21,IF(AD5&gt;0,AD21+AD9,0))</f>
        <v>0</v>
      </c>
      <c r="AE23" s="315">
        <f>IF('Summary Schedule'!$C$4="Direct-Funded",AE6-AE21,IF(AE5&gt;0,AE21+AE9,0))</f>
        <v>0</v>
      </c>
      <c r="AF23" s="315">
        <f>IF('Summary Schedule'!$C$4="Direct-Funded",AF6-AF21,IF(AF5&gt;0,AF21+AF9,0))</f>
        <v>0</v>
      </c>
      <c r="AG23" s="315">
        <f>IF('Summary Schedule'!$C$4="Direct-Funded",AG6-AG21,IF(AG5&gt;0,AG21+AG9,0))</f>
        <v>0</v>
      </c>
      <c r="AH23" s="315">
        <f>IF('Summary Schedule'!$C$4="Direct-Funded",AH6-AH21,IF(AH5&gt;0,AH21+AH9,0))</f>
        <v>0</v>
      </c>
      <c r="AI23" s="315">
        <f>IF('Summary Schedule'!$C$4="Direct-Funded",AI6-AI21,IF(AI5&gt;0,AI21+AI9,0))</f>
        <v>0</v>
      </c>
      <c r="AJ23" s="315">
        <f>IF('Summary Schedule'!$C$4="Direct-Funded",AJ6-AJ21,IF(AJ5&gt;0,AJ21+AJ9,0))</f>
        <v>0</v>
      </c>
      <c r="AK23" s="315">
        <f>IF('Summary Schedule'!$C$4="Direct-Funded",AK6-AK21,IF(AK5&gt;0,AK21+AK9,0))</f>
        <v>0</v>
      </c>
      <c r="AL23" s="315">
        <f>IF('Summary Schedule'!$C$4="Direct-Funded",AL6-AL21,IF(AL5&gt;0,AL21+AL9,0))</f>
        <v>0</v>
      </c>
      <c r="AM23" s="315">
        <f>IF('Summary Schedule'!$C$4="Direct-Funded",AM6-AM21,IF(AM5&gt;0,AM21+AM9,0))</f>
        <v>0</v>
      </c>
      <c r="AN23" s="315">
        <f>IF('Summary Schedule'!$C$4="Direct-Funded",AN6-AN21,IF(AN5&gt;0,AN21+AN9,0))</f>
        <v>0</v>
      </c>
      <c r="AO23" s="315">
        <f>IF('Summary Schedule'!$C$4="Direct-Funded",AO6-AO21,IF(AO5&gt;0,AO21+AO9,0))</f>
        <v>0</v>
      </c>
      <c r="AP23" s="315">
        <f>IF('Summary Schedule'!$C$4="Direct-Funded",AP6-AP21,IF(AP5&gt;0,AP21+AP9,0))</f>
        <v>0</v>
      </c>
      <c r="AQ23" s="315">
        <f>IF('Summary Schedule'!$C$4="Direct-Funded",AQ6-AQ21,IF(AQ5&gt;0,AQ21+AQ9,0))</f>
        <v>0</v>
      </c>
      <c r="AR23" s="316">
        <f>SUM(C23:AQ23)</f>
        <v>0</v>
      </c>
    </row>
    <row r="24" spans="1:44" ht="16.5" thickBot="1">
      <c r="A24" s="317"/>
      <c r="B24" s="23"/>
      <c r="C24" s="23"/>
      <c r="D24" s="116"/>
      <c r="E24" s="116"/>
      <c r="F24" s="116"/>
      <c r="G24" s="116"/>
      <c r="H24" s="117"/>
      <c r="I24" s="116"/>
      <c r="J24" s="116"/>
      <c r="K24" s="116"/>
      <c r="L24" s="116"/>
      <c r="M24" s="116"/>
      <c r="N24" s="116"/>
      <c r="O24" s="116"/>
      <c r="P24" s="116"/>
      <c r="Q24" s="116"/>
      <c r="R24" s="116"/>
      <c r="S24" s="116"/>
      <c r="T24" s="116"/>
      <c r="U24" s="116"/>
      <c r="V24" s="116"/>
      <c r="W24" s="116"/>
      <c r="X24" s="116"/>
      <c r="Y24" s="116"/>
      <c r="Z24" s="116"/>
      <c r="AA24" s="116"/>
      <c r="AB24" s="116"/>
      <c r="AC24" s="116"/>
      <c r="AD24" s="116"/>
      <c r="AE24" s="116"/>
      <c r="AF24" s="116"/>
      <c r="AG24" s="116"/>
      <c r="AH24" s="116"/>
      <c r="AI24" s="116"/>
      <c r="AJ24" s="116"/>
      <c r="AK24" s="116"/>
      <c r="AL24" s="116"/>
      <c r="AM24" s="116"/>
      <c r="AN24" s="116"/>
      <c r="AO24" s="116"/>
      <c r="AP24" s="116"/>
      <c r="AQ24" s="116"/>
      <c r="AR24" s="318"/>
    </row>
    <row r="25" spans="1:44">
      <c r="A25" s="576" t="s">
        <v>51</v>
      </c>
      <c r="B25" s="576"/>
      <c r="C25" s="576"/>
      <c r="D25" s="576"/>
      <c r="E25" s="576"/>
      <c r="F25" s="576"/>
      <c r="G25" s="576"/>
      <c r="H25" s="576"/>
      <c r="I25" s="576"/>
      <c r="J25" s="576"/>
      <c r="K25" s="576"/>
      <c r="L25" s="576"/>
      <c r="M25" s="576"/>
      <c r="N25" s="576"/>
      <c r="O25" s="576"/>
      <c r="P25" s="576"/>
      <c r="Q25" s="576"/>
      <c r="R25" s="576"/>
      <c r="S25" s="576"/>
      <c r="T25" s="576"/>
      <c r="U25" s="576"/>
      <c r="V25" s="576"/>
      <c r="W25" s="576"/>
      <c r="X25" s="576"/>
      <c r="Y25" s="576"/>
      <c r="Z25" s="576"/>
      <c r="AA25" s="576"/>
      <c r="AB25" s="576"/>
      <c r="AC25" s="576"/>
      <c r="AD25" s="576"/>
      <c r="AE25" s="576"/>
      <c r="AF25" s="576"/>
      <c r="AG25" s="576"/>
      <c r="AH25" s="576"/>
      <c r="AI25" s="576"/>
      <c r="AJ25" s="576"/>
      <c r="AK25" s="576"/>
      <c r="AL25" s="576"/>
      <c r="AM25" s="576"/>
      <c r="AN25" s="576"/>
      <c r="AO25" s="576"/>
      <c r="AP25" s="576"/>
      <c r="AQ25" s="576"/>
      <c r="AR25" s="576"/>
    </row>
    <row r="26" spans="1:44">
      <c r="A26" s="577" t="str">
        <f>IF('Summary Schedule'!C4="Direct-Funded","(1) Examples of Incentives and Other Payments include: RECs proceeds, demand response payments, and extra customer payments.","(1) Any Implementation Period payment will be applied to reduce the principal repayment.")</f>
        <v>(1) Any Implementation Period payment will be applied to reduce the principal repayment.</v>
      </c>
      <c r="B26" s="577"/>
      <c r="C26" s="577"/>
      <c r="D26" s="577"/>
      <c r="E26" s="577"/>
      <c r="F26" s="577"/>
      <c r="G26" s="577"/>
      <c r="H26" s="577"/>
      <c r="I26" s="577"/>
      <c r="J26" s="577"/>
      <c r="K26" s="577"/>
      <c r="L26" s="577"/>
      <c r="M26" s="577"/>
      <c r="N26" s="577"/>
      <c r="O26" s="577"/>
      <c r="P26" s="577"/>
      <c r="Q26" s="577"/>
      <c r="R26" s="577"/>
      <c r="S26" s="577"/>
      <c r="T26" s="577"/>
      <c r="U26" s="577"/>
      <c r="V26" s="577"/>
      <c r="W26" s="577"/>
      <c r="X26" s="577"/>
      <c r="Y26" s="577"/>
      <c r="Z26" s="577"/>
      <c r="AA26" s="577"/>
      <c r="AB26" s="577"/>
      <c r="AC26" s="577"/>
      <c r="AD26" s="577"/>
      <c r="AE26" s="577"/>
      <c r="AF26" s="577"/>
      <c r="AG26" s="577"/>
      <c r="AH26" s="577"/>
      <c r="AI26" s="577"/>
      <c r="AJ26" s="577"/>
      <c r="AK26" s="577"/>
      <c r="AL26" s="577"/>
      <c r="AM26" s="577"/>
      <c r="AN26" s="577"/>
      <c r="AO26" s="577"/>
      <c r="AP26" s="577"/>
      <c r="AQ26" s="577"/>
      <c r="AR26" s="577"/>
    </row>
    <row r="27" spans="1:44">
      <c r="A27" s="577" t="str">
        <f>IF('Summary Schedule'!C4="Direct-Funded","(2) Future payments to project facilitators (consultants) are one example of uses for dollar savings retained by the customer.",CONCATENATE("(2) Examples of Performance Period Incentives and Other Payments include: RECs proceeds, demand response payments, and extra customer payments.","Incentives and payments are assumed to occur at the same time (beginning or end of period) that was identified in the Summary Schedule.",""))</f>
        <v>(2) Examples of Performance Period Incentives and Other Payments include: RECs proceeds, demand response payments, and extra customer payments.Incentives and payments are assumed to occur at the same time (beginning or end of period) that was identified in the Summary Schedule.</v>
      </c>
      <c r="B27" s="577"/>
      <c r="C27" s="577"/>
      <c r="D27" s="577"/>
      <c r="E27" s="577"/>
      <c r="F27" s="577"/>
      <c r="G27" s="577"/>
      <c r="H27" s="577"/>
      <c r="I27" s="577"/>
      <c r="J27" s="577"/>
      <c r="K27" s="577"/>
      <c r="L27" s="577"/>
      <c r="M27" s="577"/>
      <c r="N27" s="577"/>
      <c r="O27" s="577"/>
      <c r="P27" s="577"/>
      <c r="Q27" s="577"/>
      <c r="R27" s="577"/>
      <c r="S27" s="577"/>
      <c r="T27" s="577"/>
      <c r="U27" s="577"/>
      <c r="V27" s="577"/>
      <c r="W27" s="577"/>
      <c r="X27" s="577"/>
      <c r="Y27" s="577"/>
      <c r="Z27" s="577"/>
      <c r="AA27" s="577"/>
      <c r="AB27" s="577"/>
      <c r="AC27" s="577"/>
      <c r="AD27" s="577"/>
      <c r="AE27" s="577"/>
      <c r="AF27" s="577"/>
      <c r="AG27" s="577"/>
      <c r="AH27" s="577"/>
      <c r="AI27" s="577"/>
      <c r="AJ27" s="577"/>
      <c r="AK27" s="577"/>
      <c r="AL27" s="577"/>
      <c r="AM27" s="577"/>
      <c r="AN27" s="577"/>
      <c r="AO27" s="577"/>
      <c r="AP27" s="577"/>
      <c r="AQ27" s="577"/>
      <c r="AR27" s="577"/>
    </row>
    <row r="28" spans="1:44" ht="16.5" thickBot="1">
      <c r="A28" s="578" t="str">
        <f>IF('Summary Schedule'!C4="Direct-Funded", "", "(3) Future payments to project facilitators (consultants) are one example of uses for dollar savings retained by the customer.")</f>
        <v>(3) Future payments to project facilitators (consultants) are one example of uses for dollar savings retained by the customer.</v>
      </c>
      <c r="B28" s="578"/>
      <c r="C28" s="578"/>
      <c r="D28" s="578"/>
      <c r="E28" s="578"/>
      <c r="F28" s="578"/>
      <c r="G28" s="578"/>
      <c r="H28" s="578"/>
      <c r="I28" s="578"/>
      <c r="J28" s="578"/>
      <c r="K28" s="578"/>
      <c r="L28" s="578"/>
      <c r="M28" s="578"/>
      <c r="N28" s="578"/>
      <c r="O28" s="578"/>
      <c r="P28" s="578"/>
      <c r="Q28" s="578"/>
      <c r="R28" s="578"/>
      <c r="S28" s="578"/>
      <c r="T28" s="578"/>
      <c r="U28" s="578"/>
      <c r="V28" s="578"/>
      <c r="W28" s="578"/>
      <c r="X28" s="578"/>
      <c r="Y28" s="578"/>
      <c r="Z28" s="578"/>
      <c r="AA28" s="578"/>
      <c r="AB28" s="578"/>
      <c r="AC28" s="578"/>
      <c r="AD28" s="578"/>
      <c r="AE28" s="578"/>
      <c r="AF28" s="578"/>
      <c r="AG28" s="578"/>
      <c r="AH28" s="578"/>
      <c r="AI28" s="578"/>
      <c r="AJ28" s="578"/>
      <c r="AK28" s="578"/>
      <c r="AL28" s="578"/>
      <c r="AM28" s="578"/>
      <c r="AN28" s="578"/>
      <c r="AO28" s="578"/>
      <c r="AP28" s="578"/>
      <c r="AQ28" s="578"/>
      <c r="AR28" s="578"/>
    </row>
    <row r="29" spans="1:44">
      <c r="A29" s="579" t="s">
        <v>113</v>
      </c>
      <c r="B29" s="579"/>
      <c r="C29" s="579"/>
      <c r="D29" s="579"/>
      <c r="E29" s="579"/>
      <c r="F29" s="579"/>
      <c r="G29" s="579"/>
      <c r="H29" s="579"/>
      <c r="I29" s="579"/>
      <c r="J29" s="579"/>
      <c r="K29" s="579"/>
      <c r="L29" s="579"/>
      <c r="M29" s="579"/>
      <c r="N29" s="579"/>
      <c r="O29" s="579"/>
      <c r="P29" s="579"/>
      <c r="Q29" s="579"/>
      <c r="R29" s="579"/>
      <c r="S29" s="579"/>
      <c r="T29" s="579"/>
      <c r="U29" s="579"/>
      <c r="V29" s="579"/>
      <c r="W29" s="579"/>
      <c r="X29" s="579"/>
      <c r="Y29" s="579"/>
      <c r="Z29" s="579"/>
      <c r="AA29" s="579"/>
      <c r="AB29" s="579"/>
      <c r="AC29" s="579"/>
      <c r="AD29" s="579"/>
      <c r="AE29" s="579"/>
      <c r="AF29" s="579"/>
      <c r="AG29" s="579"/>
      <c r="AH29" s="579"/>
      <c r="AI29" s="579"/>
      <c r="AJ29" s="579"/>
      <c r="AK29" s="579"/>
      <c r="AL29" s="579"/>
      <c r="AM29" s="579"/>
      <c r="AN29" s="579"/>
      <c r="AO29" s="579"/>
      <c r="AP29" s="579"/>
      <c r="AQ29" s="579"/>
      <c r="AR29" s="579"/>
    </row>
    <row r="30" spans="1:44" ht="103" customHeight="1">
      <c r="A30" s="567"/>
      <c r="B30" s="567"/>
      <c r="C30" s="567"/>
      <c r="D30" s="567"/>
      <c r="E30" s="567"/>
      <c r="F30" s="567"/>
      <c r="G30" s="567"/>
      <c r="H30" s="567"/>
      <c r="I30" s="567"/>
      <c r="J30" s="567"/>
      <c r="K30" s="567"/>
      <c r="L30" s="567"/>
      <c r="M30" s="567"/>
      <c r="N30" s="567"/>
      <c r="O30" s="567"/>
      <c r="P30" s="567"/>
      <c r="Q30" s="567"/>
      <c r="R30" s="567"/>
      <c r="S30" s="567"/>
      <c r="T30" s="567"/>
      <c r="U30" s="567"/>
      <c r="V30" s="567"/>
      <c r="W30" s="567"/>
      <c r="X30" s="567"/>
      <c r="Y30" s="567"/>
      <c r="Z30" s="567"/>
      <c r="AA30" s="567"/>
      <c r="AB30" s="567"/>
      <c r="AC30" s="567"/>
      <c r="AD30" s="567"/>
      <c r="AE30" s="567"/>
      <c r="AF30" s="567"/>
      <c r="AG30" s="567"/>
      <c r="AH30" s="567"/>
      <c r="AI30" s="567"/>
      <c r="AJ30" s="567"/>
      <c r="AK30" s="567"/>
      <c r="AL30" s="567"/>
      <c r="AM30" s="567"/>
      <c r="AN30" s="567"/>
      <c r="AO30" s="567"/>
      <c r="AP30" s="567"/>
      <c r="AQ30" s="567"/>
      <c r="AR30" s="567"/>
    </row>
    <row r="31" spans="1:44">
      <c r="A31" s="293" t="str">
        <f>'Summary Schedule'!A53</f>
        <v>4.2.9.n</v>
      </c>
    </row>
    <row r="32" spans="1:44">
      <c r="A32" s="293" t="str">
        <f>'Summary Schedule'!A54</f>
        <v>02072025</v>
      </c>
    </row>
    <row r="48" spans="3:3">
      <c r="C48" s="87"/>
    </row>
  </sheetData>
  <sheetProtection algorithmName="SHA-512" hashValue="juazdBcuJufcePMe2NRutj79T2qziRNQ0Szh0Mc2uP0bji5RwGn/RBUbOT0xN3XmDo6+2twy0R6MxsUXzBp26w==" saltValue="EvBH3cr3eT/FB18CNp1zJA==" spinCount="100000" sheet="1" objects="1" scenarios="1"/>
  <mergeCells count="11">
    <mergeCell ref="A30:AR30"/>
    <mergeCell ref="A1:AR1"/>
    <mergeCell ref="A2:AR2"/>
    <mergeCell ref="A5:A9"/>
    <mergeCell ref="A10:D10"/>
    <mergeCell ref="A11:A21"/>
    <mergeCell ref="A25:AR25"/>
    <mergeCell ref="A26:AR26"/>
    <mergeCell ref="A27:AR27"/>
    <mergeCell ref="A28:AR28"/>
    <mergeCell ref="A29:AR29"/>
  </mergeCells>
  <dataValidations count="8">
    <dataValidation type="decimal" operator="greaterThanOrEqual" allowBlank="1" showInputMessage="1" showErrorMessage="1" error="Please enter a value greater than or equal to zero." sqref="D19:AR19" xr:uid="{18586DF2-FD8E-FD42-AE91-BC8CF596FEA0}">
      <formula1>0</formula1>
    </dataValidation>
    <dataValidation type="whole" allowBlank="1" showInputMessage="1" showErrorMessage="1" sqref="D6:AQ6" xr:uid="{C82FD81D-F054-B24A-9794-A6CBE57CADDF}">
      <formula1>-1000000000</formula1>
      <formula2>1000000000</formula2>
    </dataValidation>
    <dataValidation type="list" allowBlank="1" showInputMessage="1" showErrorMessage="1" sqref="B17" xr:uid="{67478366-5C52-2A45-8EDE-5566D6D4CBD8}">
      <formula1>"Other PP Expense 2: Permits and Licenses, Other PP Expense 2: Insurance, Other PP Expense 2: Property Taxes, Other PP Expense 2: Other"</formula1>
    </dataValidation>
    <dataValidation type="list" allowBlank="1" showInputMessage="1" showErrorMessage="1" sqref="B16" xr:uid="{F33F502C-C559-B148-ABFA-E0D62A8C7F12}">
      <formula1>"Other PP Expense 1: Permits and Licenses, Other PP Expense 1: Insurance, Other PP Expense 1: Property Taxes, Other PP Expense 1: Other"</formula1>
    </dataValidation>
    <dataValidation operator="greaterThanOrEqual" allowBlank="1" showInputMessage="1" showErrorMessage="1" error="Please enter a value greater than or equal to zero." sqref="C6 B7 C9:AR9" xr:uid="{BBD98196-2C13-A540-B725-7598BA28A985}"/>
    <dataValidation type="whole" operator="greaterThanOrEqual" allowBlank="1" showInputMessage="1" showErrorMessage="1" error="Please enter a value greater than or equal to zero." sqref="AR21 C5 AR6 D20:AQ21 C11:C21 C8:AR8 D11:AR18" xr:uid="{EA1E601D-913E-EC4C-A8F9-B1ACB725AAD9}">
      <formula1>0</formula1>
    </dataValidation>
    <dataValidation type="whole" allowBlank="1" showInputMessage="1" showErrorMessage="1" error="Please enter a value greater than or equal to zero." sqref="D5:AR5" xr:uid="{0026B44B-4A95-B04E-8D90-4AA41C40B386}">
      <formula1>-10000000</formula1>
      <formula2>1000000000</formula2>
    </dataValidation>
    <dataValidation type="whole" allowBlank="1" showInputMessage="1" showErrorMessage="1" sqref="D23:AR23" xr:uid="{A416ADFE-6895-1149-80FF-C7FAFB436447}">
      <formula1>-10000000</formula1>
      <formula2>1000000000</formula2>
    </dataValidation>
  </dataValidations>
  <pageMargins left="0.75" right="0.75" top="1" bottom="1" header="0.5" footer="0.5"/>
  <pageSetup scale="24" orientation="landscape" horizontalDpi="4294967292" verticalDpi="4294967292"/>
  <drawing r:id="rId1"/>
  <extLst>
    <ext xmlns:x14="http://schemas.microsoft.com/office/spreadsheetml/2009/9/main" uri="{78C0D931-6437-407d-A8EE-F0AAD7539E65}">
      <x14:conditionalFormattings>
        <x14:conditionalFormatting xmlns:xm="http://schemas.microsoft.com/office/excel/2006/main">
          <x14:cfRule type="expression" priority="2" id="{93886005-A3BB-9848-B08A-60403460985D}">
            <xm:f>'Summary Schedule'!$C$4="Direct-Funded"</xm:f>
            <x14:dxf>
              <fill>
                <patternFill patternType="mediumGray">
                  <fgColor auto="1"/>
                  <bgColor auto="1"/>
                </patternFill>
              </fill>
              <border>
                <left/>
                <right/>
                <top/>
                <bottom/>
              </border>
            </x14:dxf>
          </x14:cfRule>
          <xm:sqref>B8:AR9 B18:AQ18 B19:AR20</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pageSetUpPr fitToPage="1"/>
  </sheetPr>
  <dimension ref="A1:AK269"/>
  <sheetViews>
    <sheetView zoomScale="80" zoomScaleNormal="80" zoomScalePageLayoutView="75" workbookViewId="0">
      <pane ySplit="9" topLeftCell="A10" activePane="bottomLeft" state="frozenSplit"/>
      <selection pane="bottomLeft" sqref="A1:AJ1"/>
    </sheetView>
  </sheetViews>
  <sheetFormatPr defaultColWidth="11" defaultRowHeight="16"/>
  <cols>
    <col min="1" max="1" width="18.1640625" style="1" bestFit="1" customWidth="1"/>
    <col min="2" max="2" width="47.83203125" style="1" customWidth="1"/>
    <col min="3" max="3" width="15.1640625" style="1" customWidth="1"/>
    <col min="4" max="4" width="15.6640625" style="1" bestFit="1" customWidth="1"/>
    <col min="5" max="7" width="13.5" style="1" customWidth="1"/>
    <col min="8" max="8" width="18" style="1" customWidth="1"/>
    <col min="9" max="9" width="19.5" style="1" customWidth="1"/>
    <col min="10" max="11" width="13" style="1" customWidth="1"/>
    <col min="12" max="12" width="18.33203125" style="1" customWidth="1"/>
    <col min="13" max="14" width="13.1640625" style="1" customWidth="1"/>
    <col min="15" max="15" width="13.5" style="1" customWidth="1"/>
    <col min="16" max="16" width="14" style="1" bestFit="1" customWidth="1"/>
    <col min="17" max="17" width="14.5" style="1" customWidth="1"/>
    <col min="18" max="19" width="13" style="1" customWidth="1"/>
    <col min="20" max="20" width="14.6640625" style="1" bestFit="1" customWidth="1"/>
    <col min="21" max="21" width="13" style="1" customWidth="1"/>
    <col min="22" max="22" width="14.6640625" style="1" bestFit="1" customWidth="1"/>
    <col min="23" max="23" width="12.83203125" style="1" customWidth="1"/>
    <col min="24" max="24" width="14.6640625" style="1" bestFit="1" customWidth="1"/>
    <col min="25" max="25" width="11" style="1"/>
    <col min="26" max="27" width="14.5" style="1" customWidth="1"/>
    <col min="28" max="29" width="12.33203125" style="1" customWidth="1"/>
    <col min="30" max="31" width="13.5" style="1" customWidth="1"/>
    <col min="32" max="33" width="11" style="1"/>
    <col min="34" max="34" width="15.33203125" style="1" customWidth="1"/>
    <col min="35" max="35" width="15.83203125" style="1" customWidth="1"/>
    <col min="36" max="16384" width="11" style="1"/>
  </cols>
  <sheetData>
    <row r="1" spans="1:37" ht="20">
      <c r="A1" s="526" t="s">
        <v>67</v>
      </c>
      <c r="B1" s="526"/>
      <c r="C1" s="526"/>
      <c r="D1" s="526"/>
      <c r="E1" s="526"/>
      <c r="F1" s="526"/>
      <c r="G1" s="526"/>
      <c r="H1" s="526"/>
      <c r="I1" s="526"/>
      <c r="J1" s="526"/>
      <c r="K1" s="526"/>
      <c r="L1" s="526"/>
      <c r="M1" s="526"/>
      <c r="N1" s="526"/>
      <c r="O1" s="526"/>
      <c r="P1" s="526"/>
      <c r="Q1" s="526"/>
      <c r="R1" s="526"/>
      <c r="S1" s="526"/>
      <c r="T1" s="526"/>
      <c r="U1" s="526"/>
      <c r="V1" s="526"/>
      <c r="W1" s="526"/>
      <c r="X1" s="526"/>
      <c r="Y1" s="526"/>
      <c r="Z1" s="526"/>
      <c r="AA1" s="526"/>
      <c r="AB1" s="526"/>
      <c r="AC1" s="526"/>
      <c r="AD1" s="526"/>
      <c r="AE1" s="526"/>
      <c r="AF1" s="526"/>
      <c r="AG1" s="526"/>
      <c r="AH1" s="526"/>
      <c r="AI1" s="526"/>
      <c r="AJ1" s="526"/>
    </row>
    <row r="2" spans="1:37" ht="20.5" thickBot="1">
      <c r="A2" s="586" t="s">
        <v>79</v>
      </c>
      <c r="B2" s="586"/>
      <c r="C2" s="586"/>
      <c r="D2" s="586"/>
      <c r="E2" s="586"/>
      <c r="F2" s="586"/>
      <c r="G2" s="586"/>
      <c r="H2" s="586"/>
      <c r="I2" s="586"/>
      <c r="J2" s="586"/>
      <c r="K2" s="586"/>
      <c r="L2" s="586"/>
      <c r="M2" s="586"/>
      <c r="N2" s="586"/>
      <c r="O2" s="586"/>
      <c r="P2" s="586"/>
      <c r="Q2" s="586"/>
      <c r="R2" s="586"/>
      <c r="S2" s="586"/>
      <c r="T2" s="586"/>
      <c r="U2" s="586"/>
      <c r="V2" s="586"/>
      <c r="W2" s="586"/>
      <c r="X2" s="586"/>
      <c r="Y2" s="586"/>
      <c r="Z2" s="586"/>
      <c r="AA2" s="586"/>
      <c r="AB2" s="586"/>
      <c r="AC2" s="586"/>
      <c r="AD2" s="586"/>
      <c r="AE2" s="586"/>
      <c r="AF2" s="586"/>
      <c r="AG2" s="586"/>
      <c r="AH2" s="586"/>
      <c r="AI2" s="586"/>
      <c r="AJ2" s="586"/>
    </row>
    <row r="3" spans="1:37" ht="16.5" thickBot="1">
      <c r="A3" s="3"/>
      <c r="B3" s="4"/>
      <c r="C3" s="4"/>
      <c r="D3" s="4"/>
      <c r="E3" s="4"/>
      <c r="F3" s="4"/>
      <c r="G3" s="4"/>
      <c r="H3" s="4"/>
      <c r="I3" s="4"/>
      <c r="J3" s="4"/>
      <c r="K3" s="4"/>
      <c r="L3" s="4"/>
      <c r="M3" s="4"/>
      <c r="N3" s="4"/>
      <c r="O3" s="4"/>
      <c r="P3" s="4"/>
      <c r="Q3" s="4"/>
      <c r="R3" s="4"/>
      <c r="S3" s="4"/>
      <c r="T3" s="4"/>
      <c r="U3" s="4"/>
      <c r="V3" s="4"/>
      <c r="W3" s="5"/>
      <c r="X3" s="5"/>
      <c r="Y3" s="5"/>
      <c r="Z3" s="5"/>
      <c r="AA3" s="5"/>
      <c r="AB3" s="5"/>
      <c r="AC3" s="5"/>
      <c r="AD3" s="5"/>
      <c r="AE3" s="5"/>
      <c r="AF3" s="5"/>
      <c r="AG3" s="5"/>
      <c r="AH3" s="5"/>
      <c r="AI3" s="5"/>
      <c r="AJ3" s="6"/>
    </row>
    <row r="4" spans="1:37" ht="42.5" thickBot="1">
      <c r="A4" s="591" t="s">
        <v>16</v>
      </c>
      <c r="B4" s="433"/>
      <c r="C4" s="433"/>
      <c r="D4" s="589"/>
      <c r="E4" s="542" t="s">
        <v>61</v>
      </c>
      <c r="F4" s="420"/>
      <c r="G4" s="420"/>
      <c r="H4" s="420"/>
      <c r="I4" s="420"/>
      <c r="J4" s="420"/>
      <c r="K4" s="420"/>
      <c r="L4" s="420"/>
      <c r="M4" s="420"/>
      <c r="N4" s="420"/>
      <c r="O4" s="543"/>
      <c r="P4" s="7" t="s">
        <v>35</v>
      </c>
      <c r="Q4" s="8" t="s">
        <v>34</v>
      </c>
      <c r="R4" s="8" t="s">
        <v>27</v>
      </c>
      <c r="S4" s="8" t="s">
        <v>28</v>
      </c>
      <c r="T4" s="8" t="s">
        <v>29</v>
      </c>
      <c r="U4" s="8" t="s">
        <v>30</v>
      </c>
      <c r="V4" s="8" t="s">
        <v>42</v>
      </c>
      <c r="W4" s="7" t="s">
        <v>43</v>
      </c>
      <c r="X4" s="8" t="s">
        <v>44</v>
      </c>
      <c r="Y4" s="7" t="s">
        <v>45</v>
      </c>
      <c r="Z4" s="8" t="s">
        <v>199</v>
      </c>
      <c r="AA4" s="8" t="s">
        <v>46</v>
      </c>
      <c r="AB4" s="8" t="s">
        <v>506</v>
      </c>
      <c r="AC4" s="8" t="s">
        <v>507</v>
      </c>
      <c r="AD4" s="8" t="s">
        <v>508</v>
      </c>
      <c r="AE4" s="8" t="s">
        <v>509</v>
      </c>
      <c r="AF4" s="8" t="s">
        <v>33</v>
      </c>
      <c r="AG4" s="8" t="s">
        <v>57</v>
      </c>
      <c r="AH4" s="8" t="s">
        <v>510</v>
      </c>
      <c r="AI4" s="7" t="s">
        <v>58</v>
      </c>
      <c r="AJ4" s="7" t="s">
        <v>59</v>
      </c>
    </row>
    <row r="5" spans="1:37" ht="56">
      <c r="A5" s="587" t="s">
        <v>20</v>
      </c>
      <c r="B5" s="589" t="s">
        <v>36</v>
      </c>
      <c r="C5" s="587" t="s">
        <v>500</v>
      </c>
      <c r="D5" s="530" t="str">
        <f>IF('Summary Schedule'!C4="UESC", "Performance assurance option(s)", "First Year M&amp;V Option")</f>
        <v>First Year M&amp;V Option</v>
      </c>
      <c r="E5" s="26" t="s">
        <v>515</v>
      </c>
      <c r="F5" s="26" t="s">
        <v>516</v>
      </c>
      <c r="G5" s="26" t="s">
        <v>517</v>
      </c>
      <c r="H5" s="389" t="s">
        <v>85</v>
      </c>
      <c r="I5" s="389" t="s">
        <v>86</v>
      </c>
      <c r="J5" s="25" t="s">
        <v>518</v>
      </c>
      <c r="K5" s="25" t="s">
        <v>519</v>
      </c>
      <c r="L5" s="26" t="s">
        <v>520</v>
      </c>
      <c r="M5" s="26" t="s">
        <v>521</v>
      </c>
      <c r="N5" s="26" t="s">
        <v>522</v>
      </c>
      <c r="O5" s="26" t="s">
        <v>523</v>
      </c>
      <c r="P5" s="26" t="s">
        <v>514</v>
      </c>
      <c r="Q5" s="26" t="s">
        <v>514</v>
      </c>
      <c r="R5" s="26" t="s">
        <v>524</v>
      </c>
      <c r="S5" s="26" t="s">
        <v>524</v>
      </c>
      <c r="T5" s="26" t="s">
        <v>512</v>
      </c>
      <c r="U5" s="26" t="s">
        <v>512</v>
      </c>
      <c r="V5" s="26" t="str">
        <f>"Other Savings Type 1"&amp;MID(H5,FIND(":",H5),17)</f>
        <v>Other Savings Type 1: Other</v>
      </c>
      <c r="W5" s="26" t="str">
        <f>V5</f>
        <v>Other Savings Type 1: Other</v>
      </c>
      <c r="X5" s="226" t="str">
        <f>"Other Savings Type 2"&amp;MID(I5,FIND(":",I5),17)</f>
        <v>Other Savings Type 2: Other</v>
      </c>
      <c r="Y5" s="226" t="str">
        <f>X5</f>
        <v>Other Savings Type 2: Other</v>
      </c>
      <c r="Z5" s="26" t="s">
        <v>525</v>
      </c>
      <c r="AA5" s="26" t="s">
        <v>526</v>
      </c>
      <c r="AB5" s="26" t="s">
        <v>527</v>
      </c>
      <c r="AC5" s="26" t="s">
        <v>19</v>
      </c>
      <c r="AD5" s="26" t="s">
        <v>528</v>
      </c>
      <c r="AE5" s="26" t="s">
        <v>528</v>
      </c>
      <c r="AF5" s="26" t="s">
        <v>529</v>
      </c>
      <c r="AG5" s="26" t="s">
        <v>530</v>
      </c>
      <c r="AH5" s="26" t="s">
        <v>37</v>
      </c>
      <c r="AI5" s="26" t="s">
        <v>185</v>
      </c>
      <c r="AJ5" s="26" t="s">
        <v>21</v>
      </c>
    </row>
    <row r="6" spans="1:37" ht="16.5" thickBot="1">
      <c r="A6" s="588"/>
      <c r="B6" s="590"/>
      <c r="C6" s="588"/>
      <c r="D6" s="531"/>
      <c r="E6" s="26" t="s">
        <v>17</v>
      </c>
      <c r="F6" s="26" t="s">
        <v>52</v>
      </c>
      <c r="G6" s="26" t="s">
        <v>47</v>
      </c>
      <c r="H6" s="26" t="s">
        <v>47</v>
      </c>
      <c r="I6" s="26" t="s">
        <v>47</v>
      </c>
      <c r="J6" s="9" t="s">
        <v>56</v>
      </c>
      <c r="K6" s="9" t="s">
        <v>56</v>
      </c>
      <c r="L6" s="26" t="s">
        <v>18</v>
      </c>
      <c r="M6" s="26" t="s">
        <v>18</v>
      </c>
      <c r="N6" s="26" t="s">
        <v>18</v>
      </c>
      <c r="O6" s="26"/>
      <c r="P6" s="26" t="s">
        <v>17</v>
      </c>
      <c r="Q6" s="26" t="s">
        <v>18</v>
      </c>
      <c r="R6" s="26" t="s">
        <v>52</v>
      </c>
      <c r="S6" s="26" t="s">
        <v>18</v>
      </c>
      <c r="T6" s="26" t="s">
        <v>47</v>
      </c>
      <c r="U6" s="26" t="s">
        <v>18</v>
      </c>
      <c r="V6" s="26" t="s">
        <v>47</v>
      </c>
      <c r="W6" s="26" t="s">
        <v>18</v>
      </c>
      <c r="X6" s="26" t="s">
        <v>47</v>
      </c>
      <c r="Y6" s="26" t="s">
        <v>18</v>
      </c>
      <c r="Z6" s="26" t="s">
        <v>47</v>
      </c>
      <c r="AA6" s="26" t="s">
        <v>18</v>
      </c>
      <c r="AB6" s="26" t="s">
        <v>22</v>
      </c>
      <c r="AC6" s="26" t="s">
        <v>18</v>
      </c>
      <c r="AD6" s="26" t="s">
        <v>22</v>
      </c>
      <c r="AE6" s="26" t="s">
        <v>18</v>
      </c>
      <c r="AF6" s="26" t="s">
        <v>18</v>
      </c>
      <c r="AG6" s="26" t="s">
        <v>18</v>
      </c>
      <c r="AH6" s="26" t="s">
        <v>18</v>
      </c>
      <c r="AI6" s="26" t="s">
        <v>10</v>
      </c>
      <c r="AJ6" s="26" t="s">
        <v>60</v>
      </c>
    </row>
    <row r="7" spans="1:37" ht="27.5" thickBot="1">
      <c r="A7" s="189"/>
      <c r="B7" s="78" t="str">
        <f>IF('Sch2a-Imp Price by ECM'!A8="","",'Sch2a-Imp Price by ECM'!A8)</f>
        <v>Project Development Price (PDP)-Technical Energy Audit and Project Proposal</v>
      </c>
      <c r="C7" s="196"/>
      <c r="D7" s="189" t="s">
        <v>137</v>
      </c>
      <c r="E7" s="10"/>
      <c r="F7" s="10"/>
      <c r="G7" s="10"/>
      <c r="H7" s="10"/>
      <c r="I7" s="10"/>
      <c r="J7" s="10"/>
      <c r="K7" s="10"/>
      <c r="L7" s="10"/>
      <c r="M7" s="10"/>
      <c r="N7" s="10"/>
      <c r="O7" s="10"/>
      <c r="P7" s="10"/>
      <c r="Q7" s="10"/>
      <c r="R7" s="10"/>
      <c r="S7" s="10"/>
      <c r="T7" s="10"/>
      <c r="U7" s="10"/>
      <c r="V7" s="10"/>
      <c r="W7" s="10"/>
      <c r="X7" s="10"/>
      <c r="Y7" s="10"/>
      <c r="Z7" s="11"/>
      <c r="AA7" s="11"/>
      <c r="AB7" s="10"/>
      <c r="AC7" s="10"/>
      <c r="AD7" s="10"/>
      <c r="AE7" s="10"/>
      <c r="AF7" s="10"/>
      <c r="AG7" s="10"/>
      <c r="AH7" s="12"/>
      <c r="AI7" s="62">
        <f>'Sch2a-Imp Price by ECM'!L8</f>
        <v>0</v>
      </c>
      <c r="AJ7" s="12"/>
    </row>
    <row r="8" spans="1:37" ht="14" customHeight="1" thickBot="1">
      <c r="A8" s="40" t="str">
        <f>IF('Sch2a-Imp Price by ECM'!B9="","",'Sch2a-Imp Price by ECM'!B9)</f>
        <v/>
      </c>
      <c r="B8" s="76" t="str">
        <f>IF('Sch2a-Imp Price by ECM'!D9="","",'Sch2a-Imp Price by ECM'!D9)</f>
        <v/>
      </c>
      <c r="C8" s="197" t="str">
        <f>IF('Sch2a-Imp Price by ECM'!G9="","",'Sch2a-Imp Price by ECM'!G9)</f>
        <v/>
      </c>
      <c r="D8" s="132"/>
      <c r="E8" s="376"/>
      <c r="F8" s="376"/>
      <c r="G8" s="376"/>
      <c r="H8" s="376"/>
      <c r="I8" s="134"/>
      <c r="J8" s="376"/>
      <c r="K8" s="376"/>
      <c r="L8" s="133"/>
      <c r="M8" s="133"/>
      <c r="N8" s="133"/>
      <c r="O8" s="134"/>
      <c r="P8" s="376"/>
      <c r="Q8" s="377"/>
      <c r="R8" s="334"/>
      <c r="S8" s="133"/>
      <c r="T8" s="334"/>
      <c r="U8" s="377"/>
      <c r="V8" s="334"/>
      <c r="W8" s="377"/>
      <c r="X8" s="334"/>
      <c r="Y8" s="377"/>
      <c r="Z8" s="392">
        <f t="shared" ref="Z8" si="0">(P8*3412/10^6)+T8+V8+X8</f>
        <v>0</v>
      </c>
      <c r="AA8" s="393">
        <f t="shared" ref="AA8" si="1">Q8+S8+W8+Y8+U8</f>
        <v>0</v>
      </c>
      <c r="AB8" s="334"/>
      <c r="AC8" s="135"/>
      <c r="AD8" s="334"/>
      <c r="AE8" s="135"/>
      <c r="AF8" s="377"/>
      <c r="AG8" s="377"/>
      <c r="AH8" s="396">
        <f>AA8+AC8+AE8+AF8+AG8</f>
        <v>0</v>
      </c>
      <c r="AI8" s="64" t="str">
        <f>IF('Sch2a-Imp Price by ECM'!C9="Yes", 0, 'Sch2a-Imp Price by ECM'!L9)</f>
        <v/>
      </c>
      <c r="AJ8" s="225" t="str">
        <f>IF('Sch2a-Imp Price by ECM'!C9="Yes",0, IF(AI8="","",AI8/AH8))</f>
        <v/>
      </c>
      <c r="AK8" s="1" t="str">
        <f>IF('Sch2a-Imp Price by ECM'!M9="","",'Sch2a-Imp Price by ECM'!M9)</f>
        <v/>
      </c>
    </row>
    <row r="9" spans="1:37" ht="16.5" thickBot="1">
      <c r="A9" s="40" t="str">
        <f>IF('Sch2a-Imp Price by ECM'!B10="","",'Sch2a-Imp Price by ECM'!B10)</f>
        <v/>
      </c>
      <c r="B9" s="76" t="str">
        <f>IF('Sch2a-Imp Price by ECM'!D10="","",'Sch2a-Imp Price by ECM'!D10)</f>
        <v/>
      </c>
      <c r="C9" s="197" t="str">
        <f>IF('Sch2a-Imp Price by ECM'!G10="","",'Sch2a-Imp Price by ECM'!G10)</f>
        <v/>
      </c>
      <c r="D9" s="132"/>
      <c r="E9" s="376"/>
      <c r="F9" s="376"/>
      <c r="G9" s="376"/>
      <c r="H9" s="376"/>
      <c r="I9" s="134"/>
      <c r="J9" s="376"/>
      <c r="K9" s="376"/>
      <c r="L9" s="133"/>
      <c r="M9" s="133"/>
      <c r="N9" s="133"/>
      <c r="O9" s="134"/>
      <c r="P9" s="376"/>
      <c r="Q9" s="377"/>
      <c r="R9" s="334"/>
      <c r="S9" s="133"/>
      <c r="T9" s="334"/>
      <c r="U9" s="377"/>
      <c r="V9" s="334"/>
      <c r="W9" s="377"/>
      <c r="X9" s="334"/>
      <c r="Y9" s="377"/>
      <c r="Z9" s="392">
        <f t="shared" ref="Z9:Z72" si="2">(P9*3412/10^6)+T9+V9+X9</f>
        <v>0</v>
      </c>
      <c r="AA9" s="393">
        <f t="shared" ref="AA9:AA72" si="3">Q9+S9+W9+Y9+U9</f>
        <v>0</v>
      </c>
      <c r="AB9" s="334"/>
      <c r="AC9" s="377"/>
      <c r="AD9" s="334"/>
      <c r="AE9" s="377"/>
      <c r="AF9" s="377"/>
      <c r="AG9" s="377"/>
      <c r="AH9" s="396">
        <f t="shared" ref="AH9:AH72" si="4">AA9+AC9+AE9+AF9+AG9</f>
        <v>0</v>
      </c>
      <c r="AI9" s="64" t="str">
        <f>IF('Sch2a-Imp Price by ECM'!C10="Yes", 0, 'Sch2a-Imp Price by ECM'!L10)</f>
        <v/>
      </c>
      <c r="AJ9" s="225" t="str">
        <f>IF('Sch2a-Imp Price by ECM'!C10="Yes",0, IF(AI9="","",AI9/AH9))</f>
        <v/>
      </c>
      <c r="AK9" s="1" t="str">
        <f>IF('Sch2a-Imp Price by ECM'!M10="","",'Sch2a-Imp Price by ECM'!M10)</f>
        <v/>
      </c>
    </row>
    <row r="10" spans="1:37" ht="16.5" thickBot="1">
      <c r="A10" s="40" t="str">
        <f>IF('Sch2a-Imp Price by ECM'!B11="","",'Sch2a-Imp Price by ECM'!B11)</f>
        <v/>
      </c>
      <c r="B10" s="76" t="str">
        <f>IF('Sch2a-Imp Price by ECM'!D11="","",'Sch2a-Imp Price by ECM'!D11)</f>
        <v/>
      </c>
      <c r="C10" s="197" t="str">
        <f>IF('Sch2a-Imp Price by ECM'!G11="","",'Sch2a-Imp Price by ECM'!G11)</f>
        <v/>
      </c>
      <c r="D10" s="132"/>
      <c r="E10" s="376"/>
      <c r="F10" s="376"/>
      <c r="G10" s="376"/>
      <c r="H10" s="376"/>
      <c r="I10" s="134"/>
      <c r="J10" s="376"/>
      <c r="K10" s="376"/>
      <c r="L10" s="133"/>
      <c r="M10" s="133"/>
      <c r="N10" s="133"/>
      <c r="O10" s="134"/>
      <c r="P10" s="376"/>
      <c r="Q10" s="377"/>
      <c r="R10" s="334"/>
      <c r="S10" s="133"/>
      <c r="T10" s="334"/>
      <c r="U10" s="377"/>
      <c r="V10" s="334"/>
      <c r="W10" s="377"/>
      <c r="X10" s="334"/>
      <c r="Y10" s="377"/>
      <c r="Z10" s="392">
        <f t="shared" si="2"/>
        <v>0</v>
      </c>
      <c r="AA10" s="393">
        <f t="shared" si="3"/>
        <v>0</v>
      </c>
      <c r="AB10" s="334"/>
      <c r="AC10" s="377"/>
      <c r="AD10" s="334"/>
      <c r="AE10" s="377"/>
      <c r="AF10" s="377"/>
      <c r="AG10" s="377"/>
      <c r="AH10" s="396">
        <f t="shared" si="4"/>
        <v>0</v>
      </c>
      <c r="AI10" s="64" t="str">
        <f>IF('Sch2a-Imp Price by ECM'!C11="Yes", 0, 'Sch2a-Imp Price by ECM'!L11)</f>
        <v/>
      </c>
      <c r="AJ10" s="225" t="str">
        <f>IF('Sch2a-Imp Price by ECM'!C11="Yes",0, IF(AI10="","",AI10/AH10))</f>
        <v/>
      </c>
    </row>
    <row r="11" spans="1:37" ht="16.5" thickBot="1">
      <c r="A11" s="40" t="str">
        <f>IF('Sch2a-Imp Price by ECM'!B12="","",'Sch2a-Imp Price by ECM'!B12)</f>
        <v/>
      </c>
      <c r="B11" s="76" t="str">
        <f>IF('Sch2a-Imp Price by ECM'!D12="","",'Sch2a-Imp Price by ECM'!D12)</f>
        <v/>
      </c>
      <c r="C11" s="197" t="str">
        <f>IF('Sch2a-Imp Price by ECM'!G12="","",'Sch2a-Imp Price by ECM'!G12)</f>
        <v/>
      </c>
      <c r="D11" s="132"/>
      <c r="E11" s="376"/>
      <c r="F11" s="376"/>
      <c r="G11" s="376"/>
      <c r="H11" s="376"/>
      <c r="I11" s="134"/>
      <c r="J11" s="376"/>
      <c r="K11" s="376"/>
      <c r="L11" s="133"/>
      <c r="M11" s="133"/>
      <c r="N11" s="133"/>
      <c r="O11" s="134"/>
      <c r="P11" s="376"/>
      <c r="Q11" s="377"/>
      <c r="R11" s="334"/>
      <c r="S11" s="133"/>
      <c r="T11" s="334"/>
      <c r="U11" s="377"/>
      <c r="V11" s="334"/>
      <c r="W11" s="377"/>
      <c r="X11" s="334"/>
      <c r="Y11" s="377"/>
      <c r="Z11" s="392">
        <f t="shared" si="2"/>
        <v>0</v>
      </c>
      <c r="AA11" s="393">
        <f t="shared" si="3"/>
        <v>0</v>
      </c>
      <c r="AB11" s="334"/>
      <c r="AC11" s="377"/>
      <c r="AD11" s="334"/>
      <c r="AE11" s="377"/>
      <c r="AF11" s="377"/>
      <c r="AG11" s="377"/>
      <c r="AH11" s="396">
        <f t="shared" si="4"/>
        <v>0</v>
      </c>
      <c r="AI11" s="64" t="str">
        <f>IF('Sch2a-Imp Price by ECM'!C12="Yes", 0, 'Sch2a-Imp Price by ECM'!L12)</f>
        <v/>
      </c>
      <c r="AJ11" s="225" t="str">
        <f>IF('Sch2a-Imp Price by ECM'!C12="Yes",0, IF(AI11="","",AI11/AH11))</f>
        <v/>
      </c>
      <c r="AK11" s="1" t="str">
        <f>IF('Sch2a-Imp Price by ECM'!M12="","",'Sch2a-Imp Price by ECM'!M12)</f>
        <v/>
      </c>
    </row>
    <row r="12" spans="1:37" ht="16.5" thickBot="1">
      <c r="A12" s="40" t="str">
        <f>IF('Sch2a-Imp Price by ECM'!B13="","",'Sch2a-Imp Price by ECM'!B13)</f>
        <v/>
      </c>
      <c r="B12" s="76" t="str">
        <f>IF('Sch2a-Imp Price by ECM'!D13="","",'Sch2a-Imp Price by ECM'!D13)</f>
        <v/>
      </c>
      <c r="C12" s="197" t="str">
        <f>IF('Sch2a-Imp Price by ECM'!G13="","",'Sch2a-Imp Price by ECM'!G13)</f>
        <v/>
      </c>
      <c r="D12" s="132"/>
      <c r="E12" s="376"/>
      <c r="F12" s="376"/>
      <c r="G12" s="376"/>
      <c r="H12" s="376"/>
      <c r="I12" s="134"/>
      <c r="J12" s="376"/>
      <c r="K12" s="376"/>
      <c r="L12" s="133"/>
      <c r="M12" s="133"/>
      <c r="N12" s="133"/>
      <c r="O12" s="134"/>
      <c r="P12" s="376"/>
      <c r="Q12" s="377"/>
      <c r="R12" s="334"/>
      <c r="S12" s="133"/>
      <c r="T12" s="334"/>
      <c r="U12" s="377"/>
      <c r="V12" s="334"/>
      <c r="W12" s="377"/>
      <c r="X12" s="334"/>
      <c r="Y12" s="377"/>
      <c r="Z12" s="392">
        <f t="shared" si="2"/>
        <v>0</v>
      </c>
      <c r="AA12" s="393">
        <f t="shared" si="3"/>
        <v>0</v>
      </c>
      <c r="AB12" s="334"/>
      <c r="AC12" s="377"/>
      <c r="AD12" s="334"/>
      <c r="AE12" s="377"/>
      <c r="AF12" s="377"/>
      <c r="AG12" s="639"/>
      <c r="AH12" s="396">
        <f t="shared" si="4"/>
        <v>0</v>
      </c>
      <c r="AI12" s="64" t="str">
        <f>IF('Sch2a-Imp Price by ECM'!C13="Yes", 0, 'Sch2a-Imp Price by ECM'!L13)</f>
        <v/>
      </c>
      <c r="AJ12" s="225" t="str">
        <f>IF('Sch2a-Imp Price by ECM'!C13="Yes",0, IF(AI12="","",AI12/AH12))</f>
        <v/>
      </c>
      <c r="AK12" s="83" t="str">
        <f>IF('Sch2a-Imp Price by ECM'!M13="","",'Sch2a-Imp Price by ECM'!M13)</f>
        <v/>
      </c>
    </row>
    <row r="13" spans="1:37" ht="18" customHeight="1" thickBot="1">
      <c r="A13" s="40" t="str">
        <f>IF('Sch2a-Imp Price by ECM'!B14="","",'Sch2a-Imp Price by ECM'!B14)</f>
        <v/>
      </c>
      <c r="B13" s="76" t="str">
        <f>IF('Sch2a-Imp Price by ECM'!D14="","",'Sch2a-Imp Price by ECM'!D14)</f>
        <v/>
      </c>
      <c r="C13" s="197" t="str">
        <f>IF('Sch2a-Imp Price by ECM'!G14="","",'Sch2a-Imp Price by ECM'!G14)</f>
        <v/>
      </c>
      <c r="D13" s="132"/>
      <c r="E13" s="376"/>
      <c r="F13" s="376"/>
      <c r="G13" s="376"/>
      <c r="H13" s="376"/>
      <c r="I13" s="134"/>
      <c r="J13" s="376"/>
      <c r="K13" s="376"/>
      <c r="L13" s="133"/>
      <c r="M13" s="133"/>
      <c r="N13" s="133"/>
      <c r="O13" s="134"/>
      <c r="P13" s="376"/>
      <c r="Q13" s="377"/>
      <c r="R13" s="334"/>
      <c r="S13" s="133"/>
      <c r="T13" s="334"/>
      <c r="U13" s="377"/>
      <c r="V13" s="334"/>
      <c r="W13" s="377"/>
      <c r="X13" s="334"/>
      <c r="Y13" s="377"/>
      <c r="Z13" s="392">
        <f t="shared" si="2"/>
        <v>0</v>
      </c>
      <c r="AA13" s="393">
        <f t="shared" si="3"/>
        <v>0</v>
      </c>
      <c r="AB13" s="334"/>
      <c r="AC13" s="377"/>
      <c r="AD13" s="334"/>
      <c r="AE13" s="377"/>
      <c r="AF13" s="377"/>
      <c r="AG13" s="377"/>
      <c r="AH13" s="396">
        <f t="shared" si="4"/>
        <v>0</v>
      </c>
      <c r="AI13" s="64" t="str">
        <f>IF('Sch2a-Imp Price by ECM'!C14="Yes", 0, 'Sch2a-Imp Price by ECM'!L14)</f>
        <v/>
      </c>
      <c r="AJ13" s="225" t="str">
        <f>IF('Sch2a-Imp Price by ECM'!C14="Yes",0, IF(AI13="","",AI13/AH13))</f>
        <v/>
      </c>
      <c r="AK13" s="83" t="str">
        <f>IF('Sch2a-Imp Price by ECM'!M14="","",'Sch2a-Imp Price by ECM'!M14)</f>
        <v/>
      </c>
    </row>
    <row r="14" spans="1:37" ht="18" customHeight="1" thickBot="1">
      <c r="A14" s="40" t="str">
        <f>IF('Sch2a-Imp Price by ECM'!B15="","",'Sch2a-Imp Price by ECM'!B15)</f>
        <v/>
      </c>
      <c r="B14" s="76" t="str">
        <f>IF('Sch2a-Imp Price by ECM'!D15="","",'Sch2a-Imp Price by ECM'!D15)</f>
        <v/>
      </c>
      <c r="C14" s="197" t="str">
        <f>IF('Sch2a-Imp Price by ECM'!G15="","",'Sch2a-Imp Price by ECM'!G15)</f>
        <v/>
      </c>
      <c r="D14" s="132"/>
      <c r="E14" s="376"/>
      <c r="F14" s="376"/>
      <c r="G14" s="376"/>
      <c r="H14" s="376"/>
      <c r="I14" s="134"/>
      <c r="J14" s="376"/>
      <c r="K14" s="376"/>
      <c r="L14" s="133"/>
      <c r="M14" s="133"/>
      <c r="N14" s="133"/>
      <c r="O14" s="134"/>
      <c r="P14" s="376"/>
      <c r="Q14" s="377"/>
      <c r="R14" s="334"/>
      <c r="S14" s="133"/>
      <c r="T14" s="334"/>
      <c r="U14" s="377"/>
      <c r="V14" s="334"/>
      <c r="W14" s="377"/>
      <c r="X14" s="334"/>
      <c r="Y14" s="377"/>
      <c r="Z14" s="392">
        <f t="shared" si="2"/>
        <v>0</v>
      </c>
      <c r="AA14" s="393">
        <f t="shared" si="3"/>
        <v>0</v>
      </c>
      <c r="AB14" s="334"/>
      <c r="AC14" s="377"/>
      <c r="AD14" s="334"/>
      <c r="AE14" s="377"/>
      <c r="AF14" s="377"/>
      <c r="AG14" s="377"/>
      <c r="AH14" s="396">
        <f t="shared" si="4"/>
        <v>0</v>
      </c>
      <c r="AI14" s="64" t="str">
        <f>IF('Sch2a-Imp Price by ECM'!C15="Yes", 0, 'Sch2a-Imp Price by ECM'!L15)</f>
        <v/>
      </c>
      <c r="AJ14" s="225" t="str">
        <f>IF('Sch2a-Imp Price by ECM'!C15="Yes",0, IF(AI14="","",AI14/AH14))</f>
        <v/>
      </c>
      <c r="AK14" s="83" t="str">
        <f>IF('Sch2a-Imp Price by ECM'!M15="","",'Sch2a-Imp Price by ECM'!M15)</f>
        <v/>
      </c>
    </row>
    <row r="15" spans="1:37" ht="16.5" thickBot="1">
      <c r="A15" s="40" t="str">
        <f>IF('Sch2a-Imp Price by ECM'!B16="","",'Sch2a-Imp Price by ECM'!B16)</f>
        <v/>
      </c>
      <c r="B15" s="76" t="str">
        <f>IF('Sch2a-Imp Price by ECM'!D16="","",'Sch2a-Imp Price by ECM'!D16)</f>
        <v/>
      </c>
      <c r="C15" s="197" t="str">
        <f>IF('Sch2a-Imp Price by ECM'!G16="","",'Sch2a-Imp Price by ECM'!G16)</f>
        <v/>
      </c>
      <c r="D15" s="132"/>
      <c r="E15" s="376"/>
      <c r="F15" s="190"/>
      <c r="G15" s="190"/>
      <c r="H15" s="190"/>
      <c r="I15" s="134"/>
      <c r="J15" s="190"/>
      <c r="K15" s="190"/>
      <c r="L15" s="133"/>
      <c r="M15" s="133"/>
      <c r="N15" s="133"/>
      <c r="O15" s="134"/>
      <c r="P15" s="190"/>
      <c r="Q15" s="133"/>
      <c r="R15" s="191"/>
      <c r="S15" s="133"/>
      <c r="T15" s="334"/>
      <c r="U15" s="192"/>
      <c r="V15" s="191"/>
      <c r="W15" s="192"/>
      <c r="X15" s="334"/>
      <c r="Y15" s="192"/>
      <c r="Z15" s="392">
        <f t="shared" si="2"/>
        <v>0</v>
      </c>
      <c r="AA15" s="393">
        <f t="shared" si="3"/>
        <v>0</v>
      </c>
      <c r="AB15" s="191"/>
      <c r="AC15" s="192"/>
      <c r="AD15" s="191"/>
      <c r="AE15" s="192"/>
      <c r="AF15" s="192"/>
      <c r="AG15" s="192"/>
      <c r="AH15" s="396">
        <f t="shared" si="4"/>
        <v>0</v>
      </c>
      <c r="AI15" s="64" t="str">
        <f>IF('Sch2a-Imp Price by ECM'!C16="Yes", 0, 'Sch2a-Imp Price by ECM'!L16)</f>
        <v/>
      </c>
      <c r="AJ15" s="225" t="str">
        <f>IF('Sch2a-Imp Price by ECM'!C16="Yes",0, IF(AI15="","",AI15/AH15))</f>
        <v/>
      </c>
      <c r="AK15" s="83" t="str">
        <f>IF('Sch2a-Imp Price by ECM'!M16="","",'Sch2a-Imp Price by ECM'!M16)</f>
        <v/>
      </c>
    </row>
    <row r="16" spans="1:37" ht="16.5" thickBot="1">
      <c r="A16" s="40" t="str">
        <f>IF('Sch2a-Imp Price by ECM'!B17="","",'Sch2a-Imp Price by ECM'!B17)</f>
        <v/>
      </c>
      <c r="B16" s="76" t="str">
        <f>IF('Sch2a-Imp Price by ECM'!D17="","",'Sch2a-Imp Price by ECM'!D17)</f>
        <v/>
      </c>
      <c r="C16" s="197" t="str">
        <f>IF('Sch2a-Imp Price by ECM'!G17="","",'Sch2a-Imp Price by ECM'!G17)</f>
        <v/>
      </c>
      <c r="D16" s="132"/>
      <c r="E16" s="376"/>
      <c r="F16" s="190"/>
      <c r="G16" s="190"/>
      <c r="H16" s="190"/>
      <c r="I16" s="134"/>
      <c r="J16" s="190"/>
      <c r="K16" s="190"/>
      <c r="L16" s="133"/>
      <c r="M16" s="133"/>
      <c r="N16" s="133"/>
      <c r="O16" s="127"/>
      <c r="P16" s="190"/>
      <c r="Q16" s="133"/>
      <c r="R16" s="191"/>
      <c r="S16" s="133"/>
      <c r="T16" s="334"/>
      <c r="U16" s="192"/>
      <c r="V16" s="191"/>
      <c r="W16" s="192"/>
      <c r="X16" s="334"/>
      <c r="Y16" s="192"/>
      <c r="Z16" s="392">
        <f t="shared" si="2"/>
        <v>0</v>
      </c>
      <c r="AA16" s="393">
        <f t="shared" si="3"/>
        <v>0</v>
      </c>
      <c r="AB16" s="191"/>
      <c r="AC16" s="192"/>
      <c r="AD16" s="191"/>
      <c r="AE16" s="192"/>
      <c r="AF16" s="192"/>
      <c r="AG16" s="192"/>
      <c r="AH16" s="396">
        <f t="shared" si="4"/>
        <v>0</v>
      </c>
      <c r="AI16" s="64" t="str">
        <f>IF('Sch2a-Imp Price by ECM'!C17="Yes", 0, 'Sch2a-Imp Price by ECM'!L17)</f>
        <v/>
      </c>
      <c r="AJ16" s="225" t="str">
        <f>IF('Sch2a-Imp Price by ECM'!C17="Yes",0, IF(AI16="","",AI16/AH16))</f>
        <v/>
      </c>
      <c r="AK16" s="83" t="str">
        <f>IF('Sch2a-Imp Price by ECM'!M17="","",'Sch2a-Imp Price by ECM'!M17)</f>
        <v/>
      </c>
    </row>
    <row r="17" spans="1:37" ht="16.5" thickBot="1">
      <c r="A17" s="40" t="str">
        <f>IF('Sch2a-Imp Price by ECM'!B18="","",'Sch2a-Imp Price by ECM'!B18)</f>
        <v/>
      </c>
      <c r="B17" s="76" t="str">
        <f>IF('Sch2a-Imp Price by ECM'!D18="","",'Sch2a-Imp Price by ECM'!D18)</f>
        <v/>
      </c>
      <c r="C17" s="197" t="str">
        <f>IF('Sch2a-Imp Price by ECM'!G18="","",'Sch2a-Imp Price by ECM'!G18)</f>
        <v/>
      </c>
      <c r="D17" s="132"/>
      <c r="E17" s="376"/>
      <c r="F17" s="190"/>
      <c r="G17" s="190"/>
      <c r="H17" s="190"/>
      <c r="I17" s="134"/>
      <c r="J17" s="190"/>
      <c r="K17" s="190"/>
      <c r="L17" s="133"/>
      <c r="M17" s="133"/>
      <c r="N17" s="133"/>
      <c r="O17" s="127"/>
      <c r="P17" s="190"/>
      <c r="Q17" s="133"/>
      <c r="R17" s="191"/>
      <c r="S17" s="133"/>
      <c r="T17" s="334"/>
      <c r="U17" s="192"/>
      <c r="V17" s="191"/>
      <c r="W17" s="192"/>
      <c r="X17" s="334"/>
      <c r="Y17" s="192"/>
      <c r="Z17" s="392">
        <f t="shared" si="2"/>
        <v>0</v>
      </c>
      <c r="AA17" s="393">
        <f t="shared" si="3"/>
        <v>0</v>
      </c>
      <c r="AB17" s="191"/>
      <c r="AC17" s="192"/>
      <c r="AD17" s="191"/>
      <c r="AE17" s="192"/>
      <c r="AF17" s="192"/>
      <c r="AG17" s="192"/>
      <c r="AH17" s="396">
        <f t="shared" si="4"/>
        <v>0</v>
      </c>
      <c r="AI17" s="64" t="str">
        <f>IF('Sch2a-Imp Price by ECM'!C18="Yes", 0, 'Sch2a-Imp Price by ECM'!L18)</f>
        <v/>
      </c>
      <c r="AJ17" s="225" t="str">
        <f>IF('Sch2a-Imp Price by ECM'!C18="Yes",0, IF(AI17="","",AI17/AH17))</f>
        <v/>
      </c>
      <c r="AK17" s="83" t="str">
        <f>IF('Sch2a-Imp Price by ECM'!M18="","",'Sch2a-Imp Price by ECM'!M18)</f>
        <v/>
      </c>
    </row>
    <row r="18" spans="1:37" ht="16.5" thickBot="1">
      <c r="A18" s="40" t="str">
        <f>IF('Sch2a-Imp Price by ECM'!B19="","",'Sch2a-Imp Price by ECM'!B19)</f>
        <v/>
      </c>
      <c r="B18" s="76" t="str">
        <f>IF('Sch2a-Imp Price by ECM'!D19="","",'Sch2a-Imp Price by ECM'!D19)</f>
        <v/>
      </c>
      <c r="C18" s="197" t="str">
        <f>IF('Sch2a-Imp Price by ECM'!G19="","",'Sch2a-Imp Price by ECM'!G19)</f>
        <v/>
      </c>
      <c r="D18" s="132"/>
      <c r="E18" s="376"/>
      <c r="F18" s="190"/>
      <c r="G18" s="190"/>
      <c r="H18" s="190"/>
      <c r="I18" s="134"/>
      <c r="J18" s="190"/>
      <c r="K18" s="190"/>
      <c r="L18" s="133"/>
      <c r="M18" s="133"/>
      <c r="N18" s="133"/>
      <c r="O18" s="127"/>
      <c r="P18" s="190"/>
      <c r="Q18" s="133"/>
      <c r="R18" s="191"/>
      <c r="S18" s="133"/>
      <c r="T18" s="191"/>
      <c r="U18" s="192"/>
      <c r="V18" s="191"/>
      <c r="W18" s="192"/>
      <c r="X18" s="334"/>
      <c r="Y18" s="192"/>
      <c r="Z18" s="392">
        <f t="shared" si="2"/>
        <v>0</v>
      </c>
      <c r="AA18" s="393">
        <f t="shared" si="3"/>
        <v>0</v>
      </c>
      <c r="AB18" s="191"/>
      <c r="AC18" s="192"/>
      <c r="AD18" s="191"/>
      <c r="AE18" s="192"/>
      <c r="AF18" s="192"/>
      <c r="AG18" s="192"/>
      <c r="AH18" s="396">
        <f t="shared" si="4"/>
        <v>0</v>
      </c>
      <c r="AI18" s="64" t="str">
        <f>IF('Sch2a-Imp Price by ECM'!C19="Yes", 0, 'Sch2a-Imp Price by ECM'!L19)</f>
        <v/>
      </c>
      <c r="AJ18" s="225" t="str">
        <f>IF('Sch2a-Imp Price by ECM'!C19="Yes",0, IF(AI18="","",AI18/AH18))</f>
        <v/>
      </c>
      <c r="AK18" s="83" t="str">
        <f>IF('Sch2a-Imp Price by ECM'!M19="","",'Sch2a-Imp Price by ECM'!M19)</f>
        <v/>
      </c>
    </row>
    <row r="19" spans="1:37" ht="16.5" thickBot="1">
      <c r="A19" s="40" t="str">
        <f>IF('Sch2a-Imp Price by ECM'!B20="","",'Sch2a-Imp Price by ECM'!B20)</f>
        <v/>
      </c>
      <c r="B19" s="76" t="str">
        <f>IF('Sch2a-Imp Price by ECM'!D20="","",'Sch2a-Imp Price by ECM'!D20)</f>
        <v/>
      </c>
      <c r="C19" s="197" t="str">
        <f>IF('Sch2a-Imp Price by ECM'!G20="","",'Sch2a-Imp Price by ECM'!G20)</f>
        <v/>
      </c>
      <c r="D19" s="132"/>
      <c r="E19" s="190"/>
      <c r="F19" s="190"/>
      <c r="G19" s="190"/>
      <c r="H19" s="190"/>
      <c r="I19" s="134"/>
      <c r="J19" s="190"/>
      <c r="K19" s="190"/>
      <c r="L19" s="133"/>
      <c r="M19" s="133"/>
      <c r="N19" s="133"/>
      <c r="O19" s="127"/>
      <c r="P19" s="190"/>
      <c r="Q19" s="134"/>
      <c r="R19" s="191"/>
      <c r="S19" s="133"/>
      <c r="T19" s="191"/>
      <c r="U19" s="192"/>
      <c r="V19" s="191"/>
      <c r="W19" s="192"/>
      <c r="X19" s="334"/>
      <c r="Y19" s="192"/>
      <c r="Z19" s="392">
        <f t="shared" si="2"/>
        <v>0</v>
      </c>
      <c r="AA19" s="393">
        <f t="shared" si="3"/>
        <v>0</v>
      </c>
      <c r="AB19" s="191"/>
      <c r="AC19" s="192"/>
      <c r="AD19" s="191"/>
      <c r="AE19" s="192"/>
      <c r="AF19" s="192"/>
      <c r="AG19" s="192"/>
      <c r="AH19" s="396">
        <f t="shared" si="4"/>
        <v>0</v>
      </c>
      <c r="AI19" s="64" t="str">
        <f>IF('Sch2a-Imp Price by ECM'!C20="Yes", 0, 'Sch2a-Imp Price by ECM'!L20)</f>
        <v/>
      </c>
      <c r="AJ19" s="225" t="str">
        <f>IF('Sch2a-Imp Price by ECM'!C20="Yes",0, IF(AI19="","",AI19/AH19))</f>
        <v/>
      </c>
      <c r="AK19" s="83" t="str">
        <f>IF('Sch2a-Imp Price by ECM'!M20="","",'Sch2a-Imp Price by ECM'!M20)</f>
        <v/>
      </c>
    </row>
    <row r="20" spans="1:37" ht="16.5" thickBot="1">
      <c r="A20" s="40" t="str">
        <f>IF('Sch2a-Imp Price by ECM'!B21="","",'Sch2a-Imp Price by ECM'!B21)</f>
        <v/>
      </c>
      <c r="B20" s="76" t="str">
        <f>IF('Sch2a-Imp Price by ECM'!D21="","",'Sch2a-Imp Price by ECM'!D21)</f>
        <v/>
      </c>
      <c r="C20" s="197" t="str">
        <f>IF('Sch2a-Imp Price by ECM'!G21="","",'Sch2a-Imp Price by ECM'!G21)</f>
        <v/>
      </c>
      <c r="D20" s="132"/>
      <c r="E20" s="190"/>
      <c r="F20" s="190"/>
      <c r="G20" s="190"/>
      <c r="H20" s="190"/>
      <c r="I20" s="134"/>
      <c r="J20" s="190"/>
      <c r="K20" s="190"/>
      <c r="L20" s="133"/>
      <c r="M20" s="133"/>
      <c r="N20" s="133"/>
      <c r="O20" s="127"/>
      <c r="P20" s="190"/>
      <c r="Q20" s="133"/>
      <c r="R20" s="191"/>
      <c r="S20" s="133"/>
      <c r="T20" s="191"/>
      <c r="U20" s="192"/>
      <c r="V20" s="191"/>
      <c r="W20" s="192"/>
      <c r="X20" s="334"/>
      <c r="Y20" s="192"/>
      <c r="Z20" s="392">
        <f t="shared" si="2"/>
        <v>0</v>
      </c>
      <c r="AA20" s="393">
        <f t="shared" si="3"/>
        <v>0</v>
      </c>
      <c r="AB20" s="191"/>
      <c r="AC20" s="192"/>
      <c r="AD20" s="191"/>
      <c r="AE20" s="192"/>
      <c r="AF20" s="192"/>
      <c r="AG20" s="192"/>
      <c r="AH20" s="396">
        <f t="shared" si="4"/>
        <v>0</v>
      </c>
      <c r="AI20" s="64" t="str">
        <f>IF('Sch2a-Imp Price by ECM'!C21="Yes", 0, 'Sch2a-Imp Price by ECM'!L21)</f>
        <v/>
      </c>
      <c r="AJ20" s="225" t="str">
        <f>IF('Sch2a-Imp Price by ECM'!C21="Yes",0, IF(AI20="","",AI20/AH20))</f>
        <v/>
      </c>
      <c r="AK20" s="1" t="str">
        <f>IF('Sch2a-Imp Price by ECM'!M21="","",'Sch2a-Imp Price by ECM'!M21)</f>
        <v/>
      </c>
    </row>
    <row r="21" spans="1:37" ht="16.5" thickBot="1">
      <c r="A21" s="40" t="str">
        <f>IF('Sch2a-Imp Price by ECM'!B22="","",'Sch2a-Imp Price by ECM'!B22)</f>
        <v/>
      </c>
      <c r="B21" s="76" t="str">
        <f>IF('Sch2a-Imp Price by ECM'!D22="","",'Sch2a-Imp Price by ECM'!D22)</f>
        <v/>
      </c>
      <c r="C21" s="197" t="str">
        <f>IF('Sch2a-Imp Price by ECM'!G22="","",'Sch2a-Imp Price by ECM'!G22)</f>
        <v/>
      </c>
      <c r="D21" s="132"/>
      <c r="E21" s="190"/>
      <c r="F21" s="190"/>
      <c r="G21" s="190"/>
      <c r="H21" s="190"/>
      <c r="I21" s="134"/>
      <c r="J21" s="190"/>
      <c r="K21" s="190"/>
      <c r="L21" s="133"/>
      <c r="M21" s="133"/>
      <c r="N21" s="133"/>
      <c r="O21" s="127"/>
      <c r="P21" s="190"/>
      <c r="Q21" s="133"/>
      <c r="R21" s="191"/>
      <c r="S21" s="133"/>
      <c r="T21" s="191"/>
      <c r="U21" s="192"/>
      <c r="V21" s="191"/>
      <c r="W21" s="192"/>
      <c r="X21" s="334"/>
      <c r="Y21" s="192"/>
      <c r="Z21" s="392">
        <f t="shared" si="2"/>
        <v>0</v>
      </c>
      <c r="AA21" s="393">
        <f t="shared" si="3"/>
        <v>0</v>
      </c>
      <c r="AB21" s="191"/>
      <c r="AC21" s="192"/>
      <c r="AD21" s="191"/>
      <c r="AE21" s="192"/>
      <c r="AF21" s="192"/>
      <c r="AG21" s="192"/>
      <c r="AH21" s="396">
        <f t="shared" si="4"/>
        <v>0</v>
      </c>
      <c r="AI21" s="64" t="str">
        <f>IF('Sch2a-Imp Price by ECM'!C22="Yes", 0, 'Sch2a-Imp Price by ECM'!L22)</f>
        <v/>
      </c>
      <c r="AJ21" s="225" t="str">
        <f>IF('Sch2a-Imp Price by ECM'!C22="Yes",0, IF(AI21="","",AI21/AH21))</f>
        <v/>
      </c>
      <c r="AK21" s="1" t="str">
        <f>IF('Sch2a-Imp Price by ECM'!M22="","",'Sch2a-Imp Price by ECM'!M22)</f>
        <v/>
      </c>
    </row>
    <row r="22" spans="1:37" ht="16.5" thickBot="1">
      <c r="A22" s="40" t="str">
        <f>IF('Sch2a-Imp Price by ECM'!B23="","",'Sch2a-Imp Price by ECM'!B23)</f>
        <v/>
      </c>
      <c r="B22" s="76" t="str">
        <f>IF('Sch2a-Imp Price by ECM'!D23="","",'Sch2a-Imp Price by ECM'!D23)</f>
        <v/>
      </c>
      <c r="C22" s="197" t="str">
        <f>IF('Sch2a-Imp Price by ECM'!G23="","",'Sch2a-Imp Price by ECM'!G23)</f>
        <v/>
      </c>
      <c r="D22" s="132"/>
      <c r="E22" s="190"/>
      <c r="F22" s="190"/>
      <c r="G22" s="190"/>
      <c r="H22" s="190"/>
      <c r="I22" s="134"/>
      <c r="J22" s="190"/>
      <c r="K22" s="190"/>
      <c r="L22" s="133"/>
      <c r="M22" s="133"/>
      <c r="N22" s="133"/>
      <c r="O22" s="127"/>
      <c r="P22" s="190"/>
      <c r="Q22" s="133"/>
      <c r="R22" s="191"/>
      <c r="S22" s="133"/>
      <c r="T22" s="191"/>
      <c r="U22" s="192"/>
      <c r="V22" s="191"/>
      <c r="W22" s="192"/>
      <c r="X22" s="334"/>
      <c r="Y22" s="192"/>
      <c r="Z22" s="392">
        <f t="shared" si="2"/>
        <v>0</v>
      </c>
      <c r="AA22" s="393">
        <f t="shared" si="3"/>
        <v>0</v>
      </c>
      <c r="AB22" s="191"/>
      <c r="AC22" s="192"/>
      <c r="AD22" s="191"/>
      <c r="AE22" s="192"/>
      <c r="AF22" s="192"/>
      <c r="AG22" s="192"/>
      <c r="AH22" s="396">
        <f t="shared" si="4"/>
        <v>0</v>
      </c>
      <c r="AI22" s="64" t="str">
        <f>IF('Sch2a-Imp Price by ECM'!C23="Yes", 0, 'Sch2a-Imp Price by ECM'!L23)</f>
        <v/>
      </c>
      <c r="AJ22" s="225" t="str">
        <f>IF('Sch2a-Imp Price by ECM'!C23="Yes",0, IF(AI22="","",AI22/AH22))</f>
        <v/>
      </c>
      <c r="AK22" s="1" t="str">
        <f>IF('Sch2a-Imp Price by ECM'!M23="","",'Sch2a-Imp Price by ECM'!M23)</f>
        <v/>
      </c>
    </row>
    <row r="23" spans="1:37" ht="16.5" thickBot="1">
      <c r="A23" s="40" t="str">
        <f>IF('Sch2a-Imp Price by ECM'!B24="","",'Sch2a-Imp Price by ECM'!B24)</f>
        <v/>
      </c>
      <c r="B23" s="76" t="str">
        <f>IF('Sch2a-Imp Price by ECM'!D24="","",'Sch2a-Imp Price by ECM'!D24)</f>
        <v/>
      </c>
      <c r="C23" s="197" t="str">
        <f>IF('Sch2a-Imp Price by ECM'!G24="","",'Sch2a-Imp Price by ECM'!G24)</f>
        <v/>
      </c>
      <c r="D23" s="132"/>
      <c r="E23" s="190"/>
      <c r="F23" s="190"/>
      <c r="G23" s="190"/>
      <c r="H23" s="190"/>
      <c r="I23" s="134"/>
      <c r="J23" s="190"/>
      <c r="K23" s="190"/>
      <c r="L23" s="133"/>
      <c r="M23" s="133"/>
      <c r="N23" s="133"/>
      <c r="O23" s="127"/>
      <c r="P23" s="190"/>
      <c r="Q23" s="133"/>
      <c r="R23" s="191"/>
      <c r="S23" s="133"/>
      <c r="T23" s="191"/>
      <c r="U23" s="192"/>
      <c r="V23" s="191"/>
      <c r="W23" s="192"/>
      <c r="X23" s="334"/>
      <c r="Y23" s="192"/>
      <c r="Z23" s="392">
        <f t="shared" si="2"/>
        <v>0</v>
      </c>
      <c r="AA23" s="393">
        <f t="shared" si="3"/>
        <v>0</v>
      </c>
      <c r="AB23" s="191"/>
      <c r="AC23" s="192"/>
      <c r="AD23" s="191"/>
      <c r="AE23" s="192"/>
      <c r="AF23" s="192"/>
      <c r="AG23" s="192"/>
      <c r="AH23" s="396">
        <f t="shared" si="4"/>
        <v>0</v>
      </c>
      <c r="AI23" s="64" t="str">
        <f>IF('Sch2a-Imp Price by ECM'!C24="Yes", 0, 'Sch2a-Imp Price by ECM'!L24)</f>
        <v/>
      </c>
      <c r="AJ23" s="225" t="str">
        <f>IF('Sch2a-Imp Price by ECM'!C24="Yes",0, IF(AI23="","",AI23/AH23))</f>
        <v/>
      </c>
      <c r="AK23" s="1" t="str">
        <f>IF('Sch2a-Imp Price by ECM'!M24="","",'Sch2a-Imp Price by ECM'!M24)</f>
        <v/>
      </c>
    </row>
    <row r="24" spans="1:37" ht="16.5" thickBot="1">
      <c r="A24" s="40" t="str">
        <f>IF('Sch2a-Imp Price by ECM'!B25="","",'Sch2a-Imp Price by ECM'!B25)</f>
        <v/>
      </c>
      <c r="B24" s="76" t="str">
        <f>IF('Sch2a-Imp Price by ECM'!D25="","",'Sch2a-Imp Price by ECM'!D25)</f>
        <v/>
      </c>
      <c r="C24" s="197" t="str">
        <f>IF('Sch2a-Imp Price by ECM'!G25="","",'Sch2a-Imp Price by ECM'!G25)</f>
        <v/>
      </c>
      <c r="D24" s="132"/>
      <c r="E24" s="190"/>
      <c r="F24" s="190"/>
      <c r="G24" s="190"/>
      <c r="H24" s="190"/>
      <c r="I24" s="134"/>
      <c r="J24" s="190"/>
      <c r="K24" s="190"/>
      <c r="L24" s="133"/>
      <c r="M24" s="133"/>
      <c r="N24" s="133"/>
      <c r="O24" s="127"/>
      <c r="P24" s="190"/>
      <c r="Q24" s="133"/>
      <c r="R24" s="191"/>
      <c r="S24" s="133"/>
      <c r="T24" s="191"/>
      <c r="U24" s="192"/>
      <c r="V24" s="191"/>
      <c r="W24" s="192"/>
      <c r="X24" s="334"/>
      <c r="Y24" s="192"/>
      <c r="Z24" s="392">
        <f t="shared" si="2"/>
        <v>0</v>
      </c>
      <c r="AA24" s="393">
        <f t="shared" si="3"/>
        <v>0</v>
      </c>
      <c r="AB24" s="191"/>
      <c r="AC24" s="192"/>
      <c r="AD24" s="191"/>
      <c r="AE24" s="192"/>
      <c r="AF24" s="192"/>
      <c r="AG24" s="192"/>
      <c r="AH24" s="396">
        <f t="shared" si="4"/>
        <v>0</v>
      </c>
      <c r="AI24" s="64" t="str">
        <f>IF('Sch2a-Imp Price by ECM'!C25="Yes", 0, 'Sch2a-Imp Price by ECM'!L25)</f>
        <v/>
      </c>
      <c r="AJ24" s="225" t="str">
        <f>IF('Sch2a-Imp Price by ECM'!C25="Yes",0, IF(AI24="","",AI24/AH24))</f>
        <v/>
      </c>
      <c r="AK24" s="1" t="str">
        <f>IF('Sch2a-Imp Price by ECM'!M25="","",'Sch2a-Imp Price by ECM'!M25)</f>
        <v/>
      </c>
    </row>
    <row r="25" spans="1:37" ht="16.5" thickBot="1">
      <c r="A25" s="40" t="str">
        <f>IF('Sch2a-Imp Price by ECM'!B26="","",'Sch2a-Imp Price by ECM'!B26)</f>
        <v/>
      </c>
      <c r="B25" s="76" t="str">
        <f>IF('Sch2a-Imp Price by ECM'!D26="","",'Sch2a-Imp Price by ECM'!D26)</f>
        <v/>
      </c>
      <c r="C25" s="197" t="str">
        <f>IF('Sch2a-Imp Price by ECM'!G26="","",'Sch2a-Imp Price by ECM'!G26)</f>
        <v/>
      </c>
      <c r="D25" s="132"/>
      <c r="E25" s="190"/>
      <c r="F25" s="190"/>
      <c r="G25" s="190"/>
      <c r="H25" s="190"/>
      <c r="I25" s="134"/>
      <c r="J25" s="190"/>
      <c r="K25" s="190"/>
      <c r="L25" s="133"/>
      <c r="M25" s="133"/>
      <c r="N25" s="133"/>
      <c r="O25" s="127"/>
      <c r="P25" s="190"/>
      <c r="Q25" s="133"/>
      <c r="R25" s="191"/>
      <c r="S25" s="133"/>
      <c r="T25" s="191"/>
      <c r="U25" s="192"/>
      <c r="V25" s="191"/>
      <c r="W25" s="192"/>
      <c r="X25" s="334"/>
      <c r="Y25" s="192"/>
      <c r="Z25" s="392">
        <f t="shared" si="2"/>
        <v>0</v>
      </c>
      <c r="AA25" s="393">
        <f t="shared" si="3"/>
        <v>0</v>
      </c>
      <c r="AB25" s="191"/>
      <c r="AC25" s="192"/>
      <c r="AD25" s="191"/>
      <c r="AE25" s="192"/>
      <c r="AF25" s="192"/>
      <c r="AG25" s="192"/>
      <c r="AH25" s="396">
        <f t="shared" si="4"/>
        <v>0</v>
      </c>
      <c r="AI25" s="64" t="str">
        <f>IF('Sch2a-Imp Price by ECM'!C26="Yes", 0, 'Sch2a-Imp Price by ECM'!L26)</f>
        <v/>
      </c>
      <c r="AJ25" s="225" t="str">
        <f>IF('Sch2a-Imp Price by ECM'!C26="Yes",0, IF(AI25="","",AI25/AH25))</f>
        <v/>
      </c>
      <c r="AK25" s="1" t="str">
        <f>IF('Sch2a-Imp Price by ECM'!M26="","",'Sch2a-Imp Price by ECM'!M26)</f>
        <v/>
      </c>
    </row>
    <row r="26" spans="1:37" ht="16.5" thickBot="1">
      <c r="A26" s="40" t="str">
        <f>IF('Sch2a-Imp Price by ECM'!B27="","",'Sch2a-Imp Price by ECM'!B27)</f>
        <v/>
      </c>
      <c r="B26" s="76" t="str">
        <f>IF('Sch2a-Imp Price by ECM'!D27="","",'Sch2a-Imp Price by ECM'!D27)</f>
        <v/>
      </c>
      <c r="C26" s="197" t="str">
        <f>IF('Sch2a-Imp Price by ECM'!G27="","",'Sch2a-Imp Price by ECM'!G27)</f>
        <v/>
      </c>
      <c r="D26" s="132"/>
      <c r="E26" s="190"/>
      <c r="F26" s="190"/>
      <c r="G26" s="190"/>
      <c r="H26" s="190"/>
      <c r="I26" s="134"/>
      <c r="J26" s="190"/>
      <c r="K26" s="190"/>
      <c r="L26" s="133"/>
      <c r="M26" s="133"/>
      <c r="N26" s="133"/>
      <c r="O26" s="127"/>
      <c r="P26" s="190"/>
      <c r="Q26" s="133"/>
      <c r="R26" s="191"/>
      <c r="S26" s="133"/>
      <c r="T26" s="191"/>
      <c r="U26" s="192"/>
      <c r="V26" s="191"/>
      <c r="W26" s="192"/>
      <c r="X26" s="334"/>
      <c r="Y26" s="192"/>
      <c r="Z26" s="392">
        <f t="shared" si="2"/>
        <v>0</v>
      </c>
      <c r="AA26" s="393">
        <f t="shared" si="3"/>
        <v>0</v>
      </c>
      <c r="AB26" s="191"/>
      <c r="AC26" s="192"/>
      <c r="AD26" s="191"/>
      <c r="AE26" s="192"/>
      <c r="AF26" s="192"/>
      <c r="AG26" s="192"/>
      <c r="AH26" s="396">
        <f t="shared" si="4"/>
        <v>0</v>
      </c>
      <c r="AI26" s="64" t="str">
        <f>IF('Sch2a-Imp Price by ECM'!C27="Yes", 0, 'Sch2a-Imp Price by ECM'!L27)</f>
        <v/>
      </c>
      <c r="AJ26" s="225" t="str">
        <f>IF('Sch2a-Imp Price by ECM'!C27="Yes",0, IF(AI26="","",AI26/AH26))</f>
        <v/>
      </c>
      <c r="AK26" s="1" t="str">
        <f>IF('Sch2a-Imp Price by ECM'!M27="","",'Sch2a-Imp Price by ECM'!M27)</f>
        <v/>
      </c>
    </row>
    <row r="27" spans="1:37" ht="16.5" thickBot="1">
      <c r="A27" s="40" t="str">
        <f>IF('Sch2a-Imp Price by ECM'!B28="","",'Sch2a-Imp Price by ECM'!B28)</f>
        <v/>
      </c>
      <c r="B27" s="76" t="str">
        <f>IF('Sch2a-Imp Price by ECM'!D28="","",'Sch2a-Imp Price by ECM'!D28)</f>
        <v/>
      </c>
      <c r="C27" s="197" t="str">
        <f>IF('Sch2a-Imp Price by ECM'!G28="","",'Sch2a-Imp Price by ECM'!G28)</f>
        <v/>
      </c>
      <c r="D27" s="132"/>
      <c r="E27" s="190"/>
      <c r="F27" s="190"/>
      <c r="G27" s="190"/>
      <c r="H27" s="190"/>
      <c r="I27" s="134"/>
      <c r="J27" s="190"/>
      <c r="K27" s="190"/>
      <c r="L27" s="133"/>
      <c r="M27" s="133"/>
      <c r="N27" s="133"/>
      <c r="O27" s="127"/>
      <c r="P27" s="190"/>
      <c r="Q27" s="133"/>
      <c r="R27" s="191"/>
      <c r="S27" s="133"/>
      <c r="T27" s="191"/>
      <c r="U27" s="192"/>
      <c r="V27" s="191"/>
      <c r="W27" s="192"/>
      <c r="X27" s="334"/>
      <c r="Y27" s="192"/>
      <c r="Z27" s="392">
        <f t="shared" si="2"/>
        <v>0</v>
      </c>
      <c r="AA27" s="393">
        <f t="shared" si="3"/>
        <v>0</v>
      </c>
      <c r="AB27" s="191"/>
      <c r="AC27" s="192"/>
      <c r="AD27" s="191"/>
      <c r="AE27" s="192"/>
      <c r="AF27" s="192"/>
      <c r="AG27" s="192"/>
      <c r="AH27" s="396">
        <f t="shared" si="4"/>
        <v>0</v>
      </c>
      <c r="AI27" s="64" t="str">
        <f>IF('Sch2a-Imp Price by ECM'!C28="Yes", 0, 'Sch2a-Imp Price by ECM'!L28)</f>
        <v/>
      </c>
      <c r="AJ27" s="225" t="str">
        <f>IF('Sch2a-Imp Price by ECM'!C28="Yes",0, IF(AI27="","",AI27/AH27))</f>
        <v/>
      </c>
      <c r="AK27" s="1" t="str">
        <f>IF('Sch2a-Imp Price by ECM'!M28="","",'Sch2a-Imp Price by ECM'!M28)</f>
        <v/>
      </c>
    </row>
    <row r="28" spans="1:37" ht="16.5" thickBot="1">
      <c r="A28" s="40" t="str">
        <f>IF('Sch2a-Imp Price by ECM'!B29="","",'Sch2a-Imp Price by ECM'!B29)</f>
        <v/>
      </c>
      <c r="B28" s="76" t="str">
        <f>IF('Sch2a-Imp Price by ECM'!D29="","",'Sch2a-Imp Price by ECM'!D29)</f>
        <v/>
      </c>
      <c r="C28" s="197" t="str">
        <f>IF('Sch2a-Imp Price by ECM'!G29="","",'Sch2a-Imp Price by ECM'!G29)</f>
        <v/>
      </c>
      <c r="D28" s="132"/>
      <c r="E28" s="190"/>
      <c r="F28" s="190"/>
      <c r="G28" s="190"/>
      <c r="H28" s="190"/>
      <c r="I28" s="134"/>
      <c r="J28" s="190"/>
      <c r="K28" s="190"/>
      <c r="L28" s="133"/>
      <c r="M28" s="133"/>
      <c r="N28" s="133"/>
      <c r="O28" s="127"/>
      <c r="P28" s="190"/>
      <c r="Q28" s="133"/>
      <c r="R28" s="191"/>
      <c r="S28" s="133"/>
      <c r="T28" s="191"/>
      <c r="U28" s="192"/>
      <c r="V28" s="191"/>
      <c r="W28" s="192"/>
      <c r="X28" s="334"/>
      <c r="Y28" s="192"/>
      <c r="Z28" s="392">
        <f t="shared" si="2"/>
        <v>0</v>
      </c>
      <c r="AA28" s="393">
        <f t="shared" si="3"/>
        <v>0</v>
      </c>
      <c r="AB28" s="191"/>
      <c r="AC28" s="192"/>
      <c r="AD28" s="191"/>
      <c r="AE28" s="192"/>
      <c r="AF28" s="192"/>
      <c r="AG28" s="192"/>
      <c r="AH28" s="396">
        <f t="shared" si="4"/>
        <v>0</v>
      </c>
      <c r="AI28" s="64" t="str">
        <f>IF('Sch2a-Imp Price by ECM'!C29="Yes", 0, 'Sch2a-Imp Price by ECM'!L29)</f>
        <v/>
      </c>
      <c r="AJ28" s="225" t="str">
        <f>IF('Sch2a-Imp Price by ECM'!C29="Yes",0, IF(AI28="","",AI28/AH28))</f>
        <v/>
      </c>
      <c r="AK28" s="1" t="str">
        <f>IF('Sch2a-Imp Price by ECM'!M29="","",'Sch2a-Imp Price by ECM'!M29)</f>
        <v/>
      </c>
    </row>
    <row r="29" spans="1:37" ht="16.5" thickBot="1">
      <c r="A29" s="40" t="str">
        <f>IF('Sch2a-Imp Price by ECM'!B30="","",'Sch2a-Imp Price by ECM'!B30)</f>
        <v/>
      </c>
      <c r="B29" s="76" t="str">
        <f>IF('Sch2a-Imp Price by ECM'!D30="","",'Sch2a-Imp Price by ECM'!D30)</f>
        <v/>
      </c>
      <c r="C29" s="197" t="str">
        <f>IF('Sch2a-Imp Price by ECM'!G30="","",'Sch2a-Imp Price by ECM'!G30)</f>
        <v/>
      </c>
      <c r="D29" s="132"/>
      <c r="E29" s="190"/>
      <c r="F29" s="190"/>
      <c r="G29" s="190"/>
      <c r="H29" s="190"/>
      <c r="I29" s="134"/>
      <c r="J29" s="190"/>
      <c r="K29" s="190"/>
      <c r="L29" s="133"/>
      <c r="M29" s="133"/>
      <c r="N29" s="133"/>
      <c r="O29" s="127"/>
      <c r="P29" s="190"/>
      <c r="Q29" s="133"/>
      <c r="R29" s="191"/>
      <c r="S29" s="133"/>
      <c r="T29" s="191"/>
      <c r="U29" s="192"/>
      <c r="V29" s="191"/>
      <c r="W29" s="192"/>
      <c r="X29" s="334"/>
      <c r="Y29" s="192"/>
      <c r="Z29" s="392">
        <f t="shared" si="2"/>
        <v>0</v>
      </c>
      <c r="AA29" s="393">
        <f t="shared" si="3"/>
        <v>0</v>
      </c>
      <c r="AB29" s="191"/>
      <c r="AC29" s="192"/>
      <c r="AD29" s="191"/>
      <c r="AE29" s="192"/>
      <c r="AF29" s="192"/>
      <c r="AG29" s="192"/>
      <c r="AH29" s="396">
        <f t="shared" si="4"/>
        <v>0</v>
      </c>
      <c r="AI29" s="64" t="str">
        <f>IF('Sch2a-Imp Price by ECM'!C30="Yes", 0, 'Sch2a-Imp Price by ECM'!L30)</f>
        <v/>
      </c>
      <c r="AJ29" s="225" t="str">
        <f>IF('Sch2a-Imp Price by ECM'!C30="Yes",0, IF(AI29="","",AI29/AH29))</f>
        <v/>
      </c>
      <c r="AK29" s="1" t="str">
        <f>IF('Sch2a-Imp Price by ECM'!M30="","",'Sch2a-Imp Price by ECM'!M30)</f>
        <v/>
      </c>
    </row>
    <row r="30" spans="1:37" ht="16.5" thickBot="1">
      <c r="A30" s="40" t="str">
        <f>IF('Sch2a-Imp Price by ECM'!B31="","",'Sch2a-Imp Price by ECM'!B31)</f>
        <v/>
      </c>
      <c r="B30" s="76" t="str">
        <f>IF('Sch2a-Imp Price by ECM'!D31="","",'Sch2a-Imp Price by ECM'!D31)</f>
        <v/>
      </c>
      <c r="C30" s="197" t="str">
        <f>IF('Sch2a-Imp Price by ECM'!G31="","",'Sch2a-Imp Price by ECM'!G31)</f>
        <v/>
      </c>
      <c r="D30" s="132"/>
      <c r="E30" s="190"/>
      <c r="F30" s="190"/>
      <c r="G30" s="190"/>
      <c r="H30" s="190"/>
      <c r="I30" s="134"/>
      <c r="J30" s="190"/>
      <c r="K30" s="190"/>
      <c r="L30" s="133"/>
      <c r="M30" s="133"/>
      <c r="N30" s="133"/>
      <c r="O30" s="134"/>
      <c r="P30" s="190"/>
      <c r="Q30" s="133"/>
      <c r="R30" s="191"/>
      <c r="S30" s="133"/>
      <c r="T30" s="191"/>
      <c r="U30" s="192"/>
      <c r="V30" s="191"/>
      <c r="W30" s="192"/>
      <c r="X30" s="334"/>
      <c r="Y30" s="192"/>
      <c r="Z30" s="392">
        <f t="shared" si="2"/>
        <v>0</v>
      </c>
      <c r="AA30" s="393">
        <f t="shared" si="3"/>
        <v>0</v>
      </c>
      <c r="AB30" s="191"/>
      <c r="AC30" s="192"/>
      <c r="AD30" s="191"/>
      <c r="AE30" s="192"/>
      <c r="AF30" s="192"/>
      <c r="AG30" s="192"/>
      <c r="AH30" s="396">
        <f t="shared" si="4"/>
        <v>0</v>
      </c>
      <c r="AI30" s="64" t="str">
        <f>IF('Sch2a-Imp Price by ECM'!C31="Yes", 0, 'Sch2a-Imp Price by ECM'!L31)</f>
        <v/>
      </c>
      <c r="AJ30" s="225" t="str">
        <f>IF('Sch2a-Imp Price by ECM'!C31="Yes",0, IF(AI30="","",AI30/AH30))</f>
        <v/>
      </c>
      <c r="AK30" s="1" t="str">
        <f>IF('Sch2a-Imp Price by ECM'!M31="","",'Sch2a-Imp Price by ECM'!M31)</f>
        <v/>
      </c>
    </row>
    <row r="31" spans="1:37" ht="16.5" thickBot="1">
      <c r="A31" s="40" t="str">
        <f>IF('Sch2a-Imp Price by ECM'!B32="","",'Sch2a-Imp Price by ECM'!B32)</f>
        <v/>
      </c>
      <c r="B31" s="76" t="str">
        <f>IF('Sch2a-Imp Price by ECM'!D32="","",'Sch2a-Imp Price by ECM'!D32)</f>
        <v/>
      </c>
      <c r="C31" s="197" t="str">
        <f>IF('Sch2a-Imp Price by ECM'!G32="","",'Sch2a-Imp Price by ECM'!G32)</f>
        <v/>
      </c>
      <c r="D31" s="132"/>
      <c r="E31" s="190"/>
      <c r="F31" s="190"/>
      <c r="G31" s="190"/>
      <c r="H31" s="190"/>
      <c r="I31" s="134"/>
      <c r="J31" s="190"/>
      <c r="K31" s="190"/>
      <c r="L31" s="133"/>
      <c r="M31" s="133"/>
      <c r="N31" s="133"/>
      <c r="O31" s="134"/>
      <c r="P31" s="190"/>
      <c r="Q31" s="133"/>
      <c r="R31" s="191"/>
      <c r="S31" s="133"/>
      <c r="T31" s="191"/>
      <c r="U31" s="192"/>
      <c r="V31" s="191"/>
      <c r="W31" s="192"/>
      <c r="X31" s="334"/>
      <c r="Y31" s="192"/>
      <c r="Z31" s="392">
        <f t="shared" si="2"/>
        <v>0</v>
      </c>
      <c r="AA31" s="393">
        <f t="shared" si="3"/>
        <v>0</v>
      </c>
      <c r="AB31" s="191"/>
      <c r="AC31" s="192"/>
      <c r="AD31" s="191"/>
      <c r="AE31" s="192"/>
      <c r="AF31" s="192"/>
      <c r="AG31" s="192"/>
      <c r="AH31" s="396">
        <f t="shared" si="4"/>
        <v>0</v>
      </c>
      <c r="AI31" s="64" t="str">
        <f>IF('Sch2a-Imp Price by ECM'!C32="Yes", 0, 'Sch2a-Imp Price by ECM'!L32)</f>
        <v/>
      </c>
      <c r="AJ31" s="225" t="str">
        <f>IF('Sch2a-Imp Price by ECM'!C32="Yes",0, IF(AI31="","",AI31/AH31))</f>
        <v/>
      </c>
      <c r="AK31" s="1" t="str">
        <f>IF('Sch2a-Imp Price by ECM'!M32="","",'Sch2a-Imp Price by ECM'!M32)</f>
        <v/>
      </c>
    </row>
    <row r="32" spans="1:37" ht="16.5" thickBot="1">
      <c r="A32" s="40" t="str">
        <f>IF('Sch2a-Imp Price by ECM'!B33="","",'Sch2a-Imp Price by ECM'!B33)</f>
        <v/>
      </c>
      <c r="B32" s="76" t="str">
        <f>IF('Sch2a-Imp Price by ECM'!D33="","",'Sch2a-Imp Price by ECM'!D33)</f>
        <v/>
      </c>
      <c r="C32" s="197" t="str">
        <f>IF('Sch2a-Imp Price by ECM'!G33="","",'Sch2a-Imp Price by ECM'!G33)</f>
        <v/>
      </c>
      <c r="D32" s="132"/>
      <c r="E32" s="190"/>
      <c r="F32" s="190"/>
      <c r="G32" s="190"/>
      <c r="H32" s="190"/>
      <c r="I32" s="134"/>
      <c r="J32" s="190"/>
      <c r="K32" s="190"/>
      <c r="L32" s="133"/>
      <c r="M32" s="133"/>
      <c r="N32" s="133"/>
      <c r="O32" s="134"/>
      <c r="P32" s="190"/>
      <c r="Q32" s="133"/>
      <c r="R32" s="191"/>
      <c r="S32" s="133"/>
      <c r="T32" s="191"/>
      <c r="U32" s="192"/>
      <c r="V32" s="191"/>
      <c r="W32" s="192"/>
      <c r="X32" s="334"/>
      <c r="Y32" s="192"/>
      <c r="Z32" s="392">
        <f t="shared" si="2"/>
        <v>0</v>
      </c>
      <c r="AA32" s="393">
        <f t="shared" si="3"/>
        <v>0</v>
      </c>
      <c r="AB32" s="191"/>
      <c r="AC32" s="192"/>
      <c r="AD32" s="191"/>
      <c r="AE32" s="192"/>
      <c r="AF32" s="192"/>
      <c r="AG32" s="192"/>
      <c r="AH32" s="396">
        <f t="shared" si="4"/>
        <v>0</v>
      </c>
      <c r="AI32" s="64" t="str">
        <f>IF('Sch2a-Imp Price by ECM'!C33="Yes", 0, 'Sch2a-Imp Price by ECM'!L33)</f>
        <v/>
      </c>
      <c r="AJ32" s="225" t="str">
        <f>IF('Sch2a-Imp Price by ECM'!C33="Yes",0, IF(AI32="","",AI32/AH32))</f>
        <v/>
      </c>
      <c r="AK32" s="1" t="str">
        <f>IF('Sch2a-Imp Price by ECM'!M33="","",'Sch2a-Imp Price by ECM'!M33)</f>
        <v/>
      </c>
    </row>
    <row r="33" spans="1:37" ht="16.5" thickBot="1">
      <c r="A33" s="40" t="str">
        <f>IF('Sch2a-Imp Price by ECM'!B34="","",'Sch2a-Imp Price by ECM'!B34)</f>
        <v/>
      </c>
      <c r="B33" s="76" t="str">
        <f>IF('Sch2a-Imp Price by ECM'!D34="","",'Sch2a-Imp Price by ECM'!D34)</f>
        <v/>
      </c>
      <c r="C33" s="197" t="str">
        <f>IF('Sch2a-Imp Price by ECM'!G34="","",'Sch2a-Imp Price by ECM'!G34)</f>
        <v/>
      </c>
      <c r="D33" s="132"/>
      <c r="E33" s="190"/>
      <c r="F33" s="190"/>
      <c r="G33" s="190"/>
      <c r="H33" s="190"/>
      <c r="I33" s="134"/>
      <c r="J33" s="190"/>
      <c r="K33" s="190"/>
      <c r="L33" s="133"/>
      <c r="M33" s="133"/>
      <c r="N33" s="133"/>
      <c r="O33" s="134"/>
      <c r="P33" s="190"/>
      <c r="Q33" s="133"/>
      <c r="R33" s="191"/>
      <c r="S33" s="133"/>
      <c r="T33" s="191"/>
      <c r="U33" s="192"/>
      <c r="V33" s="191"/>
      <c r="W33" s="192"/>
      <c r="X33" s="334"/>
      <c r="Y33" s="192"/>
      <c r="Z33" s="392">
        <f t="shared" si="2"/>
        <v>0</v>
      </c>
      <c r="AA33" s="393">
        <f t="shared" si="3"/>
        <v>0</v>
      </c>
      <c r="AB33" s="191"/>
      <c r="AC33" s="192"/>
      <c r="AD33" s="191"/>
      <c r="AE33" s="192"/>
      <c r="AF33" s="192"/>
      <c r="AG33" s="192"/>
      <c r="AH33" s="396">
        <f t="shared" si="4"/>
        <v>0</v>
      </c>
      <c r="AI33" s="64" t="str">
        <f>IF('Sch2a-Imp Price by ECM'!C34="Yes", 0, 'Sch2a-Imp Price by ECM'!L34)</f>
        <v/>
      </c>
      <c r="AJ33" s="225" t="str">
        <f>IF('Sch2a-Imp Price by ECM'!C34="Yes",0, IF(AI33="","",AI33/AH33))</f>
        <v/>
      </c>
      <c r="AK33" s="1" t="str">
        <f>IF('Sch2a-Imp Price by ECM'!M34="","",'Sch2a-Imp Price by ECM'!M34)</f>
        <v/>
      </c>
    </row>
    <row r="34" spans="1:37" ht="18" customHeight="1" thickBot="1">
      <c r="A34" s="40" t="str">
        <f>IF('Sch2a-Imp Price by ECM'!B35="","",'Sch2a-Imp Price by ECM'!B35)</f>
        <v/>
      </c>
      <c r="B34" s="76" t="str">
        <f>IF('Sch2a-Imp Price by ECM'!D35="","",'Sch2a-Imp Price by ECM'!D35)</f>
        <v/>
      </c>
      <c r="C34" s="197" t="str">
        <f>IF('Sch2a-Imp Price by ECM'!G35="","",'Sch2a-Imp Price by ECM'!G35)</f>
        <v/>
      </c>
      <c r="D34" s="132"/>
      <c r="E34" s="190"/>
      <c r="F34" s="190"/>
      <c r="G34" s="190"/>
      <c r="H34" s="190"/>
      <c r="I34" s="134"/>
      <c r="J34" s="190"/>
      <c r="K34" s="190"/>
      <c r="L34" s="133"/>
      <c r="M34" s="133"/>
      <c r="N34" s="133"/>
      <c r="O34" s="134"/>
      <c r="P34" s="190"/>
      <c r="Q34" s="133"/>
      <c r="R34" s="191"/>
      <c r="S34" s="133"/>
      <c r="T34" s="191"/>
      <c r="U34" s="192"/>
      <c r="V34" s="191"/>
      <c r="W34" s="192"/>
      <c r="X34" s="334"/>
      <c r="Y34" s="192"/>
      <c r="Z34" s="392">
        <f t="shared" si="2"/>
        <v>0</v>
      </c>
      <c r="AA34" s="393">
        <f t="shared" si="3"/>
        <v>0</v>
      </c>
      <c r="AB34" s="191"/>
      <c r="AC34" s="192"/>
      <c r="AD34" s="191"/>
      <c r="AE34" s="192"/>
      <c r="AF34" s="192"/>
      <c r="AG34" s="192"/>
      <c r="AH34" s="396">
        <f t="shared" si="4"/>
        <v>0</v>
      </c>
      <c r="AI34" s="64" t="str">
        <f>IF('Sch2a-Imp Price by ECM'!C35="Yes", 0, 'Sch2a-Imp Price by ECM'!L35)</f>
        <v/>
      </c>
      <c r="AJ34" s="225" t="str">
        <f>IF('Sch2a-Imp Price by ECM'!C35="Yes",0, IF(AI34="","",AI34/AH34))</f>
        <v/>
      </c>
      <c r="AK34" s="1" t="str">
        <f>IF('Sch2a-Imp Price by ECM'!M35="","",'Sch2a-Imp Price by ECM'!M35)</f>
        <v/>
      </c>
    </row>
    <row r="35" spans="1:37" ht="16.5" thickBot="1">
      <c r="A35" s="40" t="str">
        <f>IF('Sch2a-Imp Price by ECM'!B36="","",'Sch2a-Imp Price by ECM'!B36)</f>
        <v/>
      </c>
      <c r="B35" s="76" t="str">
        <f>IF('Sch2a-Imp Price by ECM'!D36="","",'Sch2a-Imp Price by ECM'!D36)</f>
        <v/>
      </c>
      <c r="C35" s="197" t="str">
        <f>IF('Sch2a-Imp Price by ECM'!G36="","",'Sch2a-Imp Price by ECM'!G36)</f>
        <v/>
      </c>
      <c r="D35" s="132"/>
      <c r="E35" s="190"/>
      <c r="F35" s="190"/>
      <c r="G35" s="190"/>
      <c r="H35" s="190"/>
      <c r="I35" s="134"/>
      <c r="J35" s="190"/>
      <c r="K35" s="190"/>
      <c r="L35" s="133"/>
      <c r="M35" s="133"/>
      <c r="N35" s="133"/>
      <c r="O35" s="134"/>
      <c r="P35" s="190"/>
      <c r="Q35" s="133"/>
      <c r="R35" s="191"/>
      <c r="S35" s="133"/>
      <c r="T35" s="191"/>
      <c r="U35" s="192"/>
      <c r="V35" s="191"/>
      <c r="W35" s="192"/>
      <c r="X35" s="334"/>
      <c r="Y35" s="192"/>
      <c r="Z35" s="392">
        <f t="shared" si="2"/>
        <v>0</v>
      </c>
      <c r="AA35" s="393">
        <f t="shared" si="3"/>
        <v>0</v>
      </c>
      <c r="AB35" s="191"/>
      <c r="AC35" s="192"/>
      <c r="AD35" s="191"/>
      <c r="AE35" s="192"/>
      <c r="AF35" s="192"/>
      <c r="AG35" s="192"/>
      <c r="AH35" s="396">
        <f t="shared" si="4"/>
        <v>0</v>
      </c>
      <c r="AI35" s="64" t="str">
        <f>IF('Sch2a-Imp Price by ECM'!C36="Yes", 0, 'Sch2a-Imp Price by ECM'!L36)</f>
        <v/>
      </c>
      <c r="AJ35" s="225" t="str">
        <f>IF('Sch2a-Imp Price by ECM'!C36="Yes",0, IF(AI35="","",AI35/AH35))</f>
        <v/>
      </c>
      <c r="AK35" s="1" t="str">
        <f>IF('Sch2a-Imp Price by ECM'!M36="","",'Sch2a-Imp Price by ECM'!M36)</f>
        <v/>
      </c>
    </row>
    <row r="36" spans="1:37" ht="16.5" thickBot="1">
      <c r="A36" s="40" t="str">
        <f>IF('Sch2a-Imp Price by ECM'!B37="","",'Sch2a-Imp Price by ECM'!B37)</f>
        <v/>
      </c>
      <c r="B36" s="76" t="str">
        <f>IF('Sch2a-Imp Price by ECM'!D37="","",'Sch2a-Imp Price by ECM'!D37)</f>
        <v/>
      </c>
      <c r="C36" s="197" t="str">
        <f>IF('Sch2a-Imp Price by ECM'!G37="","",'Sch2a-Imp Price by ECM'!G37)</f>
        <v/>
      </c>
      <c r="D36" s="132"/>
      <c r="E36" s="190"/>
      <c r="F36" s="190"/>
      <c r="G36" s="190"/>
      <c r="H36" s="190"/>
      <c r="I36" s="134"/>
      <c r="J36" s="190"/>
      <c r="K36" s="190"/>
      <c r="L36" s="133"/>
      <c r="M36" s="133"/>
      <c r="N36" s="133"/>
      <c r="O36" s="134"/>
      <c r="P36" s="190"/>
      <c r="Q36" s="133"/>
      <c r="R36" s="191"/>
      <c r="S36" s="133"/>
      <c r="T36" s="191"/>
      <c r="U36" s="192"/>
      <c r="V36" s="191"/>
      <c r="W36" s="192"/>
      <c r="X36" s="334"/>
      <c r="Y36" s="192"/>
      <c r="Z36" s="392">
        <f t="shared" si="2"/>
        <v>0</v>
      </c>
      <c r="AA36" s="393">
        <f t="shared" si="3"/>
        <v>0</v>
      </c>
      <c r="AB36" s="191"/>
      <c r="AC36" s="192"/>
      <c r="AD36" s="191"/>
      <c r="AE36" s="192"/>
      <c r="AF36" s="192"/>
      <c r="AG36" s="192"/>
      <c r="AH36" s="396">
        <f t="shared" si="4"/>
        <v>0</v>
      </c>
      <c r="AI36" s="64" t="str">
        <f>IF('Sch2a-Imp Price by ECM'!C37="Yes", 0, 'Sch2a-Imp Price by ECM'!L37)</f>
        <v/>
      </c>
      <c r="AJ36" s="225" t="str">
        <f>IF('Sch2a-Imp Price by ECM'!C37="Yes",0, IF(AI36="","",AI36/AH36))</f>
        <v/>
      </c>
      <c r="AK36" s="1" t="str">
        <f>IF('Sch2a-Imp Price by ECM'!M37="","",'Sch2a-Imp Price by ECM'!M37)</f>
        <v/>
      </c>
    </row>
    <row r="37" spans="1:37" ht="16.5" thickBot="1">
      <c r="A37" s="40" t="str">
        <f>IF('Sch2a-Imp Price by ECM'!B38="","",'Sch2a-Imp Price by ECM'!B38)</f>
        <v/>
      </c>
      <c r="B37" s="76" t="str">
        <f>IF('Sch2a-Imp Price by ECM'!D38="","",'Sch2a-Imp Price by ECM'!D38)</f>
        <v/>
      </c>
      <c r="C37" s="197" t="str">
        <f>IF('Sch2a-Imp Price by ECM'!G38="","",'Sch2a-Imp Price by ECM'!G38)</f>
        <v/>
      </c>
      <c r="D37" s="132"/>
      <c r="E37" s="190"/>
      <c r="F37" s="190"/>
      <c r="G37" s="190"/>
      <c r="H37" s="190"/>
      <c r="I37" s="134"/>
      <c r="J37" s="190"/>
      <c r="K37" s="190"/>
      <c r="L37" s="133"/>
      <c r="M37" s="133"/>
      <c r="N37" s="133"/>
      <c r="O37" s="127"/>
      <c r="P37" s="190"/>
      <c r="Q37" s="133"/>
      <c r="R37" s="191"/>
      <c r="S37" s="133"/>
      <c r="T37" s="191"/>
      <c r="U37" s="192"/>
      <c r="V37" s="191"/>
      <c r="W37" s="192"/>
      <c r="X37" s="334"/>
      <c r="Y37" s="192"/>
      <c r="Z37" s="392">
        <f t="shared" si="2"/>
        <v>0</v>
      </c>
      <c r="AA37" s="393">
        <f t="shared" si="3"/>
        <v>0</v>
      </c>
      <c r="AB37" s="191"/>
      <c r="AC37" s="192"/>
      <c r="AD37" s="191"/>
      <c r="AE37" s="192"/>
      <c r="AF37" s="192"/>
      <c r="AG37" s="192"/>
      <c r="AH37" s="396">
        <f t="shared" si="4"/>
        <v>0</v>
      </c>
      <c r="AI37" s="64" t="str">
        <f>IF('Sch2a-Imp Price by ECM'!C38="Yes", 0, 'Sch2a-Imp Price by ECM'!L38)</f>
        <v/>
      </c>
      <c r="AJ37" s="225" t="str">
        <f>IF('Sch2a-Imp Price by ECM'!C38="Yes",0, IF(AI37="","",AI37/AH37))</f>
        <v/>
      </c>
      <c r="AK37" s="1" t="str">
        <f>IF('Sch2a-Imp Price by ECM'!M38="","",'Sch2a-Imp Price by ECM'!M38)</f>
        <v/>
      </c>
    </row>
    <row r="38" spans="1:37" ht="16.5" thickBot="1">
      <c r="A38" s="40" t="str">
        <f>IF('Sch2a-Imp Price by ECM'!B39="","",'Sch2a-Imp Price by ECM'!B39)</f>
        <v/>
      </c>
      <c r="B38" s="76" t="str">
        <f>IF('Sch2a-Imp Price by ECM'!D39="","",'Sch2a-Imp Price by ECM'!D39)</f>
        <v/>
      </c>
      <c r="C38" s="197" t="str">
        <f>IF('Sch2a-Imp Price by ECM'!G39="","",'Sch2a-Imp Price by ECM'!G39)</f>
        <v/>
      </c>
      <c r="D38" s="132"/>
      <c r="E38" s="190"/>
      <c r="F38" s="190"/>
      <c r="G38" s="190"/>
      <c r="H38" s="190"/>
      <c r="I38" s="134"/>
      <c r="J38" s="190"/>
      <c r="K38" s="190"/>
      <c r="L38" s="133"/>
      <c r="M38" s="133"/>
      <c r="N38" s="133"/>
      <c r="O38" s="127"/>
      <c r="P38" s="190"/>
      <c r="Q38" s="133"/>
      <c r="R38" s="191"/>
      <c r="S38" s="133"/>
      <c r="T38" s="191"/>
      <c r="U38" s="192"/>
      <c r="V38" s="191"/>
      <c r="W38" s="192"/>
      <c r="X38" s="334"/>
      <c r="Y38" s="192"/>
      <c r="Z38" s="392">
        <f t="shared" si="2"/>
        <v>0</v>
      </c>
      <c r="AA38" s="393">
        <f t="shared" si="3"/>
        <v>0</v>
      </c>
      <c r="AB38" s="191"/>
      <c r="AC38" s="192"/>
      <c r="AD38" s="191"/>
      <c r="AE38" s="192"/>
      <c r="AF38" s="192"/>
      <c r="AG38" s="192"/>
      <c r="AH38" s="396">
        <f t="shared" si="4"/>
        <v>0</v>
      </c>
      <c r="AI38" s="64" t="str">
        <f>IF('Sch2a-Imp Price by ECM'!C39="Yes", 0, 'Sch2a-Imp Price by ECM'!L39)</f>
        <v/>
      </c>
      <c r="AJ38" s="225" t="str">
        <f>IF('Sch2a-Imp Price by ECM'!C39="Yes",0, IF(AI38="","",AI38/AH38))</f>
        <v/>
      </c>
      <c r="AK38" s="1" t="str">
        <f>IF('Sch2a-Imp Price by ECM'!M39="","",'Sch2a-Imp Price by ECM'!M39)</f>
        <v/>
      </c>
    </row>
    <row r="39" spans="1:37" ht="16.5" thickBot="1">
      <c r="A39" s="40" t="str">
        <f>IF('Sch2a-Imp Price by ECM'!B40="","",'Sch2a-Imp Price by ECM'!B40)</f>
        <v/>
      </c>
      <c r="B39" s="76" t="str">
        <f>IF('Sch2a-Imp Price by ECM'!D40="","",'Sch2a-Imp Price by ECM'!D40)</f>
        <v/>
      </c>
      <c r="C39" s="197" t="str">
        <f>IF('Sch2a-Imp Price by ECM'!G40="","",'Sch2a-Imp Price by ECM'!G40)</f>
        <v/>
      </c>
      <c r="D39" s="132"/>
      <c r="E39" s="190"/>
      <c r="F39" s="190"/>
      <c r="G39" s="190"/>
      <c r="H39" s="190"/>
      <c r="I39" s="134"/>
      <c r="J39" s="190"/>
      <c r="K39" s="190"/>
      <c r="L39" s="133"/>
      <c r="M39" s="133"/>
      <c r="N39" s="133"/>
      <c r="O39" s="127"/>
      <c r="P39" s="190"/>
      <c r="Q39" s="133"/>
      <c r="R39" s="191"/>
      <c r="S39" s="133"/>
      <c r="T39" s="191"/>
      <c r="U39" s="192"/>
      <c r="V39" s="191"/>
      <c r="W39" s="192"/>
      <c r="X39" s="334"/>
      <c r="Y39" s="192"/>
      <c r="Z39" s="392">
        <f t="shared" si="2"/>
        <v>0</v>
      </c>
      <c r="AA39" s="393">
        <f t="shared" si="3"/>
        <v>0</v>
      </c>
      <c r="AB39" s="191"/>
      <c r="AC39" s="192"/>
      <c r="AD39" s="191"/>
      <c r="AE39" s="192"/>
      <c r="AF39" s="192"/>
      <c r="AG39" s="192"/>
      <c r="AH39" s="396">
        <f t="shared" si="4"/>
        <v>0</v>
      </c>
      <c r="AI39" s="64" t="str">
        <f>IF('Sch2a-Imp Price by ECM'!C40="Yes", 0, 'Sch2a-Imp Price by ECM'!L40)</f>
        <v/>
      </c>
      <c r="AJ39" s="225" t="str">
        <f>IF('Sch2a-Imp Price by ECM'!C40="Yes",0, IF(AI39="","",AI39/AH39))</f>
        <v/>
      </c>
      <c r="AK39" s="1" t="str">
        <f>IF('Sch2a-Imp Price by ECM'!M40="","",'Sch2a-Imp Price by ECM'!M40)</f>
        <v/>
      </c>
    </row>
    <row r="40" spans="1:37" ht="16.5" thickBot="1">
      <c r="A40" s="40" t="str">
        <f>IF('Sch2a-Imp Price by ECM'!B41="","",'Sch2a-Imp Price by ECM'!B41)</f>
        <v/>
      </c>
      <c r="B40" s="76" t="str">
        <f>IF('Sch2a-Imp Price by ECM'!D41="","",'Sch2a-Imp Price by ECM'!D41)</f>
        <v/>
      </c>
      <c r="C40" s="197" t="str">
        <f>IF('Sch2a-Imp Price by ECM'!G41="","",'Sch2a-Imp Price by ECM'!G41)</f>
        <v/>
      </c>
      <c r="D40" s="132"/>
      <c r="E40" s="190"/>
      <c r="F40" s="190"/>
      <c r="G40" s="190"/>
      <c r="H40" s="190"/>
      <c r="I40" s="134"/>
      <c r="J40" s="190"/>
      <c r="K40" s="190"/>
      <c r="L40" s="133"/>
      <c r="M40" s="133"/>
      <c r="N40" s="133"/>
      <c r="O40" s="127"/>
      <c r="P40" s="190"/>
      <c r="Q40" s="133"/>
      <c r="R40" s="191"/>
      <c r="S40" s="133"/>
      <c r="T40" s="191"/>
      <c r="U40" s="192"/>
      <c r="V40" s="191"/>
      <c r="W40" s="192"/>
      <c r="X40" s="334"/>
      <c r="Y40" s="192"/>
      <c r="Z40" s="392">
        <f t="shared" si="2"/>
        <v>0</v>
      </c>
      <c r="AA40" s="393">
        <f t="shared" si="3"/>
        <v>0</v>
      </c>
      <c r="AB40" s="191"/>
      <c r="AC40" s="192"/>
      <c r="AD40" s="191"/>
      <c r="AE40" s="192"/>
      <c r="AF40" s="192"/>
      <c r="AG40" s="192"/>
      <c r="AH40" s="396">
        <f t="shared" si="4"/>
        <v>0</v>
      </c>
      <c r="AI40" s="64" t="str">
        <f>IF('Sch2a-Imp Price by ECM'!C41="Yes", 0, 'Sch2a-Imp Price by ECM'!L41)</f>
        <v/>
      </c>
      <c r="AJ40" s="225" t="str">
        <f>IF('Sch2a-Imp Price by ECM'!C41="Yes",0, IF(AI40="","",AI40/AH40))</f>
        <v/>
      </c>
      <c r="AK40" s="1" t="str">
        <f>IF('Sch2a-Imp Price by ECM'!M41="","",'Sch2a-Imp Price by ECM'!M41)</f>
        <v/>
      </c>
    </row>
    <row r="41" spans="1:37" ht="16.5" thickBot="1">
      <c r="A41" s="40" t="str">
        <f>IF('Sch2a-Imp Price by ECM'!B42="","",'Sch2a-Imp Price by ECM'!B42)</f>
        <v/>
      </c>
      <c r="B41" s="76" t="str">
        <f>IF('Sch2a-Imp Price by ECM'!D42="","",'Sch2a-Imp Price by ECM'!D42)</f>
        <v/>
      </c>
      <c r="C41" s="197" t="str">
        <f>IF('Sch2a-Imp Price by ECM'!G42="","",'Sch2a-Imp Price by ECM'!G42)</f>
        <v/>
      </c>
      <c r="D41" s="132"/>
      <c r="E41" s="190"/>
      <c r="F41" s="190"/>
      <c r="G41" s="190"/>
      <c r="H41" s="190"/>
      <c r="I41" s="134"/>
      <c r="J41" s="190"/>
      <c r="K41" s="190"/>
      <c r="L41" s="133"/>
      <c r="M41" s="133"/>
      <c r="N41" s="133"/>
      <c r="O41" s="127"/>
      <c r="P41" s="190"/>
      <c r="Q41" s="133"/>
      <c r="R41" s="191"/>
      <c r="S41" s="133"/>
      <c r="T41" s="191"/>
      <c r="U41" s="192"/>
      <c r="V41" s="191"/>
      <c r="W41" s="192"/>
      <c r="X41" s="334"/>
      <c r="Y41" s="192"/>
      <c r="Z41" s="392">
        <f t="shared" si="2"/>
        <v>0</v>
      </c>
      <c r="AA41" s="393">
        <f t="shared" si="3"/>
        <v>0</v>
      </c>
      <c r="AB41" s="191"/>
      <c r="AC41" s="192"/>
      <c r="AD41" s="191"/>
      <c r="AE41" s="192"/>
      <c r="AF41" s="192"/>
      <c r="AG41" s="192"/>
      <c r="AH41" s="396">
        <f t="shared" si="4"/>
        <v>0</v>
      </c>
      <c r="AI41" s="64" t="str">
        <f>IF('Sch2a-Imp Price by ECM'!C42="Yes", 0, 'Sch2a-Imp Price by ECM'!L42)</f>
        <v/>
      </c>
      <c r="AJ41" s="225" t="str">
        <f>IF('Sch2a-Imp Price by ECM'!C42="Yes",0, IF(AI41="","",AI41/AH41))</f>
        <v/>
      </c>
      <c r="AK41" s="1" t="str">
        <f>IF('Sch2a-Imp Price by ECM'!M42="","",'Sch2a-Imp Price by ECM'!M42)</f>
        <v/>
      </c>
    </row>
    <row r="42" spans="1:37" ht="16.5" thickBot="1">
      <c r="A42" s="40" t="str">
        <f>IF('Sch2a-Imp Price by ECM'!B43="","",'Sch2a-Imp Price by ECM'!B43)</f>
        <v/>
      </c>
      <c r="B42" s="76" t="str">
        <f>IF('Sch2a-Imp Price by ECM'!D43="","",'Sch2a-Imp Price by ECM'!D43)</f>
        <v/>
      </c>
      <c r="C42" s="197" t="str">
        <f>IF('Sch2a-Imp Price by ECM'!G43="","",'Sch2a-Imp Price by ECM'!G43)</f>
        <v/>
      </c>
      <c r="D42" s="132"/>
      <c r="E42" s="190"/>
      <c r="F42" s="190"/>
      <c r="G42" s="190"/>
      <c r="H42" s="190"/>
      <c r="I42" s="134"/>
      <c r="J42" s="190"/>
      <c r="K42" s="190"/>
      <c r="L42" s="133"/>
      <c r="M42" s="133"/>
      <c r="N42" s="133"/>
      <c r="O42" s="127"/>
      <c r="P42" s="190"/>
      <c r="Q42" s="133"/>
      <c r="R42" s="191"/>
      <c r="S42" s="133"/>
      <c r="T42" s="191"/>
      <c r="U42" s="192"/>
      <c r="V42" s="191"/>
      <c r="W42" s="192"/>
      <c r="X42" s="334"/>
      <c r="Y42" s="192"/>
      <c r="Z42" s="392">
        <f t="shared" si="2"/>
        <v>0</v>
      </c>
      <c r="AA42" s="393">
        <f t="shared" si="3"/>
        <v>0</v>
      </c>
      <c r="AB42" s="191"/>
      <c r="AC42" s="192"/>
      <c r="AD42" s="191"/>
      <c r="AE42" s="192"/>
      <c r="AF42" s="192"/>
      <c r="AG42" s="192"/>
      <c r="AH42" s="396">
        <f t="shared" si="4"/>
        <v>0</v>
      </c>
      <c r="AI42" s="64" t="str">
        <f>IF('Sch2a-Imp Price by ECM'!C43="Yes", 0, 'Sch2a-Imp Price by ECM'!L43)</f>
        <v/>
      </c>
      <c r="AJ42" s="225" t="str">
        <f>IF('Sch2a-Imp Price by ECM'!C43="Yes",0, IF(AI42="","",AI42/AH42))</f>
        <v/>
      </c>
      <c r="AK42" s="1" t="str">
        <f>IF('Sch2a-Imp Price by ECM'!M43="","",'Sch2a-Imp Price by ECM'!M43)</f>
        <v/>
      </c>
    </row>
    <row r="43" spans="1:37" ht="16.5" thickBot="1">
      <c r="A43" s="40" t="str">
        <f>IF('Sch2a-Imp Price by ECM'!B44="","",'Sch2a-Imp Price by ECM'!B44)</f>
        <v/>
      </c>
      <c r="B43" s="76" t="str">
        <f>IF('Sch2a-Imp Price by ECM'!D44="","",'Sch2a-Imp Price by ECM'!D44)</f>
        <v/>
      </c>
      <c r="C43" s="197" t="str">
        <f>IF('Sch2a-Imp Price by ECM'!G44="","",'Sch2a-Imp Price by ECM'!G44)</f>
        <v/>
      </c>
      <c r="D43" s="132"/>
      <c r="E43" s="190"/>
      <c r="F43" s="190"/>
      <c r="G43" s="190"/>
      <c r="H43" s="190"/>
      <c r="I43" s="134"/>
      <c r="J43" s="190"/>
      <c r="K43" s="190"/>
      <c r="L43" s="133"/>
      <c r="M43" s="133"/>
      <c r="N43" s="133"/>
      <c r="O43" s="127"/>
      <c r="P43" s="190"/>
      <c r="Q43" s="133"/>
      <c r="R43" s="191"/>
      <c r="S43" s="133"/>
      <c r="T43" s="191"/>
      <c r="U43" s="192"/>
      <c r="V43" s="191"/>
      <c r="W43" s="192"/>
      <c r="X43" s="334"/>
      <c r="Y43" s="192"/>
      <c r="Z43" s="392">
        <f t="shared" si="2"/>
        <v>0</v>
      </c>
      <c r="AA43" s="393">
        <f t="shared" si="3"/>
        <v>0</v>
      </c>
      <c r="AB43" s="191"/>
      <c r="AC43" s="192"/>
      <c r="AD43" s="191"/>
      <c r="AE43" s="192"/>
      <c r="AF43" s="192"/>
      <c r="AG43" s="192"/>
      <c r="AH43" s="396">
        <f t="shared" si="4"/>
        <v>0</v>
      </c>
      <c r="AI43" s="64" t="str">
        <f>IF('Sch2a-Imp Price by ECM'!C44="Yes", 0, 'Sch2a-Imp Price by ECM'!L44)</f>
        <v/>
      </c>
      <c r="AJ43" s="225" t="str">
        <f>IF('Sch2a-Imp Price by ECM'!C44="Yes",0, IF(AI43="","",AI43/AH43))</f>
        <v/>
      </c>
      <c r="AK43" s="1" t="str">
        <f>IF('Sch2a-Imp Price by ECM'!M44="","",'Sch2a-Imp Price by ECM'!M44)</f>
        <v/>
      </c>
    </row>
    <row r="44" spans="1:37" ht="16.5" thickBot="1">
      <c r="A44" s="40" t="str">
        <f>IF('Sch2a-Imp Price by ECM'!B45="","",'Sch2a-Imp Price by ECM'!B45)</f>
        <v/>
      </c>
      <c r="B44" s="76" t="str">
        <f>IF('Sch2a-Imp Price by ECM'!D45="","",'Sch2a-Imp Price by ECM'!D45)</f>
        <v/>
      </c>
      <c r="C44" s="197" t="str">
        <f>IF('Sch2a-Imp Price by ECM'!G45="","",'Sch2a-Imp Price by ECM'!G45)</f>
        <v/>
      </c>
      <c r="D44" s="132"/>
      <c r="E44" s="190"/>
      <c r="F44" s="190"/>
      <c r="G44" s="190"/>
      <c r="H44" s="190"/>
      <c r="I44" s="134"/>
      <c r="J44" s="190"/>
      <c r="K44" s="190"/>
      <c r="L44" s="133"/>
      <c r="M44" s="133"/>
      <c r="N44" s="133"/>
      <c r="O44" s="127"/>
      <c r="P44" s="190"/>
      <c r="Q44" s="133"/>
      <c r="R44" s="191"/>
      <c r="S44" s="133"/>
      <c r="T44" s="191"/>
      <c r="U44" s="192"/>
      <c r="V44" s="191"/>
      <c r="W44" s="192"/>
      <c r="X44" s="334"/>
      <c r="Y44" s="192"/>
      <c r="Z44" s="392">
        <f t="shared" si="2"/>
        <v>0</v>
      </c>
      <c r="AA44" s="393">
        <f t="shared" si="3"/>
        <v>0</v>
      </c>
      <c r="AB44" s="191"/>
      <c r="AC44" s="192"/>
      <c r="AD44" s="191"/>
      <c r="AE44" s="192"/>
      <c r="AF44" s="192"/>
      <c r="AG44" s="192"/>
      <c r="AH44" s="396">
        <f t="shared" si="4"/>
        <v>0</v>
      </c>
      <c r="AI44" s="64" t="str">
        <f>IF('Sch2a-Imp Price by ECM'!C45="Yes", 0, 'Sch2a-Imp Price by ECM'!L45)</f>
        <v/>
      </c>
      <c r="AJ44" s="225" t="str">
        <f>IF('Sch2a-Imp Price by ECM'!C45="Yes",0, IF(AI44="","",AI44/AH44))</f>
        <v/>
      </c>
      <c r="AK44" s="1" t="str">
        <f>IF('Sch2a-Imp Price by ECM'!M45="","",'Sch2a-Imp Price by ECM'!M45)</f>
        <v/>
      </c>
    </row>
    <row r="45" spans="1:37" ht="16.5" thickBot="1">
      <c r="A45" s="40" t="str">
        <f>IF('Sch2a-Imp Price by ECM'!B46="","",'Sch2a-Imp Price by ECM'!B46)</f>
        <v/>
      </c>
      <c r="B45" s="76" t="str">
        <f>IF('Sch2a-Imp Price by ECM'!D46="","",'Sch2a-Imp Price by ECM'!D46)</f>
        <v/>
      </c>
      <c r="C45" s="197" t="str">
        <f>IF('Sch2a-Imp Price by ECM'!G46="","",'Sch2a-Imp Price by ECM'!G46)</f>
        <v/>
      </c>
      <c r="D45" s="132"/>
      <c r="E45" s="190"/>
      <c r="F45" s="190"/>
      <c r="G45" s="190"/>
      <c r="H45" s="190"/>
      <c r="I45" s="134"/>
      <c r="J45" s="190"/>
      <c r="K45" s="190"/>
      <c r="L45" s="133"/>
      <c r="M45" s="133"/>
      <c r="N45" s="133"/>
      <c r="O45" s="127"/>
      <c r="P45" s="190"/>
      <c r="Q45" s="133"/>
      <c r="R45" s="191"/>
      <c r="S45" s="133"/>
      <c r="T45" s="191"/>
      <c r="U45" s="192"/>
      <c r="V45" s="191"/>
      <c r="W45" s="192"/>
      <c r="X45" s="334"/>
      <c r="Y45" s="192"/>
      <c r="Z45" s="392">
        <f t="shared" si="2"/>
        <v>0</v>
      </c>
      <c r="AA45" s="393">
        <f t="shared" si="3"/>
        <v>0</v>
      </c>
      <c r="AB45" s="191"/>
      <c r="AC45" s="192"/>
      <c r="AD45" s="191"/>
      <c r="AE45" s="192"/>
      <c r="AF45" s="192"/>
      <c r="AG45" s="192"/>
      <c r="AH45" s="396">
        <f t="shared" si="4"/>
        <v>0</v>
      </c>
      <c r="AI45" s="64" t="str">
        <f>IF('Sch2a-Imp Price by ECM'!C46="Yes", 0, 'Sch2a-Imp Price by ECM'!L46)</f>
        <v/>
      </c>
      <c r="AJ45" s="225" t="str">
        <f>IF('Sch2a-Imp Price by ECM'!C46="Yes",0, IF(AI45="","",AI45/AH45))</f>
        <v/>
      </c>
      <c r="AK45" s="1" t="str">
        <f>IF('Sch2a-Imp Price by ECM'!M46="","",'Sch2a-Imp Price by ECM'!M46)</f>
        <v/>
      </c>
    </row>
    <row r="46" spans="1:37" ht="16.5" thickBot="1">
      <c r="A46" s="40" t="str">
        <f>IF('Sch2a-Imp Price by ECM'!B47="","",'Sch2a-Imp Price by ECM'!B47)</f>
        <v/>
      </c>
      <c r="B46" s="76" t="str">
        <f>IF('Sch2a-Imp Price by ECM'!D47="","",'Sch2a-Imp Price by ECM'!D47)</f>
        <v/>
      </c>
      <c r="C46" s="197" t="str">
        <f>IF('Sch2a-Imp Price by ECM'!G47="","",'Sch2a-Imp Price by ECM'!G47)</f>
        <v/>
      </c>
      <c r="D46" s="132"/>
      <c r="E46" s="190"/>
      <c r="F46" s="190"/>
      <c r="G46" s="190"/>
      <c r="H46" s="190"/>
      <c r="I46" s="134"/>
      <c r="J46" s="190"/>
      <c r="K46" s="190"/>
      <c r="L46" s="133"/>
      <c r="M46" s="133"/>
      <c r="N46" s="133"/>
      <c r="O46" s="127"/>
      <c r="P46" s="190"/>
      <c r="Q46" s="133"/>
      <c r="R46" s="191"/>
      <c r="S46" s="133"/>
      <c r="T46" s="191"/>
      <c r="U46" s="192"/>
      <c r="V46" s="191"/>
      <c r="W46" s="192"/>
      <c r="X46" s="334"/>
      <c r="Y46" s="192"/>
      <c r="Z46" s="392">
        <f t="shared" si="2"/>
        <v>0</v>
      </c>
      <c r="AA46" s="393">
        <f t="shared" si="3"/>
        <v>0</v>
      </c>
      <c r="AB46" s="191"/>
      <c r="AC46" s="192"/>
      <c r="AD46" s="191"/>
      <c r="AE46" s="192"/>
      <c r="AF46" s="192"/>
      <c r="AG46" s="192"/>
      <c r="AH46" s="396">
        <f t="shared" si="4"/>
        <v>0</v>
      </c>
      <c r="AI46" s="64" t="str">
        <f>IF('Sch2a-Imp Price by ECM'!C47="Yes", 0, 'Sch2a-Imp Price by ECM'!L47)</f>
        <v/>
      </c>
      <c r="AJ46" s="225" t="str">
        <f>IF('Sch2a-Imp Price by ECM'!C47="Yes",0, IF(AI46="","",AI46/AH46))</f>
        <v/>
      </c>
      <c r="AK46" s="1" t="str">
        <f>IF('Sch2a-Imp Price by ECM'!M47="","",'Sch2a-Imp Price by ECM'!M47)</f>
        <v/>
      </c>
    </row>
    <row r="47" spans="1:37" ht="16.5" thickBot="1">
      <c r="A47" s="40" t="str">
        <f>IF('Sch2a-Imp Price by ECM'!B48="","",'Sch2a-Imp Price by ECM'!B48)</f>
        <v/>
      </c>
      <c r="B47" s="76" t="str">
        <f>IF('Sch2a-Imp Price by ECM'!D48="","",'Sch2a-Imp Price by ECM'!D48)</f>
        <v/>
      </c>
      <c r="C47" s="197" t="str">
        <f>IF('Sch2a-Imp Price by ECM'!G48="","",'Sch2a-Imp Price by ECM'!G48)</f>
        <v/>
      </c>
      <c r="D47" s="132"/>
      <c r="E47" s="190"/>
      <c r="F47" s="190"/>
      <c r="G47" s="190"/>
      <c r="H47" s="190"/>
      <c r="I47" s="134"/>
      <c r="J47" s="190"/>
      <c r="K47" s="190"/>
      <c r="L47" s="133"/>
      <c r="M47" s="133"/>
      <c r="N47" s="133"/>
      <c r="O47" s="127"/>
      <c r="P47" s="190"/>
      <c r="Q47" s="133"/>
      <c r="R47" s="191"/>
      <c r="S47" s="133"/>
      <c r="T47" s="191"/>
      <c r="U47" s="192"/>
      <c r="V47" s="191"/>
      <c r="W47" s="192"/>
      <c r="X47" s="334"/>
      <c r="Y47" s="192"/>
      <c r="Z47" s="392">
        <f t="shared" si="2"/>
        <v>0</v>
      </c>
      <c r="AA47" s="393">
        <f t="shared" si="3"/>
        <v>0</v>
      </c>
      <c r="AB47" s="191"/>
      <c r="AC47" s="192"/>
      <c r="AD47" s="191"/>
      <c r="AE47" s="192"/>
      <c r="AF47" s="192"/>
      <c r="AG47" s="192"/>
      <c r="AH47" s="396">
        <f t="shared" si="4"/>
        <v>0</v>
      </c>
      <c r="AI47" s="64" t="str">
        <f>IF('Sch2a-Imp Price by ECM'!C48="Yes", 0, 'Sch2a-Imp Price by ECM'!L48)</f>
        <v/>
      </c>
      <c r="AJ47" s="225" t="str">
        <f>IF('Sch2a-Imp Price by ECM'!C48="Yes",0, IF(AI47="","",AI47/AH47))</f>
        <v/>
      </c>
      <c r="AK47" s="1" t="str">
        <f>IF('Sch2a-Imp Price by ECM'!M48="","",'Sch2a-Imp Price by ECM'!M48)</f>
        <v/>
      </c>
    </row>
    <row r="48" spans="1:37" ht="16.5" thickBot="1">
      <c r="A48" s="40" t="str">
        <f>IF('Sch2a-Imp Price by ECM'!B49="","",'Sch2a-Imp Price by ECM'!B49)</f>
        <v/>
      </c>
      <c r="B48" s="76" t="str">
        <f>IF('Sch2a-Imp Price by ECM'!D49="","",'Sch2a-Imp Price by ECM'!D49)</f>
        <v/>
      </c>
      <c r="C48" s="197" t="str">
        <f>IF('Sch2a-Imp Price by ECM'!G49="","",'Sch2a-Imp Price by ECM'!G49)</f>
        <v/>
      </c>
      <c r="D48" s="132"/>
      <c r="E48" s="190"/>
      <c r="F48" s="190"/>
      <c r="G48" s="190"/>
      <c r="H48" s="190"/>
      <c r="I48" s="134"/>
      <c r="J48" s="190"/>
      <c r="K48" s="190"/>
      <c r="L48" s="133"/>
      <c r="M48" s="133"/>
      <c r="N48" s="133"/>
      <c r="O48" s="127"/>
      <c r="P48" s="190"/>
      <c r="Q48" s="133"/>
      <c r="R48" s="191"/>
      <c r="S48" s="133"/>
      <c r="T48" s="191"/>
      <c r="U48" s="192"/>
      <c r="V48" s="191"/>
      <c r="W48" s="192"/>
      <c r="X48" s="334"/>
      <c r="Y48" s="192"/>
      <c r="Z48" s="392">
        <f t="shared" si="2"/>
        <v>0</v>
      </c>
      <c r="AA48" s="393">
        <f t="shared" si="3"/>
        <v>0</v>
      </c>
      <c r="AB48" s="191"/>
      <c r="AC48" s="192"/>
      <c r="AD48" s="191"/>
      <c r="AE48" s="192"/>
      <c r="AF48" s="192"/>
      <c r="AG48" s="192"/>
      <c r="AH48" s="396">
        <f t="shared" si="4"/>
        <v>0</v>
      </c>
      <c r="AI48" s="64" t="str">
        <f>IF('Sch2a-Imp Price by ECM'!C49="Yes", 0, 'Sch2a-Imp Price by ECM'!L49)</f>
        <v/>
      </c>
      <c r="AJ48" s="225" t="str">
        <f>IF('Sch2a-Imp Price by ECM'!C49="Yes",0, IF(AI48="","",AI48/AH48))</f>
        <v/>
      </c>
      <c r="AK48" s="1" t="str">
        <f>IF('Sch2a-Imp Price by ECM'!M49="","",'Sch2a-Imp Price by ECM'!M49)</f>
        <v/>
      </c>
    </row>
    <row r="49" spans="1:37" ht="16.5" thickBot="1">
      <c r="A49" s="40" t="str">
        <f>IF('Sch2a-Imp Price by ECM'!B50="","",'Sch2a-Imp Price by ECM'!B50)</f>
        <v/>
      </c>
      <c r="B49" s="76" t="str">
        <f>IF('Sch2a-Imp Price by ECM'!D50="","",'Sch2a-Imp Price by ECM'!D50)</f>
        <v/>
      </c>
      <c r="C49" s="197" t="str">
        <f>IF('Sch2a-Imp Price by ECM'!G50="","",'Sch2a-Imp Price by ECM'!G50)</f>
        <v/>
      </c>
      <c r="D49" s="132"/>
      <c r="E49" s="190"/>
      <c r="F49" s="190"/>
      <c r="G49" s="190"/>
      <c r="H49" s="190"/>
      <c r="I49" s="134"/>
      <c r="J49" s="190"/>
      <c r="K49" s="190"/>
      <c r="L49" s="133"/>
      <c r="M49" s="133"/>
      <c r="N49" s="133"/>
      <c r="O49" s="127"/>
      <c r="P49" s="190"/>
      <c r="Q49" s="133"/>
      <c r="R49" s="191"/>
      <c r="S49" s="133"/>
      <c r="T49" s="191"/>
      <c r="U49" s="192"/>
      <c r="V49" s="191"/>
      <c r="W49" s="192"/>
      <c r="X49" s="334"/>
      <c r="Y49" s="192"/>
      <c r="Z49" s="392">
        <f t="shared" si="2"/>
        <v>0</v>
      </c>
      <c r="AA49" s="393">
        <f t="shared" si="3"/>
        <v>0</v>
      </c>
      <c r="AB49" s="191"/>
      <c r="AC49" s="192"/>
      <c r="AD49" s="191"/>
      <c r="AE49" s="192"/>
      <c r="AF49" s="192"/>
      <c r="AG49" s="192"/>
      <c r="AH49" s="396">
        <f t="shared" si="4"/>
        <v>0</v>
      </c>
      <c r="AI49" s="64" t="str">
        <f>IF('Sch2a-Imp Price by ECM'!C50="Yes", 0, 'Sch2a-Imp Price by ECM'!L50)</f>
        <v/>
      </c>
      <c r="AJ49" s="225" t="str">
        <f>IF('Sch2a-Imp Price by ECM'!C50="Yes",0, IF(AI49="","",AI49/AH49))</f>
        <v/>
      </c>
      <c r="AK49" s="1" t="str">
        <f>IF('Sch2a-Imp Price by ECM'!M50="","",'Sch2a-Imp Price by ECM'!M50)</f>
        <v/>
      </c>
    </row>
    <row r="50" spans="1:37" ht="16.5" thickBot="1">
      <c r="A50" s="40" t="str">
        <f>IF('Sch2a-Imp Price by ECM'!B51="","",'Sch2a-Imp Price by ECM'!B51)</f>
        <v/>
      </c>
      <c r="B50" s="76" t="str">
        <f>IF('Sch2a-Imp Price by ECM'!D51="","",'Sch2a-Imp Price by ECM'!D51)</f>
        <v/>
      </c>
      <c r="C50" s="197" t="str">
        <f>IF('Sch2a-Imp Price by ECM'!G51="","",'Sch2a-Imp Price by ECM'!G51)</f>
        <v/>
      </c>
      <c r="D50" s="132"/>
      <c r="E50" s="190"/>
      <c r="F50" s="190"/>
      <c r="G50" s="190"/>
      <c r="H50" s="190"/>
      <c r="I50" s="134"/>
      <c r="J50" s="190"/>
      <c r="K50" s="190"/>
      <c r="L50" s="133"/>
      <c r="M50" s="133"/>
      <c r="N50" s="133"/>
      <c r="O50" s="127"/>
      <c r="P50" s="190"/>
      <c r="Q50" s="133"/>
      <c r="R50" s="191"/>
      <c r="S50" s="133"/>
      <c r="T50" s="191"/>
      <c r="U50" s="192"/>
      <c r="V50" s="191"/>
      <c r="W50" s="192"/>
      <c r="X50" s="334"/>
      <c r="Y50" s="192"/>
      <c r="Z50" s="392">
        <f t="shared" si="2"/>
        <v>0</v>
      </c>
      <c r="AA50" s="393">
        <f t="shared" si="3"/>
        <v>0</v>
      </c>
      <c r="AB50" s="191"/>
      <c r="AC50" s="192"/>
      <c r="AD50" s="191"/>
      <c r="AE50" s="192"/>
      <c r="AF50" s="192"/>
      <c r="AG50" s="192"/>
      <c r="AH50" s="396">
        <f t="shared" si="4"/>
        <v>0</v>
      </c>
      <c r="AI50" s="64" t="str">
        <f>IF('Sch2a-Imp Price by ECM'!C51="Yes", 0, 'Sch2a-Imp Price by ECM'!L51)</f>
        <v/>
      </c>
      <c r="AJ50" s="225" t="str">
        <f>IF('Sch2a-Imp Price by ECM'!C51="Yes",0, IF(AI50="","",AI50/AH50))</f>
        <v/>
      </c>
      <c r="AK50" s="1" t="str">
        <f>IF('Sch2a-Imp Price by ECM'!M51="","",'Sch2a-Imp Price by ECM'!M51)</f>
        <v/>
      </c>
    </row>
    <row r="51" spans="1:37" ht="16.5" thickBot="1">
      <c r="A51" s="40" t="str">
        <f>IF('Sch2a-Imp Price by ECM'!B52="","",'Sch2a-Imp Price by ECM'!B52)</f>
        <v/>
      </c>
      <c r="B51" s="76" t="str">
        <f>IF('Sch2a-Imp Price by ECM'!D52="","",'Sch2a-Imp Price by ECM'!D52)</f>
        <v/>
      </c>
      <c r="C51" s="197" t="str">
        <f>IF('Sch2a-Imp Price by ECM'!G52="","",'Sch2a-Imp Price by ECM'!G52)</f>
        <v/>
      </c>
      <c r="D51" s="132"/>
      <c r="E51" s="190"/>
      <c r="F51" s="190"/>
      <c r="G51" s="190"/>
      <c r="H51" s="190"/>
      <c r="I51" s="134"/>
      <c r="J51" s="190"/>
      <c r="K51" s="190"/>
      <c r="L51" s="133"/>
      <c r="M51" s="133"/>
      <c r="N51" s="133"/>
      <c r="O51" s="134"/>
      <c r="P51" s="190"/>
      <c r="Q51" s="133"/>
      <c r="R51" s="191"/>
      <c r="S51" s="133"/>
      <c r="T51" s="191"/>
      <c r="U51" s="192"/>
      <c r="V51" s="191"/>
      <c r="W51" s="192"/>
      <c r="X51" s="334"/>
      <c r="Y51" s="192"/>
      <c r="Z51" s="392">
        <f t="shared" si="2"/>
        <v>0</v>
      </c>
      <c r="AA51" s="393">
        <f t="shared" si="3"/>
        <v>0</v>
      </c>
      <c r="AB51" s="191"/>
      <c r="AC51" s="192"/>
      <c r="AD51" s="191"/>
      <c r="AE51" s="192"/>
      <c r="AF51" s="192"/>
      <c r="AG51" s="192"/>
      <c r="AH51" s="396">
        <f t="shared" si="4"/>
        <v>0</v>
      </c>
      <c r="AI51" s="64" t="str">
        <f>IF('Sch2a-Imp Price by ECM'!C52="Yes", 0, 'Sch2a-Imp Price by ECM'!L52)</f>
        <v/>
      </c>
      <c r="AJ51" s="225" t="str">
        <f>IF('Sch2a-Imp Price by ECM'!C52="Yes",0, IF(AI51="","",AI51/AH51))</f>
        <v/>
      </c>
      <c r="AK51" s="1" t="str">
        <f>IF('Sch2a-Imp Price by ECM'!M52="","",'Sch2a-Imp Price by ECM'!M52)</f>
        <v/>
      </c>
    </row>
    <row r="52" spans="1:37" ht="16.5" thickBot="1">
      <c r="A52" s="40" t="str">
        <f>IF('Sch2a-Imp Price by ECM'!B53="","",'Sch2a-Imp Price by ECM'!B53)</f>
        <v/>
      </c>
      <c r="B52" s="76" t="str">
        <f>IF('Sch2a-Imp Price by ECM'!D53="","",'Sch2a-Imp Price by ECM'!D53)</f>
        <v/>
      </c>
      <c r="C52" s="197" t="str">
        <f>IF('Sch2a-Imp Price by ECM'!G53="","",'Sch2a-Imp Price by ECM'!G53)</f>
        <v/>
      </c>
      <c r="D52" s="132"/>
      <c r="E52" s="190"/>
      <c r="F52" s="190"/>
      <c r="G52" s="190"/>
      <c r="H52" s="190"/>
      <c r="I52" s="134"/>
      <c r="J52" s="190"/>
      <c r="K52" s="190"/>
      <c r="L52" s="133"/>
      <c r="M52" s="133"/>
      <c r="N52" s="133"/>
      <c r="O52" s="134"/>
      <c r="P52" s="190"/>
      <c r="Q52" s="133"/>
      <c r="R52" s="191"/>
      <c r="S52" s="133"/>
      <c r="T52" s="191"/>
      <c r="U52" s="192"/>
      <c r="V52" s="191"/>
      <c r="W52" s="192"/>
      <c r="X52" s="334"/>
      <c r="Y52" s="192"/>
      <c r="Z52" s="392">
        <f t="shared" si="2"/>
        <v>0</v>
      </c>
      <c r="AA52" s="393">
        <f t="shared" si="3"/>
        <v>0</v>
      </c>
      <c r="AB52" s="191"/>
      <c r="AC52" s="192"/>
      <c r="AD52" s="191"/>
      <c r="AE52" s="192"/>
      <c r="AF52" s="192"/>
      <c r="AG52" s="192"/>
      <c r="AH52" s="396">
        <f t="shared" si="4"/>
        <v>0</v>
      </c>
      <c r="AI52" s="64" t="str">
        <f>IF('Sch2a-Imp Price by ECM'!C53="Yes", 0, 'Sch2a-Imp Price by ECM'!L53)</f>
        <v/>
      </c>
      <c r="AJ52" s="225" t="str">
        <f>IF('Sch2a-Imp Price by ECM'!C53="Yes",0, IF(AI52="","",AI52/AH52))</f>
        <v/>
      </c>
      <c r="AK52" s="1" t="str">
        <f>IF('Sch2a-Imp Price by ECM'!M53="","",'Sch2a-Imp Price by ECM'!M53)</f>
        <v/>
      </c>
    </row>
    <row r="53" spans="1:37" ht="16.5" thickBot="1">
      <c r="A53" s="40" t="str">
        <f>IF('Sch2a-Imp Price by ECM'!B54="","",'Sch2a-Imp Price by ECM'!B54)</f>
        <v/>
      </c>
      <c r="B53" s="76" t="str">
        <f>IF('Sch2a-Imp Price by ECM'!D54="","",'Sch2a-Imp Price by ECM'!D54)</f>
        <v/>
      </c>
      <c r="C53" s="197" t="str">
        <f>IF('Sch2a-Imp Price by ECM'!G54="","",'Sch2a-Imp Price by ECM'!G54)</f>
        <v/>
      </c>
      <c r="D53" s="132"/>
      <c r="E53" s="190"/>
      <c r="F53" s="190"/>
      <c r="G53" s="190"/>
      <c r="H53" s="190"/>
      <c r="I53" s="134"/>
      <c r="J53" s="190"/>
      <c r="K53" s="190"/>
      <c r="L53" s="133"/>
      <c r="M53" s="133"/>
      <c r="N53" s="133"/>
      <c r="O53" s="134"/>
      <c r="P53" s="190"/>
      <c r="Q53" s="133"/>
      <c r="R53" s="191"/>
      <c r="S53" s="133"/>
      <c r="T53" s="191"/>
      <c r="U53" s="192"/>
      <c r="V53" s="191"/>
      <c r="W53" s="192"/>
      <c r="X53" s="334"/>
      <c r="Y53" s="192"/>
      <c r="Z53" s="392">
        <f t="shared" si="2"/>
        <v>0</v>
      </c>
      <c r="AA53" s="393">
        <f t="shared" si="3"/>
        <v>0</v>
      </c>
      <c r="AB53" s="191"/>
      <c r="AC53" s="192"/>
      <c r="AD53" s="191"/>
      <c r="AE53" s="192"/>
      <c r="AF53" s="192"/>
      <c r="AG53" s="192"/>
      <c r="AH53" s="396">
        <f t="shared" si="4"/>
        <v>0</v>
      </c>
      <c r="AI53" s="64" t="str">
        <f>IF('Sch2a-Imp Price by ECM'!C54="Yes", 0, 'Sch2a-Imp Price by ECM'!L54)</f>
        <v/>
      </c>
      <c r="AJ53" s="225" t="str">
        <f>IF('Sch2a-Imp Price by ECM'!C54="Yes",0, IF(AI53="","",AI53/AH53))</f>
        <v/>
      </c>
      <c r="AK53" s="1" t="str">
        <f>IF('Sch2a-Imp Price by ECM'!M54="","",'Sch2a-Imp Price by ECM'!M54)</f>
        <v/>
      </c>
    </row>
    <row r="54" spans="1:37" ht="16.5" thickBot="1">
      <c r="A54" s="40" t="str">
        <f>IF('Sch2a-Imp Price by ECM'!B55="","",'Sch2a-Imp Price by ECM'!B55)</f>
        <v/>
      </c>
      <c r="B54" s="76" t="str">
        <f>IF('Sch2a-Imp Price by ECM'!D55="","",'Sch2a-Imp Price by ECM'!D55)</f>
        <v/>
      </c>
      <c r="C54" s="197" t="str">
        <f>IF('Sch2a-Imp Price by ECM'!G55="","",'Sch2a-Imp Price by ECM'!G55)</f>
        <v/>
      </c>
      <c r="D54" s="132"/>
      <c r="E54" s="190"/>
      <c r="F54" s="190"/>
      <c r="G54" s="190"/>
      <c r="H54" s="190"/>
      <c r="I54" s="134"/>
      <c r="J54" s="190"/>
      <c r="K54" s="190"/>
      <c r="L54" s="133"/>
      <c r="M54" s="133"/>
      <c r="N54" s="133"/>
      <c r="O54" s="134"/>
      <c r="P54" s="190"/>
      <c r="Q54" s="133"/>
      <c r="R54" s="191"/>
      <c r="S54" s="133"/>
      <c r="T54" s="191"/>
      <c r="U54" s="192"/>
      <c r="V54" s="191"/>
      <c r="W54" s="192"/>
      <c r="X54" s="334"/>
      <c r="Y54" s="192"/>
      <c r="Z54" s="392">
        <f t="shared" si="2"/>
        <v>0</v>
      </c>
      <c r="AA54" s="393">
        <f t="shared" si="3"/>
        <v>0</v>
      </c>
      <c r="AB54" s="191"/>
      <c r="AC54" s="192"/>
      <c r="AD54" s="191"/>
      <c r="AE54" s="192"/>
      <c r="AF54" s="192"/>
      <c r="AG54" s="192"/>
      <c r="AH54" s="396">
        <f t="shared" si="4"/>
        <v>0</v>
      </c>
      <c r="AI54" s="64" t="str">
        <f>IF('Sch2a-Imp Price by ECM'!C55="Yes", 0, 'Sch2a-Imp Price by ECM'!L55)</f>
        <v/>
      </c>
      <c r="AJ54" s="225" t="str">
        <f>IF('Sch2a-Imp Price by ECM'!C55="Yes",0, IF(AI54="","",AI54/AH54))</f>
        <v/>
      </c>
      <c r="AK54" s="1" t="str">
        <f>IF('Sch2a-Imp Price by ECM'!M55="","",'Sch2a-Imp Price by ECM'!M55)</f>
        <v/>
      </c>
    </row>
    <row r="55" spans="1:37" ht="18" customHeight="1" thickBot="1">
      <c r="A55" s="40" t="str">
        <f>IF('Sch2a-Imp Price by ECM'!B56="","",'Sch2a-Imp Price by ECM'!B56)</f>
        <v/>
      </c>
      <c r="B55" s="76" t="str">
        <f>IF('Sch2a-Imp Price by ECM'!D56="","",'Sch2a-Imp Price by ECM'!D56)</f>
        <v/>
      </c>
      <c r="C55" s="197" t="str">
        <f>IF('Sch2a-Imp Price by ECM'!G56="","",'Sch2a-Imp Price by ECM'!G56)</f>
        <v/>
      </c>
      <c r="D55" s="132"/>
      <c r="E55" s="190"/>
      <c r="F55" s="190"/>
      <c r="G55" s="190"/>
      <c r="H55" s="190"/>
      <c r="I55" s="134"/>
      <c r="J55" s="190"/>
      <c r="K55" s="190"/>
      <c r="L55" s="133"/>
      <c r="M55" s="133"/>
      <c r="N55" s="133"/>
      <c r="O55" s="134"/>
      <c r="P55" s="190"/>
      <c r="Q55" s="133"/>
      <c r="R55" s="191"/>
      <c r="S55" s="133"/>
      <c r="T55" s="191"/>
      <c r="U55" s="192"/>
      <c r="V55" s="191"/>
      <c r="W55" s="192"/>
      <c r="X55" s="334"/>
      <c r="Y55" s="192"/>
      <c r="Z55" s="392">
        <f t="shared" si="2"/>
        <v>0</v>
      </c>
      <c r="AA55" s="393">
        <f t="shared" si="3"/>
        <v>0</v>
      </c>
      <c r="AB55" s="191"/>
      <c r="AC55" s="192"/>
      <c r="AD55" s="191"/>
      <c r="AE55" s="192"/>
      <c r="AF55" s="192"/>
      <c r="AG55" s="192"/>
      <c r="AH55" s="396">
        <f t="shared" si="4"/>
        <v>0</v>
      </c>
      <c r="AI55" s="64" t="str">
        <f>IF('Sch2a-Imp Price by ECM'!C56="Yes", 0, 'Sch2a-Imp Price by ECM'!L56)</f>
        <v/>
      </c>
      <c r="AJ55" s="225" t="str">
        <f>IF('Sch2a-Imp Price by ECM'!C56="Yes",0, IF(AI55="","",AI55/AH55))</f>
        <v/>
      </c>
      <c r="AK55" s="1" t="str">
        <f>IF('Sch2a-Imp Price by ECM'!M56="","",'Sch2a-Imp Price by ECM'!M56)</f>
        <v/>
      </c>
    </row>
    <row r="56" spans="1:37" ht="16.5" thickBot="1">
      <c r="A56" s="40" t="str">
        <f>IF('Sch2a-Imp Price by ECM'!B57="","",'Sch2a-Imp Price by ECM'!B57)</f>
        <v/>
      </c>
      <c r="B56" s="76" t="str">
        <f>IF('Sch2a-Imp Price by ECM'!D57="","",'Sch2a-Imp Price by ECM'!D57)</f>
        <v/>
      </c>
      <c r="C56" s="197" t="str">
        <f>IF('Sch2a-Imp Price by ECM'!G57="","",'Sch2a-Imp Price by ECM'!G57)</f>
        <v/>
      </c>
      <c r="D56" s="132"/>
      <c r="E56" s="190"/>
      <c r="F56" s="190"/>
      <c r="G56" s="190"/>
      <c r="H56" s="190"/>
      <c r="I56" s="134"/>
      <c r="J56" s="190"/>
      <c r="K56" s="190"/>
      <c r="L56" s="133"/>
      <c r="M56" s="133"/>
      <c r="N56" s="133"/>
      <c r="O56" s="134"/>
      <c r="P56" s="190"/>
      <c r="Q56" s="133"/>
      <c r="R56" s="191"/>
      <c r="S56" s="133"/>
      <c r="T56" s="191"/>
      <c r="U56" s="192"/>
      <c r="V56" s="191"/>
      <c r="W56" s="192"/>
      <c r="X56" s="334"/>
      <c r="Y56" s="192"/>
      <c r="Z56" s="392">
        <f t="shared" si="2"/>
        <v>0</v>
      </c>
      <c r="AA56" s="393">
        <f t="shared" si="3"/>
        <v>0</v>
      </c>
      <c r="AB56" s="191"/>
      <c r="AC56" s="192"/>
      <c r="AD56" s="191"/>
      <c r="AE56" s="192"/>
      <c r="AF56" s="192"/>
      <c r="AG56" s="192"/>
      <c r="AH56" s="396">
        <f t="shared" si="4"/>
        <v>0</v>
      </c>
      <c r="AI56" s="64" t="str">
        <f>IF('Sch2a-Imp Price by ECM'!C57="Yes", 0, 'Sch2a-Imp Price by ECM'!L57)</f>
        <v/>
      </c>
      <c r="AJ56" s="225" t="str">
        <f>IF('Sch2a-Imp Price by ECM'!C57="Yes",0, IF(AI56="","",AI56/AH56))</f>
        <v/>
      </c>
      <c r="AK56" s="1" t="str">
        <f>IF('Sch2a-Imp Price by ECM'!M57="","",'Sch2a-Imp Price by ECM'!M57)</f>
        <v/>
      </c>
    </row>
    <row r="57" spans="1:37" ht="16.5" thickBot="1">
      <c r="A57" s="40" t="str">
        <f>IF('Sch2a-Imp Price by ECM'!B58="","",'Sch2a-Imp Price by ECM'!B58)</f>
        <v/>
      </c>
      <c r="B57" s="76" t="str">
        <f>IF('Sch2a-Imp Price by ECM'!D58="","",'Sch2a-Imp Price by ECM'!D58)</f>
        <v/>
      </c>
      <c r="C57" s="197" t="str">
        <f>IF('Sch2a-Imp Price by ECM'!G58="","",'Sch2a-Imp Price by ECM'!G58)</f>
        <v/>
      </c>
      <c r="D57" s="132"/>
      <c r="E57" s="190"/>
      <c r="F57" s="190"/>
      <c r="G57" s="190"/>
      <c r="H57" s="190"/>
      <c r="I57" s="134"/>
      <c r="J57" s="190"/>
      <c r="K57" s="190"/>
      <c r="L57" s="133"/>
      <c r="M57" s="133"/>
      <c r="N57" s="133"/>
      <c r="O57" s="134"/>
      <c r="P57" s="190"/>
      <c r="Q57" s="133"/>
      <c r="R57" s="191"/>
      <c r="S57" s="133"/>
      <c r="T57" s="191"/>
      <c r="U57" s="192"/>
      <c r="V57" s="191"/>
      <c r="W57" s="192"/>
      <c r="X57" s="334"/>
      <c r="Y57" s="192"/>
      <c r="Z57" s="392">
        <f t="shared" si="2"/>
        <v>0</v>
      </c>
      <c r="AA57" s="393">
        <f t="shared" si="3"/>
        <v>0</v>
      </c>
      <c r="AB57" s="191"/>
      <c r="AC57" s="192"/>
      <c r="AD57" s="191"/>
      <c r="AE57" s="192"/>
      <c r="AF57" s="192"/>
      <c r="AG57" s="192"/>
      <c r="AH57" s="396">
        <f t="shared" si="4"/>
        <v>0</v>
      </c>
      <c r="AI57" s="64" t="str">
        <f>IF('Sch2a-Imp Price by ECM'!C58="Yes", 0, 'Sch2a-Imp Price by ECM'!L58)</f>
        <v/>
      </c>
      <c r="AJ57" s="225" t="str">
        <f>IF('Sch2a-Imp Price by ECM'!C58="Yes",0, IF(AI57="","",AI57/AH57))</f>
        <v/>
      </c>
      <c r="AK57" s="1" t="str">
        <f>IF('Sch2a-Imp Price by ECM'!M58="","",'Sch2a-Imp Price by ECM'!M58)</f>
        <v/>
      </c>
    </row>
    <row r="58" spans="1:37" ht="16.5" thickBot="1">
      <c r="A58" s="40" t="str">
        <f>IF('Sch2a-Imp Price by ECM'!B59="","",'Sch2a-Imp Price by ECM'!B59)</f>
        <v/>
      </c>
      <c r="B58" s="76" t="str">
        <f>IF('Sch2a-Imp Price by ECM'!D59="","",'Sch2a-Imp Price by ECM'!D59)</f>
        <v/>
      </c>
      <c r="C58" s="197" t="str">
        <f>IF('Sch2a-Imp Price by ECM'!G59="","",'Sch2a-Imp Price by ECM'!G59)</f>
        <v/>
      </c>
      <c r="D58" s="132"/>
      <c r="E58" s="190"/>
      <c r="F58" s="190"/>
      <c r="G58" s="190"/>
      <c r="H58" s="190"/>
      <c r="I58" s="134"/>
      <c r="J58" s="190"/>
      <c r="K58" s="190"/>
      <c r="L58" s="133"/>
      <c r="M58" s="133"/>
      <c r="N58" s="133"/>
      <c r="O58" s="127"/>
      <c r="P58" s="190"/>
      <c r="Q58" s="133"/>
      <c r="R58" s="191"/>
      <c r="S58" s="133"/>
      <c r="T58" s="191"/>
      <c r="U58" s="192"/>
      <c r="V58" s="191"/>
      <c r="W58" s="192"/>
      <c r="X58" s="334"/>
      <c r="Y58" s="192"/>
      <c r="Z58" s="392">
        <f t="shared" si="2"/>
        <v>0</v>
      </c>
      <c r="AA58" s="393">
        <f t="shared" si="3"/>
        <v>0</v>
      </c>
      <c r="AB58" s="191"/>
      <c r="AC58" s="192"/>
      <c r="AD58" s="191"/>
      <c r="AE58" s="192"/>
      <c r="AF58" s="192"/>
      <c r="AG58" s="192"/>
      <c r="AH58" s="396">
        <f t="shared" si="4"/>
        <v>0</v>
      </c>
      <c r="AI58" s="64" t="str">
        <f>IF('Sch2a-Imp Price by ECM'!C59="Yes", 0, 'Sch2a-Imp Price by ECM'!L59)</f>
        <v/>
      </c>
      <c r="AJ58" s="225" t="str">
        <f>IF('Sch2a-Imp Price by ECM'!C59="Yes",0, IF(AI58="","",AI58/AH58))</f>
        <v/>
      </c>
      <c r="AK58" s="1" t="str">
        <f>IF('Sch2a-Imp Price by ECM'!M59="","",'Sch2a-Imp Price by ECM'!M59)</f>
        <v/>
      </c>
    </row>
    <row r="59" spans="1:37" ht="16.5" thickBot="1">
      <c r="A59" s="40" t="str">
        <f>IF('Sch2a-Imp Price by ECM'!B60="","",'Sch2a-Imp Price by ECM'!B60)</f>
        <v/>
      </c>
      <c r="B59" s="76" t="str">
        <f>IF('Sch2a-Imp Price by ECM'!D60="","",'Sch2a-Imp Price by ECM'!D60)</f>
        <v/>
      </c>
      <c r="C59" s="197" t="str">
        <f>IF('Sch2a-Imp Price by ECM'!G60="","",'Sch2a-Imp Price by ECM'!G60)</f>
        <v/>
      </c>
      <c r="D59" s="132"/>
      <c r="E59" s="190"/>
      <c r="F59" s="190"/>
      <c r="G59" s="190"/>
      <c r="H59" s="190"/>
      <c r="I59" s="134"/>
      <c r="J59" s="190"/>
      <c r="K59" s="190"/>
      <c r="L59" s="133"/>
      <c r="M59" s="133"/>
      <c r="N59" s="133"/>
      <c r="O59" s="127"/>
      <c r="P59" s="190"/>
      <c r="Q59" s="133"/>
      <c r="R59" s="191"/>
      <c r="S59" s="133"/>
      <c r="T59" s="191"/>
      <c r="U59" s="192"/>
      <c r="V59" s="191"/>
      <c r="W59" s="192"/>
      <c r="X59" s="334"/>
      <c r="Y59" s="192"/>
      <c r="Z59" s="392">
        <f t="shared" si="2"/>
        <v>0</v>
      </c>
      <c r="AA59" s="393">
        <f t="shared" si="3"/>
        <v>0</v>
      </c>
      <c r="AB59" s="191"/>
      <c r="AC59" s="192"/>
      <c r="AD59" s="191"/>
      <c r="AE59" s="192"/>
      <c r="AF59" s="192"/>
      <c r="AG59" s="192"/>
      <c r="AH59" s="396">
        <f t="shared" si="4"/>
        <v>0</v>
      </c>
      <c r="AI59" s="64" t="str">
        <f>IF('Sch2a-Imp Price by ECM'!C60="Yes", 0, 'Sch2a-Imp Price by ECM'!L60)</f>
        <v/>
      </c>
      <c r="AJ59" s="225" t="str">
        <f>IF('Sch2a-Imp Price by ECM'!C60="Yes",0, IF(AI59="","",AI59/AH59))</f>
        <v/>
      </c>
      <c r="AK59" s="1" t="str">
        <f>IF('Sch2a-Imp Price by ECM'!M60="","",'Sch2a-Imp Price by ECM'!M60)</f>
        <v/>
      </c>
    </row>
    <row r="60" spans="1:37" ht="16.5" thickBot="1">
      <c r="A60" s="40" t="str">
        <f>IF('Sch2a-Imp Price by ECM'!B61="","",'Sch2a-Imp Price by ECM'!B61)</f>
        <v/>
      </c>
      <c r="B60" s="76" t="str">
        <f>IF('Sch2a-Imp Price by ECM'!D61="","",'Sch2a-Imp Price by ECM'!D61)</f>
        <v/>
      </c>
      <c r="C60" s="197" t="str">
        <f>IF('Sch2a-Imp Price by ECM'!G61="","",'Sch2a-Imp Price by ECM'!G61)</f>
        <v/>
      </c>
      <c r="D60" s="132"/>
      <c r="E60" s="190"/>
      <c r="F60" s="190"/>
      <c r="G60" s="190"/>
      <c r="H60" s="190"/>
      <c r="I60" s="134"/>
      <c r="J60" s="190"/>
      <c r="K60" s="190"/>
      <c r="L60" s="133"/>
      <c r="M60" s="133"/>
      <c r="N60" s="133"/>
      <c r="O60" s="127"/>
      <c r="P60" s="190"/>
      <c r="Q60" s="133"/>
      <c r="R60" s="191"/>
      <c r="S60" s="133"/>
      <c r="T60" s="191"/>
      <c r="U60" s="192"/>
      <c r="V60" s="191"/>
      <c r="W60" s="192"/>
      <c r="X60" s="334"/>
      <c r="Y60" s="192"/>
      <c r="Z60" s="392">
        <f t="shared" si="2"/>
        <v>0</v>
      </c>
      <c r="AA60" s="393">
        <f t="shared" si="3"/>
        <v>0</v>
      </c>
      <c r="AB60" s="191"/>
      <c r="AC60" s="192"/>
      <c r="AD60" s="191"/>
      <c r="AE60" s="192"/>
      <c r="AF60" s="192"/>
      <c r="AG60" s="192"/>
      <c r="AH60" s="396">
        <f t="shared" si="4"/>
        <v>0</v>
      </c>
      <c r="AI60" s="64" t="str">
        <f>IF('Sch2a-Imp Price by ECM'!C61="Yes", 0, 'Sch2a-Imp Price by ECM'!L61)</f>
        <v/>
      </c>
      <c r="AJ60" s="225" t="str">
        <f>IF('Sch2a-Imp Price by ECM'!C61="Yes",0, IF(AI60="","",AI60/AH60))</f>
        <v/>
      </c>
      <c r="AK60" s="1" t="str">
        <f>IF('Sch2a-Imp Price by ECM'!M61="","",'Sch2a-Imp Price by ECM'!M61)</f>
        <v/>
      </c>
    </row>
    <row r="61" spans="1:37" ht="16.5" thickBot="1">
      <c r="A61" s="40" t="str">
        <f>IF('Sch2a-Imp Price by ECM'!B62="","",'Sch2a-Imp Price by ECM'!B62)</f>
        <v/>
      </c>
      <c r="B61" s="76" t="str">
        <f>IF('Sch2a-Imp Price by ECM'!D62="","",'Sch2a-Imp Price by ECM'!D62)</f>
        <v/>
      </c>
      <c r="C61" s="197" t="str">
        <f>IF('Sch2a-Imp Price by ECM'!G62="","",'Sch2a-Imp Price by ECM'!G62)</f>
        <v/>
      </c>
      <c r="D61" s="132"/>
      <c r="E61" s="190"/>
      <c r="F61" s="190"/>
      <c r="G61" s="190"/>
      <c r="H61" s="190"/>
      <c r="I61" s="134"/>
      <c r="J61" s="190"/>
      <c r="K61" s="190"/>
      <c r="L61" s="133"/>
      <c r="M61" s="133"/>
      <c r="N61" s="133"/>
      <c r="O61" s="127"/>
      <c r="P61" s="190"/>
      <c r="Q61" s="133"/>
      <c r="R61" s="191"/>
      <c r="S61" s="133"/>
      <c r="T61" s="191"/>
      <c r="U61" s="192"/>
      <c r="V61" s="191"/>
      <c r="W61" s="192"/>
      <c r="X61" s="334"/>
      <c r="Y61" s="192"/>
      <c r="Z61" s="392">
        <f t="shared" si="2"/>
        <v>0</v>
      </c>
      <c r="AA61" s="393">
        <f t="shared" si="3"/>
        <v>0</v>
      </c>
      <c r="AB61" s="191"/>
      <c r="AC61" s="192"/>
      <c r="AD61" s="191"/>
      <c r="AE61" s="192"/>
      <c r="AF61" s="192"/>
      <c r="AG61" s="192"/>
      <c r="AH61" s="396">
        <f t="shared" si="4"/>
        <v>0</v>
      </c>
      <c r="AI61" s="64" t="str">
        <f>IF('Sch2a-Imp Price by ECM'!C62="Yes", 0, 'Sch2a-Imp Price by ECM'!L62)</f>
        <v/>
      </c>
      <c r="AJ61" s="225" t="str">
        <f>IF('Sch2a-Imp Price by ECM'!C62="Yes",0, IF(AI61="","",AI61/AH61))</f>
        <v/>
      </c>
      <c r="AK61" s="1" t="str">
        <f>IF('Sch2a-Imp Price by ECM'!M62="","",'Sch2a-Imp Price by ECM'!M62)</f>
        <v/>
      </c>
    </row>
    <row r="62" spans="1:37" ht="16.5" thickBot="1">
      <c r="A62" s="40" t="str">
        <f>IF('Sch2a-Imp Price by ECM'!B63="","",'Sch2a-Imp Price by ECM'!B63)</f>
        <v/>
      </c>
      <c r="B62" s="76" t="str">
        <f>IF('Sch2a-Imp Price by ECM'!D63="","",'Sch2a-Imp Price by ECM'!D63)</f>
        <v/>
      </c>
      <c r="C62" s="197" t="str">
        <f>IF('Sch2a-Imp Price by ECM'!G63="","",'Sch2a-Imp Price by ECM'!G63)</f>
        <v/>
      </c>
      <c r="D62" s="132"/>
      <c r="E62" s="190"/>
      <c r="F62" s="190"/>
      <c r="G62" s="190"/>
      <c r="H62" s="190"/>
      <c r="I62" s="134"/>
      <c r="J62" s="190"/>
      <c r="K62" s="190"/>
      <c r="L62" s="133"/>
      <c r="M62" s="133"/>
      <c r="N62" s="133"/>
      <c r="O62" s="127"/>
      <c r="P62" s="190"/>
      <c r="Q62" s="133"/>
      <c r="R62" s="191"/>
      <c r="S62" s="133"/>
      <c r="T62" s="191"/>
      <c r="U62" s="192"/>
      <c r="V62" s="191"/>
      <c r="W62" s="192"/>
      <c r="X62" s="334"/>
      <c r="Y62" s="192"/>
      <c r="Z62" s="392">
        <f t="shared" si="2"/>
        <v>0</v>
      </c>
      <c r="AA62" s="393">
        <f t="shared" si="3"/>
        <v>0</v>
      </c>
      <c r="AB62" s="191"/>
      <c r="AC62" s="192"/>
      <c r="AD62" s="191"/>
      <c r="AE62" s="192"/>
      <c r="AF62" s="192"/>
      <c r="AG62" s="192"/>
      <c r="AH62" s="396">
        <f t="shared" si="4"/>
        <v>0</v>
      </c>
      <c r="AI62" s="64" t="str">
        <f>IF('Sch2a-Imp Price by ECM'!C63="Yes", 0, 'Sch2a-Imp Price by ECM'!L63)</f>
        <v/>
      </c>
      <c r="AJ62" s="225" t="str">
        <f>IF('Sch2a-Imp Price by ECM'!C63="Yes",0, IF(AI62="","",AI62/AH62))</f>
        <v/>
      </c>
      <c r="AK62" s="1" t="str">
        <f>IF('Sch2a-Imp Price by ECM'!M63="","",'Sch2a-Imp Price by ECM'!M63)</f>
        <v/>
      </c>
    </row>
    <row r="63" spans="1:37" ht="16.5" thickBot="1">
      <c r="A63" s="40" t="str">
        <f>IF('Sch2a-Imp Price by ECM'!B64="","",'Sch2a-Imp Price by ECM'!B64)</f>
        <v/>
      </c>
      <c r="B63" s="76" t="str">
        <f>IF('Sch2a-Imp Price by ECM'!D64="","",'Sch2a-Imp Price by ECM'!D64)</f>
        <v/>
      </c>
      <c r="C63" s="197" t="str">
        <f>IF('Sch2a-Imp Price by ECM'!G64="","",'Sch2a-Imp Price by ECM'!G64)</f>
        <v/>
      </c>
      <c r="D63" s="132"/>
      <c r="E63" s="190"/>
      <c r="F63" s="190"/>
      <c r="G63" s="190"/>
      <c r="H63" s="190"/>
      <c r="I63" s="134"/>
      <c r="J63" s="190"/>
      <c r="K63" s="190"/>
      <c r="L63" s="133"/>
      <c r="M63" s="133"/>
      <c r="N63" s="133"/>
      <c r="O63" s="127"/>
      <c r="P63" s="190"/>
      <c r="Q63" s="133"/>
      <c r="R63" s="191"/>
      <c r="S63" s="133"/>
      <c r="T63" s="191"/>
      <c r="U63" s="192"/>
      <c r="V63" s="191"/>
      <c r="W63" s="192"/>
      <c r="X63" s="334"/>
      <c r="Y63" s="192"/>
      <c r="Z63" s="392">
        <f t="shared" si="2"/>
        <v>0</v>
      </c>
      <c r="AA63" s="393">
        <f t="shared" si="3"/>
        <v>0</v>
      </c>
      <c r="AB63" s="191"/>
      <c r="AC63" s="192"/>
      <c r="AD63" s="191"/>
      <c r="AE63" s="192"/>
      <c r="AF63" s="192"/>
      <c r="AG63" s="192"/>
      <c r="AH63" s="396">
        <f t="shared" si="4"/>
        <v>0</v>
      </c>
      <c r="AI63" s="64" t="str">
        <f>IF('Sch2a-Imp Price by ECM'!C64="Yes", 0, 'Sch2a-Imp Price by ECM'!L64)</f>
        <v/>
      </c>
      <c r="AJ63" s="225" t="str">
        <f>IF('Sch2a-Imp Price by ECM'!C64="Yes",0, IF(AI63="","",AI63/AH63))</f>
        <v/>
      </c>
      <c r="AK63" s="1" t="str">
        <f>IF('Sch2a-Imp Price by ECM'!M64="","",'Sch2a-Imp Price by ECM'!M64)</f>
        <v/>
      </c>
    </row>
    <row r="64" spans="1:37" ht="16.5" thickBot="1">
      <c r="A64" s="40" t="str">
        <f>IF('Sch2a-Imp Price by ECM'!B65="","",'Sch2a-Imp Price by ECM'!B65)</f>
        <v/>
      </c>
      <c r="B64" s="76" t="str">
        <f>IF('Sch2a-Imp Price by ECM'!D65="","",'Sch2a-Imp Price by ECM'!D65)</f>
        <v/>
      </c>
      <c r="C64" s="197" t="str">
        <f>IF('Sch2a-Imp Price by ECM'!G65="","",'Sch2a-Imp Price by ECM'!G65)</f>
        <v/>
      </c>
      <c r="D64" s="132"/>
      <c r="E64" s="190"/>
      <c r="F64" s="190"/>
      <c r="G64" s="190"/>
      <c r="H64" s="190"/>
      <c r="I64" s="134"/>
      <c r="J64" s="190"/>
      <c r="K64" s="190"/>
      <c r="L64" s="133"/>
      <c r="M64" s="133"/>
      <c r="N64" s="133"/>
      <c r="O64" s="127"/>
      <c r="P64" s="190"/>
      <c r="Q64" s="133"/>
      <c r="R64" s="191"/>
      <c r="S64" s="133"/>
      <c r="T64" s="191"/>
      <c r="U64" s="192"/>
      <c r="V64" s="191"/>
      <c r="W64" s="192"/>
      <c r="X64" s="334"/>
      <c r="Y64" s="192"/>
      <c r="Z64" s="392">
        <f t="shared" si="2"/>
        <v>0</v>
      </c>
      <c r="AA64" s="393">
        <f t="shared" si="3"/>
        <v>0</v>
      </c>
      <c r="AB64" s="191"/>
      <c r="AC64" s="192"/>
      <c r="AD64" s="191"/>
      <c r="AE64" s="192"/>
      <c r="AF64" s="192"/>
      <c r="AG64" s="192"/>
      <c r="AH64" s="396">
        <f t="shared" si="4"/>
        <v>0</v>
      </c>
      <c r="AI64" s="64" t="str">
        <f>IF('Sch2a-Imp Price by ECM'!C65="Yes", 0, 'Sch2a-Imp Price by ECM'!L65)</f>
        <v/>
      </c>
      <c r="AJ64" s="225" t="str">
        <f>IF('Sch2a-Imp Price by ECM'!C65="Yes",0, IF(AI64="","",AI64/AH64))</f>
        <v/>
      </c>
      <c r="AK64" s="1" t="str">
        <f>IF('Sch2a-Imp Price by ECM'!M65="","",'Sch2a-Imp Price by ECM'!M65)</f>
        <v/>
      </c>
    </row>
    <row r="65" spans="1:37" ht="16.5" thickBot="1">
      <c r="A65" s="40" t="str">
        <f>IF('Sch2a-Imp Price by ECM'!B66="","",'Sch2a-Imp Price by ECM'!B66)</f>
        <v/>
      </c>
      <c r="B65" s="76" t="str">
        <f>IF('Sch2a-Imp Price by ECM'!D66="","",'Sch2a-Imp Price by ECM'!D66)</f>
        <v/>
      </c>
      <c r="C65" s="197" t="str">
        <f>IF('Sch2a-Imp Price by ECM'!G66="","",'Sch2a-Imp Price by ECM'!G66)</f>
        <v/>
      </c>
      <c r="D65" s="132"/>
      <c r="E65" s="190"/>
      <c r="F65" s="190"/>
      <c r="G65" s="190"/>
      <c r="H65" s="190"/>
      <c r="I65" s="134"/>
      <c r="J65" s="190"/>
      <c r="K65" s="190"/>
      <c r="L65" s="133"/>
      <c r="M65" s="133"/>
      <c r="N65" s="133"/>
      <c r="O65" s="127"/>
      <c r="P65" s="190"/>
      <c r="Q65" s="133"/>
      <c r="R65" s="191"/>
      <c r="S65" s="133"/>
      <c r="T65" s="191"/>
      <c r="U65" s="192"/>
      <c r="V65" s="191"/>
      <c r="W65" s="192"/>
      <c r="X65" s="334"/>
      <c r="Y65" s="192"/>
      <c r="Z65" s="392">
        <f t="shared" si="2"/>
        <v>0</v>
      </c>
      <c r="AA65" s="393">
        <f t="shared" si="3"/>
        <v>0</v>
      </c>
      <c r="AB65" s="191"/>
      <c r="AC65" s="192"/>
      <c r="AD65" s="191"/>
      <c r="AE65" s="192"/>
      <c r="AF65" s="192"/>
      <c r="AG65" s="192"/>
      <c r="AH65" s="396">
        <f t="shared" si="4"/>
        <v>0</v>
      </c>
      <c r="AI65" s="64" t="str">
        <f>IF('Sch2a-Imp Price by ECM'!C66="Yes", 0, 'Sch2a-Imp Price by ECM'!L66)</f>
        <v/>
      </c>
      <c r="AJ65" s="225" t="str">
        <f>IF('Sch2a-Imp Price by ECM'!C66="Yes",0, IF(AI65="","",AI65/AH65))</f>
        <v/>
      </c>
      <c r="AK65" s="1" t="str">
        <f>IF('Sch2a-Imp Price by ECM'!M66="","",'Sch2a-Imp Price by ECM'!M66)</f>
        <v/>
      </c>
    </row>
    <row r="66" spans="1:37" ht="16.5" thickBot="1">
      <c r="A66" s="40" t="str">
        <f>IF('Sch2a-Imp Price by ECM'!B67="","",'Sch2a-Imp Price by ECM'!B67)</f>
        <v/>
      </c>
      <c r="B66" s="76" t="str">
        <f>IF('Sch2a-Imp Price by ECM'!D67="","",'Sch2a-Imp Price by ECM'!D67)</f>
        <v/>
      </c>
      <c r="C66" s="197" t="str">
        <f>IF('Sch2a-Imp Price by ECM'!G67="","",'Sch2a-Imp Price by ECM'!G67)</f>
        <v/>
      </c>
      <c r="D66" s="132"/>
      <c r="E66" s="190"/>
      <c r="F66" s="190"/>
      <c r="G66" s="190"/>
      <c r="H66" s="190"/>
      <c r="I66" s="134"/>
      <c r="J66" s="190"/>
      <c r="K66" s="190"/>
      <c r="L66" s="133"/>
      <c r="M66" s="133"/>
      <c r="N66" s="133"/>
      <c r="O66" s="127"/>
      <c r="P66" s="190"/>
      <c r="Q66" s="133"/>
      <c r="R66" s="191"/>
      <c r="S66" s="133"/>
      <c r="T66" s="191"/>
      <c r="U66" s="192"/>
      <c r="V66" s="191"/>
      <c r="W66" s="192"/>
      <c r="X66" s="334"/>
      <c r="Y66" s="192"/>
      <c r="Z66" s="392">
        <f t="shared" si="2"/>
        <v>0</v>
      </c>
      <c r="AA66" s="393">
        <f t="shared" si="3"/>
        <v>0</v>
      </c>
      <c r="AB66" s="191"/>
      <c r="AC66" s="192"/>
      <c r="AD66" s="191"/>
      <c r="AE66" s="192"/>
      <c r="AF66" s="192"/>
      <c r="AG66" s="192"/>
      <c r="AH66" s="396">
        <f t="shared" si="4"/>
        <v>0</v>
      </c>
      <c r="AI66" s="64" t="str">
        <f>IF('Sch2a-Imp Price by ECM'!C67="Yes", 0, 'Sch2a-Imp Price by ECM'!L67)</f>
        <v/>
      </c>
      <c r="AJ66" s="225" t="str">
        <f>IF('Sch2a-Imp Price by ECM'!C67="Yes",0, IF(AI66="","",AI66/AH66))</f>
        <v/>
      </c>
      <c r="AK66" s="1" t="str">
        <f>IF('Sch2a-Imp Price by ECM'!M67="","",'Sch2a-Imp Price by ECM'!M67)</f>
        <v/>
      </c>
    </row>
    <row r="67" spans="1:37" ht="16.5" thickBot="1">
      <c r="A67" s="40" t="str">
        <f>IF('Sch2a-Imp Price by ECM'!B68="","",'Sch2a-Imp Price by ECM'!B68)</f>
        <v/>
      </c>
      <c r="B67" s="76" t="str">
        <f>IF('Sch2a-Imp Price by ECM'!D68="","",'Sch2a-Imp Price by ECM'!D68)</f>
        <v/>
      </c>
      <c r="C67" s="197" t="str">
        <f>IF('Sch2a-Imp Price by ECM'!G68="","",'Sch2a-Imp Price by ECM'!G68)</f>
        <v/>
      </c>
      <c r="D67" s="132"/>
      <c r="E67" s="190"/>
      <c r="F67" s="190"/>
      <c r="G67" s="190"/>
      <c r="H67" s="190"/>
      <c r="I67" s="134"/>
      <c r="J67" s="190"/>
      <c r="K67" s="190"/>
      <c r="L67" s="133"/>
      <c r="M67" s="133"/>
      <c r="N67" s="133"/>
      <c r="O67" s="127"/>
      <c r="P67" s="190"/>
      <c r="Q67" s="133"/>
      <c r="R67" s="191"/>
      <c r="S67" s="133"/>
      <c r="T67" s="191"/>
      <c r="U67" s="192"/>
      <c r="V67" s="191"/>
      <c r="W67" s="192"/>
      <c r="X67" s="334"/>
      <c r="Y67" s="192"/>
      <c r="Z67" s="392">
        <f t="shared" si="2"/>
        <v>0</v>
      </c>
      <c r="AA67" s="393">
        <f t="shared" si="3"/>
        <v>0</v>
      </c>
      <c r="AB67" s="191"/>
      <c r="AC67" s="192"/>
      <c r="AD67" s="191"/>
      <c r="AE67" s="192"/>
      <c r="AF67" s="192"/>
      <c r="AG67" s="192"/>
      <c r="AH67" s="396">
        <f t="shared" si="4"/>
        <v>0</v>
      </c>
      <c r="AI67" s="64" t="str">
        <f>IF('Sch2a-Imp Price by ECM'!C68="Yes", 0, 'Sch2a-Imp Price by ECM'!L68)</f>
        <v/>
      </c>
      <c r="AJ67" s="225" t="str">
        <f>IF('Sch2a-Imp Price by ECM'!C68="Yes",0, IF(AI67="","",AI67/AH67))</f>
        <v/>
      </c>
      <c r="AK67" s="1" t="str">
        <f>IF('Sch2a-Imp Price by ECM'!M68="","",'Sch2a-Imp Price by ECM'!M68)</f>
        <v/>
      </c>
    </row>
    <row r="68" spans="1:37" ht="16.5" thickBot="1">
      <c r="A68" s="40" t="str">
        <f>IF('Sch2a-Imp Price by ECM'!B69="","",'Sch2a-Imp Price by ECM'!B69)</f>
        <v/>
      </c>
      <c r="B68" s="76" t="str">
        <f>IF('Sch2a-Imp Price by ECM'!D69="","",'Sch2a-Imp Price by ECM'!D69)</f>
        <v/>
      </c>
      <c r="C68" s="197" t="str">
        <f>IF('Sch2a-Imp Price by ECM'!G69="","",'Sch2a-Imp Price by ECM'!G69)</f>
        <v/>
      </c>
      <c r="D68" s="132"/>
      <c r="E68" s="190"/>
      <c r="F68" s="190"/>
      <c r="G68" s="190"/>
      <c r="H68" s="190"/>
      <c r="I68" s="134"/>
      <c r="J68" s="190"/>
      <c r="K68" s="190"/>
      <c r="L68" s="133"/>
      <c r="M68" s="133"/>
      <c r="N68" s="133"/>
      <c r="O68" s="127"/>
      <c r="P68" s="190"/>
      <c r="Q68" s="133"/>
      <c r="R68" s="191"/>
      <c r="S68" s="133"/>
      <c r="T68" s="191"/>
      <c r="U68" s="192"/>
      <c r="V68" s="191"/>
      <c r="W68" s="192"/>
      <c r="X68" s="334"/>
      <c r="Y68" s="192"/>
      <c r="Z68" s="392">
        <f t="shared" si="2"/>
        <v>0</v>
      </c>
      <c r="AA68" s="393">
        <f t="shared" si="3"/>
        <v>0</v>
      </c>
      <c r="AB68" s="191"/>
      <c r="AC68" s="192"/>
      <c r="AD68" s="191"/>
      <c r="AE68" s="192"/>
      <c r="AF68" s="192"/>
      <c r="AG68" s="192"/>
      <c r="AH68" s="396">
        <f t="shared" si="4"/>
        <v>0</v>
      </c>
      <c r="AI68" s="64" t="str">
        <f>IF('Sch2a-Imp Price by ECM'!C69="Yes", 0, 'Sch2a-Imp Price by ECM'!L69)</f>
        <v/>
      </c>
      <c r="AJ68" s="225" t="str">
        <f>IF('Sch2a-Imp Price by ECM'!C69="Yes",0, IF(AI68="","",AI68/AH68))</f>
        <v/>
      </c>
      <c r="AK68" s="1" t="str">
        <f>IF('Sch2a-Imp Price by ECM'!M69="","",'Sch2a-Imp Price by ECM'!M69)</f>
        <v/>
      </c>
    </row>
    <row r="69" spans="1:37" ht="16.5" thickBot="1">
      <c r="A69" s="40" t="str">
        <f>IF('Sch2a-Imp Price by ECM'!B70="","",'Sch2a-Imp Price by ECM'!B70)</f>
        <v/>
      </c>
      <c r="B69" s="76" t="str">
        <f>IF('Sch2a-Imp Price by ECM'!D70="","",'Sch2a-Imp Price by ECM'!D70)</f>
        <v/>
      </c>
      <c r="C69" s="197" t="str">
        <f>IF('Sch2a-Imp Price by ECM'!G70="","",'Sch2a-Imp Price by ECM'!G70)</f>
        <v/>
      </c>
      <c r="D69" s="132"/>
      <c r="E69" s="190"/>
      <c r="F69" s="190"/>
      <c r="G69" s="190"/>
      <c r="H69" s="190"/>
      <c r="I69" s="134"/>
      <c r="J69" s="190"/>
      <c r="K69" s="190"/>
      <c r="L69" s="133"/>
      <c r="M69" s="133"/>
      <c r="N69" s="133"/>
      <c r="O69" s="127"/>
      <c r="P69" s="190"/>
      <c r="Q69" s="133"/>
      <c r="R69" s="191"/>
      <c r="S69" s="133"/>
      <c r="T69" s="191"/>
      <c r="U69" s="192"/>
      <c r="V69" s="191"/>
      <c r="W69" s="192"/>
      <c r="X69" s="334"/>
      <c r="Y69" s="192"/>
      <c r="Z69" s="392">
        <f t="shared" si="2"/>
        <v>0</v>
      </c>
      <c r="AA69" s="393">
        <f t="shared" si="3"/>
        <v>0</v>
      </c>
      <c r="AB69" s="191"/>
      <c r="AC69" s="192"/>
      <c r="AD69" s="191"/>
      <c r="AE69" s="192"/>
      <c r="AF69" s="192"/>
      <c r="AG69" s="192"/>
      <c r="AH69" s="396">
        <f t="shared" si="4"/>
        <v>0</v>
      </c>
      <c r="AI69" s="64" t="str">
        <f>IF('Sch2a-Imp Price by ECM'!C70="Yes", 0, 'Sch2a-Imp Price by ECM'!L70)</f>
        <v/>
      </c>
      <c r="AJ69" s="225" t="str">
        <f>IF('Sch2a-Imp Price by ECM'!C70="Yes",0, IF(AI69="","",AI69/AH69))</f>
        <v/>
      </c>
      <c r="AK69" s="1" t="str">
        <f>IF('Sch2a-Imp Price by ECM'!M70="","",'Sch2a-Imp Price by ECM'!M70)</f>
        <v/>
      </c>
    </row>
    <row r="70" spans="1:37" ht="16.5" thickBot="1">
      <c r="A70" s="40" t="str">
        <f>IF('Sch2a-Imp Price by ECM'!B71="","",'Sch2a-Imp Price by ECM'!B71)</f>
        <v/>
      </c>
      <c r="B70" s="76" t="str">
        <f>IF('Sch2a-Imp Price by ECM'!D71="","",'Sch2a-Imp Price by ECM'!D71)</f>
        <v/>
      </c>
      <c r="C70" s="197" t="str">
        <f>IF('Sch2a-Imp Price by ECM'!G71="","",'Sch2a-Imp Price by ECM'!G71)</f>
        <v/>
      </c>
      <c r="D70" s="132"/>
      <c r="E70" s="190"/>
      <c r="F70" s="190"/>
      <c r="G70" s="190"/>
      <c r="H70" s="190"/>
      <c r="I70" s="134"/>
      <c r="J70" s="190"/>
      <c r="K70" s="190"/>
      <c r="L70" s="133"/>
      <c r="M70" s="133"/>
      <c r="N70" s="133"/>
      <c r="O70" s="127"/>
      <c r="P70" s="190"/>
      <c r="Q70" s="133"/>
      <c r="R70" s="191"/>
      <c r="S70" s="133"/>
      <c r="T70" s="191"/>
      <c r="U70" s="192"/>
      <c r="V70" s="191"/>
      <c r="W70" s="192"/>
      <c r="X70" s="334"/>
      <c r="Y70" s="192"/>
      <c r="Z70" s="392">
        <f t="shared" si="2"/>
        <v>0</v>
      </c>
      <c r="AA70" s="393">
        <f t="shared" si="3"/>
        <v>0</v>
      </c>
      <c r="AB70" s="191"/>
      <c r="AC70" s="192"/>
      <c r="AD70" s="191"/>
      <c r="AE70" s="192"/>
      <c r="AF70" s="192"/>
      <c r="AG70" s="192"/>
      <c r="AH70" s="396">
        <f t="shared" si="4"/>
        <v>0</v>
      </c>
      <c r="AI70" s="64" t="str">
        <f>IF('Sch2a-Imp Price by ECM'!C71="Yes", 0, 'Sch2a-Imp Price by ECM'!L71)</f>
        <v/>
      </c>
      <c r="AJ70" s="225" t="str">
        <f>IF('Sch2a-Imp Price by ECM'!C71="Yes",0, IF(AI70="","",AI70/AH70))</f>
        <v/>
      </c>
      <c r="AK70" s="1" t="str">
        <f>IF('Sch2a-Imp Price by ECM'!M71="","",'Sch2a-Imp Price by ECM'!M71)</f>
        <v/>
      </c>
    </row>
    <row r="71" spans="1:37" ht="16.5" thickBot="1">
      <c r="A71" s="40" t="str">
        <f>IF('Sch2a-Imp Price by ECM'!B72="","",'Sch2a-Imp Price by ECM'!B72)</f>
        <v/>
      </c>
      <c r="B71" s="76" t="str">
        <f>IF('Sch2a-Imp Price by ECM'!D72="","",'Sch2a-Imp Price by ECM'!D72)</f>
        <v/>
      </c>
      <c r="C71" s="197" t="str">
        <f>IF('Sch2a-Imp Price by ECM'!G72="","",'Sch2a-Imp Price by ECM'!G72)</f>
        <v/>
      </c>
      <c r="D71" s="132"/>
      <c r="E71" s="190"/>
      <c r="F71" s="190"/>
      <c r="G71" s="190"/>
      <c r="H71" s="190"/>
      <c r="I71" s="134"/>
      <c r="J71" s="190"/>
      <c r="K71" s="190"/>
      <c r="L71" s="133"/>
      <c r="M71" s="133"/>
      <c r="N71" s="133"/>
      <c r="O71" s="127"/>
      <c r="P71" s="190"/>
      <c r="Q71" s="133"/>
      <c r="R71" s="191"/>
      <c r="S71" s="133"/>
      <c r="T71" s="191"/>
      <c r="U71" s="192"/>
      <c r="V71" s="191"/>
      <c r="W71" s="192"/>
      <c r="X71" s="334"/>
      <c r="Y71" s="192"/>
      <c r="Z71" s="392">
        <f t="shared" si="2"/>
        <v>0</v>
      </c>
      <c r="AA71" s="393">
        <f t="shared" si="3"/>
        <v>0</v>
      </c>
      <c r="AB71" s="191"/>
      <c r="AC71" s="192"/>
      <c r="AD71" s="191"/>
      <c r="AE71" s="192"/>
      <c r="AF71" s="192"/>
      <c r="AG71" s="192"/>
      <c r="AH71" s="396">
        <f t="shared" si="4"/>
        <v>0</v>
      </c>
      <c r="AI71" s="64" t="str">
        <f>IF('Sch2a-Imp Price by ECM'!C72="Yes", 0, 'Sch2a-Imp Price by ECM'!L72)</f>
        <v/>
      </c>
      <c r="AJ71" s="225" t="str">
        <f>IF('Sch2a-Imp Price by ECM'!C72="Yes",0, IF(AI71="","",AI71/AH71))</f>
        <v/>
      </c>
      <c r="AK71" s="1" t="str">
        <f>IF('Sch2a-Imp Price by ECM'!M72="","",'Sch2a-Imp Price by ECM'!M72)</f>
        <v/>
      </c>
    </row>
    <row r="72" spans="1:37" ht="16.5" thickBot="1">
      <c r="A72" s="40" t="str">
        <f>IF('Sch2a-Imp Price by ECM'!B73="","",'Sch2a-Imp Price by ECM'!B73)</f>
        <v/>
      </c>
      <c r="B72" s="76" t="str">
        <f>IF('Sch2a-Imp Price by ECM'!D73="","",'Sch2a-Imp Price by ECM'!D73)</f>
        <v/>
      </c>
      <c r="C72" s="197" t="str">
        <f>IF('Sch2a-Imp Price by ECM'!G73="","",'Sch2a-Imp Price by ECM'!G73)</f>
        <v/>
      </c>
      <c r="D72" s="132"/>
      <c r="E72" s="190"/>
      <c r="F72" s="190"/>
      <c r="G72" s="190"/>
      <c r="H72" s="190"/>
      <c r="I72" s="134"/>
      <c r="J72" s="190"/>
      <c r="K72" s="190"/>
      <c r="L72" s="133"/>
      <c r="M72" s="133"/>
      <c r="N72" s="133"/>
      <c r="O72" s="134"/>
      <c r="P72" s="190"/>
      <c r="Q72" s="133"/>
      <c r="R72" s="191"/>
      <c r="S72" s="133"/>
      <c r="T72" s="191"/>
      <c r="U72" s="192"/>
      <c r="V72" s="191"/>
      <c r="W72" s="192"/>
      <c r="X72" s="334"/>
      <c r="Y72" s="192"/>
      <c r="Z72" s="392">
        <f t="shared" si="2"/>
        <v>0</v>
      </c>
      <c r="AA72" s="393">
        <f t="shared" si="3"/>
        <v>0</v>
      </c>
      <c r="AB72" s="191"/>
      <c r="AC72" s="192"/>
      <c r="AD72" s="191"/>
      <c r="AE72" s="192"/>
      <c r="AF72" s="192"/>
      <c r="AG72" s="192"/>
      <c r="AH72" s="396">
        <f t="shared" si="4"/>
        <v>0</v>
      </c>
      <c r="AI72" s="64" t="str">
        <f>IF('Sch2a-Imp Price by ECM'!C73="Yes", 0, 'Sch2a-Imp Price by ECM'!L73)</f>
        <v/>
      </c>
      <c r="AJ72" s="225" t="str">
        <f>IF('Sch2a-Imp Price by ECM'!C73="Yes",0, IF(AI72="","",AI72/AH72))</f>
        <v/>
      </c>
      <c r="AK72" s="1" t="str">
        <f>IF('Sch2a-Imp Price by ECM'!M73="","",'Sch2a-Imp Price by ECM'!M73)</f>
        <v/>
      </c>
    </row>
    <row r="73" spans="1:37" ht="16.5" thickBot="1">
      <c r="A73" s="40" t="str">
        <f>IF('Sch2a-Imp Price by ECM'!B74="","",'Sch2a-Imp Price by ECM'!B74)</f>
        <v/>
      </c>
      <c r="B73" s="76" t="str">
        <f>IF('Sch2a-Imp Price by ECM'!D74="","",'Sch2a-Imp Price by ECM'!D74)</f>
        <v/>
      </c>
      <c r="C73" s="197" t="str">
        <f>IF('Sch2a-Imp Price by ECM'!G74="","",'Sch2a-Imp Price by ECM'!G74)</f>
        <v/>
      </c>
      <c r="D73" s="132"/>
      <c r="E73" s="190"/>
      <c r="F73" s="190"/>
      <c r="G73" s="190"/>
      <c r="H73" s="190"/>
      <c r="I73" s="134"/>
      <c r="J73" s="190"/>
      <c r="K73" s="190"/>
      <c r="L73" s="133"/>
      <c r="M73" s="133"/>
      <c r="N73" s="133"/>
      <c r="O73" s="134"/>
      <c r="P73" s="190"/>
      <c r="Q73" s="133"/>
      <c r="R73" s="191"/>
      <c r="S73" s="133"/>
      <c r="T73" s="191"/>
      <c r="U73" s="192"/>
      <c r="V73" s="191"/>
      <c r="W73" s="192"/>
      <c r="X73" s="334"/>
      <c r="Y73" s="192"/>
      <c r="Z73" s="392">
        <f t="shared" ref="Z73:Z136" si="5">(P73*3412/10^6)+T73+V73+X73</f>
        <v>0</v>
      </c>
      <c r="AA73" s="393">
        <f t="shared" ref="AA73:AA136" si="6">Q73+S73+W73+Y73+U73</f>
        <v>0</v>
      </c>
      <c r="AB73" s="191"/>
      <c r="AC73" s="192"/>
      <c r="AD73" s="191"/>
      <c r="AE73" s="192"/>
      <c r="AF73" s="192"/>
      <c r="AG73" s="192"/>
      <c r="AH73" s="396">
        <f t="shared" ref="AH73:AH136" si="7">AA73+AC73+AE73+AF73+AG73</f>
        <v>0</v>
      </c>
      <c r="AI73" s="64" t="str">
        <f>IF('Sch2a-Imp Price by ECM'!C74="Yes", 0, 'Sch2a-Imp Price by ECM'!L74)</f>
        <v/>
      </c>
      <c r="AJ73" s="225" t="str">
        <f>IF('Sch2a-Imp Price by ECM'!C74="Yes",0, IF(AI73="","",AI73/AH73))</f>
        <v/>
      </c>
      <c r="AK73" s="1" t="str">
        <f>IF('Sch2a-Imp Price by ECM'!M74="","",'Sch2a-Imp Price by ECM'!M74)</f>
        <v/>
      </c>
    </row>
    <row r="74" spans="1:37" ht="16.5" thickBot="1">
      <c r="A74" s="40" t="str">
        <f>IF('Sch2a-Imp Price by ECM'!B75="","",'Sch2a-Imp Price by ECM'!B75)</f>
        <v/>
      </c>
      <c r="B74" s="76" t="str">
        <f>IF('Sch2a-Imp Price by ECM'!D75="","",'Sch2a-Imp Price by ECM'!D75)</f>
        <v/>
      </c>
      <c r="C74" s="197" t="str">
        <f>IF('Sch2a-Imp Price by ECM'!G75="","",'Sch2a-Imp Price by ECM'!G75)</f>
        <v/>
      </c>
      <c r="D74" s="132"/>
      <c r="E74" s="190"/>
      <c r="F74" s="190"/>
      <c r="G74" s="190"/>
      <c r="H74" s="190"/>
      <c r="I74" s="134"/>
      <c r="J74" s="190"/>
      <c r="K74" s="190"/>
      <c r="L74" s="133"/>
      <c r="M74" s="133"/>
      <c r="N74" s="133"/>
      <c r="O74" s="134"/>
      <c r="P74" s="190"/>
      <c r="Q74" s="133"/>
      <c r="R74" s="191"/>
      <c r="S74" s="133"/>
      <c r="T74" s="191"/>
      <c r="U74" s="192"/>
      <c r="V74" s="191"/>
      <c r="W74" s="192"/>
      <c r="X74" s="334"/>
      <c r="Y74" s="192"/>
      <c r="Z74" s="392">
        <f t="shared" si="5"/>
        <v>0</v>
      </c>
      <c r="AA74" s="393">
        <f t="shared" si="6"/>
        <v>0</v>
      </c>
      <c r="AB74" s="191"/>
      <c r="AC74" s="192"/>
      <c r="AD74" s="191"/>
      <c r="AE74" s="192"/>
      <c r="AF74" s="192"/>
      <c r="AG74" s="192"/>
      <c r="AH74" s="396">
        <f t="shared" si="7"/>
        <v>0</v>
      </c>
      <c r="AI74" s="64" t="str">
        <f>IF('Sch2a-Imp Price by ECM'!C75="Yes", 0, 'Sch2a-Imp Price by ECM'!L75)</f>
        <v/>
      </c>
      <c r="AJ74" s="225" t="str">
        <f>IF('Sch2a-Imp Price by ECM'!C75="Yes",0, IF(AI74="","",AI74/AH74))</f>
        <v/>
      </c>
      <c r="AK74" s="1" t="str">
        <f>IF('Sch2a-Imp Price by ECM'!M75="","",'Sch2a-Imp Price by ECM'!M75)</f>
        <v/>
      </c>
    </row>
    <row r="75" spans="1:37" ht="16.5" thickBot="1">
      <c r="A75" s="40" t="str">
        <f>IF('Sch2a-Imp Price by ECM'!B76="","",'Sch2a-Imp Price by ECM'!B76)</f>
        <v/>
      </c>
      <c r="B75" s="76" t="str">
        <f>IF('Sch2a-Imp Price by ECM'!D76="","",'Sch2a-Imp Price by ECM'!D76)</f>
        <v/>
      </c>
      <c r="C75" s="197" t="str">
        <f>IF('Sch2a-Imp Price by ECM'!G76="","",'Sch2a-Imp Price by ECM'!G76)</f>
        <v/>
      </c>
      <c r="D75" s="132"/>
      <c r="E75" s="190"/>
      <c r="F75" s="190"/>
      <c r="G75" s="190"/>
      <c r="H75" s="190"/>
      <c r="I75" s="134"/>
      <c r="J75" s="190"/>
      <c r="K75" s="190"/>
      <c r="L75" s="133"/>
      <c r="M75" s="133"/>
      <c r="N75" s="133"/>
      <c r="O75" s="134"/>
      <c r="P75" s="190"/>
      <c r="Q75" s="133"/>
      <c r="R75" s="191"/>
      <c r="S75" s="133"/>
      <c r="T75" s="191"/>
      <c r="U75" s="192"/>
      <c r="V75" s="191"/>
      <c r="W75" s="192"/>
      <c r="X75" s="334"/>
      <c r="Y75" s="192"/>
      <c r="Z75" s="392">
        <f t="shared" si="5"/>
        <v>0</v>
      </c>
      <c r="AA75" s="393">
        <f t="shared" si="6"/>
        <v>0</v>
      </c>
      <c r="AB75" s="191"/>
      <c r="AC75" s="192"/>
      <c r="AD75" s="191"/>
      <c r="AE75" s="192"/>
      <c r="AF75" s="192"/>
      <c r="AG75" s="192"/>
      <c r="AH75" s="396">
        <f t="shared" si="7"/>
        <v>0</v>
      </c>
      <c r="AI75" s="64" t="str">
        <f>IF('Sch2a-Imp Price by ECM'!C76="Yes", 0, 'Sch2a-Imp Price by ECM'!L76)</f>
        <v/>
      </c>
      <c r="AJ75" s="225" t="str">
        <f>IF('Sch2a-Imp Price by ECM'!C76="Yes",0, IF(AI75="","",AI75/AH75))</f>
        <v/>
      </c>
      <c r="AK75" s="1" t="str">
        <f>IF('Sch2a-Imp Price by ECM'!M76="","",'Sch2a-Imp Price by ECM'!M76)</f>
        <v/>
      </c>
    </row>
    <row r="76" spans="1:37" ht="18" customHeight="1" thickBot="1">
      <c r="A76" s="40" t="str">
        <f>IF('Sch2a-Imp Price by ECM'!B77="","",'Sch2a-Imp Price by ECM'!B77)</f>
        <v/>
      </c>
      <c r="B76" s="76" t="str">
        <f>IF('Sch2a-Imp Price by ECM'!D77="","",'Sch2a-Imp Price by ECM'!D77)</f>
        <v/>
      </c>
      <c r="C76" s="197" t="str">
        <f>IF('Sch2a-Imp Price by ECM'!G77="","",'Sch2a-Imp Price by ECM'!G77)</f>
        <v/>
      </c>
      <c r="D76" s="132"/>
      <c r="E76" s="190"/>
      <c r="F76" s="190"/>
      <c r="G76" s="190"/>
      <c r="H76" s="190"/>
      <c r="I76" s="134"/>
      <c r="J76" s="190"/>
      <c r="K76" s="190"/>
      <c r="L76" s="133"/>
      <c r="M76" s="133"/>
      <c r="N76" s="133"/>
      <c r="O76" s="134"/>
      <c r="P76" s="190"/>
      <c r="Q76" s="133"/>
      <c r="R76" s="191"/>
      <c r="S76" s="133"/>
      <c r="T76" s="191"/>
      <c r="U76" s="192"/>
      <c r="V76" s="191"/>
      <c r="W76" s="192"/>
      <c r="X76" s="334"/>
      <c r="Y76" s="192"/>
      <c r="Z76" s="392">
        <f t="shared" si="5"/>
        <v>0</v>
      </c>
      <c r="AA76" s="393">
        <f t="shared" si="6"/>
        <v>0</v>
      </c>
      <c r="AB76" s="191"/>
      <c r="AC76" s="192"/>
      <c r="AD76" s="191"/>
      <c r="AE76" s="192"/>
      <c r="AF76" s="192"/>
      <c r="AG76" s="192"/>
      <c r="AH76" s="396">
        <f t="shared" si="7"/>
        <v>0</v>
      </c>
      <c r="AI76" s="64" t="str">
        <f>IF('Sch2a-Imp Price by ECM'!C77="Yes", 0, 'Sch2a-Imp Price by ECM'!L77)</f>
        <v/>
      </c>
      <c r="AJ76" s="225" t="str">
        <f>IF('Sch2a-Imp Price by ECM'!C77="Yes",0, IF(AI76="","",AI76/AH76))</f>
        <v/>
      </c>
      <c r="AK76" s="1" t="str">
        <f>IF('Sch2a-Imp Price by ECM'!M77="","",'Sch2a-Imp Price by ECM'!M77)</f>
        <v/>
      </c>
    </row>
    <row r="77" spans="1:37" ht="16.5" thickBot="1">
      <c r="A77" s="40" t="str">
        <f>IF('Sch2a-Imp Price by ECM'!B78="","",'Sch2a-Imp Price by ECM'!B78)</f>
        <v/>
      </c>
      <c r="B77" s="76" t="str">
        <f>IF('Sch2a-Imp Price by ECM'!D78="","",'Sch2a-Imp Price by ECM'!D78)</f>
        <v/>
      </c>
      <c r="C77" s="197" t="str">
        <f>IF('Sch2a-Imp Price by ECM'!G78="","",'Sch2a-Imp Price by ECM'!G78)</f>
        <v/>
      </c>
      <c r="D77" s="132"/>
      <c r="E77" s="190"/>
      <c r="F77" s="190"/>
      <c r="G77" s="190"/>
      <c r="H77" s="190"/>
      <c r="I77" s="134"/>
      <c r="J77" s="190"/>
      <c r="K77" s="190"/>
      <c r="L77" s="133"/>
      <c r="M77" s="133"/>
      <c r="N77" s="133"/>
      <c r="O77" s="134"/>
      <c r="P77" s="190"/>
      <c r="Q77" s="133"/>
      <c r="R77" s="191"/>
      <c r="S77" s="133"/>
      <c r="T77" s="191"/>
      <c r="U77" s="192"/>
      <c r="V77" s="191"/>
      <c r="W77" s="192"/>
      <c r="X77" s="334"/>
      <c r="Y77" s="192"/>
      <c r="Z77" s="392">
        <f t="shared" si="5"/>
        <v>0</v>
      </c>
      <c r="AA77" s="393">
        <f t="shared" si="6"/>
        <v>0</v>
      </c>
      <c r="AB77" s="191"/>
      <c r="AC77" s="192"/>
      <c r="AD77" s="191"/>
      <c r="AE77" s="192"/>
      <c r="AF77" s="192"/>
      <c r="AG77" s="192"/>
      <c r="AH77" s="396">
        <f t="shared" si="7"/>
        <v>0</v>
      </c>
      <c r="AI77" s="64" t="str">
        <f>IF('Sch2a-Imp Price by ECM'!C78="Yes", 0, 'Sch2a-Imp Price by ECM'!L78)</f>
        <v/>
      </c>
      <c r="AJ77" s="225" t="str">
        <f>IF('Sch2a-Imp Price by ECM'!C78="Yes",0, IF(AI77="","",AI77/AH77))</f>
        <v/>
      </c>
      <c r="AK77" s="1" t="str">
        <f>IF('Sch2a-Imp Price by ECM'!M78="","",'Sch2a-Imp Price by ECM'!M78)</f>
        <v/>
      </c>
    </row>
    <row r="78" spans="1:37" ht="16.5" thickBot="1">
      <c r="A78" s="40" t="str">
        <f>IF('Sch2a-Imp Price by ECM'!B79="","",'Sch2a-Imp Price by ECM'!B79)</f>
        <v/>
      </c>
      <c r="B78" s="76" t="str">
        <f>IF('Sch2a-Imp Price by ECM'!D79="","",'Sch2a-Imp Price by ECM'!D79)</f>
        <v/>
      </c>
      <c r="C78" s="197" t="str">
        <f>IF('Sch2a-Imp Price by ECM'!G79="","",'Sch2a-Imp Price by ECM'!G79)</f>
        <v/>
      </c>
      <c r="D78" s="132"/>
      <c r="E78" s="190"/>
      <c r="F78" s="190"/>
      <c r="G78" s="190"/>
      <c r="H78" s="190"/>
      <c r="I78" s="134"/>
      <c r="J78" s="190"/>
      <c r="K78" s="190"/>
      <c r="L78" s="133"/>
      <c r="M78" s="133"/>
      <c r="N78" s="133"/>
      <c r="O78" s="134"/>
      <c r="P78" s="190"/>
      <c r="Q78" s="133"/>
      <c r="R78" s="191"/>
      <c r="S78" s="133"/>
      <c r="T78" s="191"/>
      <c r="U78" s="192"/>
      <c r="V78" s="191"/>
      <c r="W78" s="192"/>
      <c r="X78" s="334"/>
      <c r="Y78" s="192"/>
      <c r="Z78" s="392">
        <f t="shared" si="5"/>
        <v>0</v>
      </c>
      <c r="AA78" s="393">
        <f t="shared" si="6"/>
        <v>0</v>
      </c>
      <c r="AB78" s="191"/>
      <c r="AC78" s="192"/>
      <c r="AD78" s="191"/>
      <c r="AE78" s="192"/>
      <c r="AF78" s="192"/>
      <c r="AG78" s="192"/>
      <c r="AH78" s="396">
        <f t="shared" si="7"/>
        <v>0</v>
      </c>
      <c r="AI78" s="64" t="str">
        <f>IF('Sch2a-Imp Price by ECM'!C79="Yes", 0, 'Sch2a-Imp Price by ECM'!L79)</f>
        <v/>
      </c>
      <c r="AJ78" s="225" t="str">
        <f>IF('Sch2a-Imp Price by ECM'!C79="Yes",0, IF(AI78="","",AI78/AH78))</f>
        <v/>
      </c>
      <c r="AK78" s="1" t="str">
        <f>IF('Sch2a-Imp Price by ECM'!M79="","",'Sch2a-Imp Price by ECM'!M79)</f>
        <v/>
      </c>
    </row>
    <row r="79" spans="1:37" ht="16.5" thickBot="1">
      <c r="A79" s="40" t="str">
        <f>IF('Sch2a-Imp Price by ECM'!B80="","",'Sch2a-Imp Price by ECM'!B80)</f>
        <v/>
      </c>
      <c r="B79" s="76" t="str">
        <f>IF('Sch2a-Imp Price by ECM'!D80="","",'Sch2a-Imp Price by ECM'!D80)</f>
        <v/>
      </c>
      <c r="C79" s="197" t="str">
        <f>IF('Sch2a-Imp Price by ECM'!G80="","",'Sch2a-Imp Price by ECM'!G80)</f>
        <v/>
      </c>
      <c r="D79" s="132"/>
      <c r="E79" s="190"/>
      <c r="F79" s="190"/>
      <c r="G79" s="190"/>
      <c r="H79" s="190"/>
      <c r="I79" s="134"/>
      <c r="J79" s="190"/>
      <c r="K79" s="190"/>
      <c r="L79" s="133"/>
      <c r="M79" s="133"/>
      <c r="N79" s="133"/>
      <c r="O79" s="127"/>
      <c r="P79" s="190"/>
      <c r="Q79" s="133"/>
      <c r="R79" s="191"/>
      <c r="S79" s="133"/>
      <c r="T79" s="191"/>
      <c r="U79" s="192"/>
      <c r="V79" s="191"/>
      <c r="W79" s="192"/>
      <c r="X79" s="334"/>
      <c r="Y79" s="192"/>
      <c r="Z79" s="392">
        <f t="shared" si="5"/>
        <v>0</v>
      </c>
      <c r="AA79" s="393">
        <f t="shared" si="6"/>
        <v>0</v>
      </c>
      <c r="AB79" s="191"/>
      <c r="AC79" s="192"/>
      <c r="AD79" s="191"/>
      <c r="AE79" s="192"/>
      <c r="AF79" s="192"/>
      <c r="AG79" s="192"/>
      <c r="AH79" s="396">
        <f t="shared" si="7"/>
        <v>0</v>
      </c>
      <c r="AI79" s="64" t="str">
        <f>IF('Sch2a-Imp Price by ECM'!C80="Yes", 0, 'Sch2a-Imp Price by ECM'!L80)</f>
        <v/>
      </c>
      <c r="AJ79" s="225" t="str">
        <f>IF('Sch2a-Imp Price by ECM'!C80="Yes",0, IF(AI79="","",AI79/AH79))</f>
        <v/>
      </c>
      <c r="AK79" s="1" t="str">
        <f>IF('Sch2a-Imp Price by ECM'!M80="","",'Sch2a-Imp Price by ECM'!M80)</f>
        <v/>
      </c>
    </row>
    <row r="80" spans="1:37" ht="16.5" thickBot="1">
      <c r="A80" s="40" t="str">
        <f>IF('Sch2a-Imp Price by ECM'!B81="","",'Sch2a-Imp Price by ECM'!B81)</f>
        <v/>
      </c>
      <c r="B80" s="76" t="str">
        <f>IF('Sch2a-Imp Price by ECM'!D81="","",'Sch2a-Imp Price by ECM'!D81)</f>
        <v/>
      </c>
      <c r="C80" s="197" t="str">
        <f>IF('Sch2a-Imp Price by ECM'!G81="","",'Sch2a-Imp Price by ECM'!G81)</f>
        <v/>
      </c>
      <c r="D80" s="132"/>
      <c r="E80" s="190"/>
      <c r="F80" s="190"/>
      <c r="G80" s="190"/>
      <c r="H80" s="190"/>
      <c r="I80" s="134"/>
      <c r="J80" s="190"/>
      <c r="K80" s="190"/>
      <c r="L80" s="133"/>
      <c r="M80" s="133"/>
      <c r="N80" s="133"/>
      <c r="O80" s="127"/>
      <c r="P80" s="190"/>
      <c r="Q80" s="133"/>
      <c r="R80" s="191"/>
      <c r="S80" s="133"/>
      <c r="T80" s="191"/>
      <c r="U80" s="192"/>
      <c r="V80" s="191"/>
      <c r="W80" s="192"/>
      <c r="X80" s="334"/>
      <c r="Y80" s="192"/>
      <c r="Z80" s="392">
        <f t="shared" si="5"/>
        <v>0</v>
      </c>
      <c r="AA80" s="393">
        <f t="shared" si="6"/>
        <v>0</v>
      </c>
      <c r="AB80" s="191"/>
      <c r="AC80" s="192"/>
      <c r="AD80" s="191"/>
      <c r="AE80" s="192"/>
      <c r="AF80" s="192"/>
      <c r="AG80" s="192"/>
      <c r="AH80" s="396">
        <f t="shared" si="7"/>
        <v>0</v>
      </c>
      <c r="AI80" s="64" t="str">
        <f>IF('Sch2a-Imp Price by ECM'!C81="Yes", 0, 'Sch2a-Imp Price by ECM'!L81)</f>
        <v/>
      </c>
      <c r="AJ80" s="225" t="str">
        <f>IF('Sch2a-Imp Price by ECM'!C81="Yes",0, IF(AI80="","",AI80/AH80))</f>
        <v/>
      </c>
      <c r="AK80" s="1" t="str">
        <f>IF('Sch2a-Imp Price by ECM'!M81="","",'Sch2a-Imp Price by ECM'!M81)</f>
        <v/>
      </c>
    </row>
    <row r="81" spans="1:37" ht="16.5" thickBot="1">
      <c r="A81" s="40" t="str">
        <f>IF('Sch2a-Imp Price by ECM'!B82="","",'Sch2a-Imp Price by ECM'!B82)</f>
        <v/>
      </c>
      <c r="B81" s="76" t="str">
        <f>IF('Sch2a-Imp Price by ECM'!D82="","",'Sch2a-Imp Price by ECM'!D82)</f>
        <v/>
      </c>
      <c r="C81" s="197" t="str">
        <f>IF('Sch2a-Imp Price by ECM'!G82="","",'Sch2a-Imp Price by ECM'!G82)</f>
        <v/>
      </c>
      <c r="D81" s="132"/>
      <c r="E81" s="190"/>
      <c r="F81" s="190"/>
      <c r="G81" s="190"/>
      <c r="H81" s="190"/>
      <c r="I81" s="134"/>
      <c r="J81" s="190"/>
      <c r="K81" s="190"/>
      <c r="L81" s="133"/>
      <c r="M81" s="133"/>
      <c r="N81" s="133"/>
      <c r="O81" s="127"/>
      <c r="P81" s="190"/>
      <c r="Q81" s="133"/>
      <c r="R81" s="191"/>
      <c r="S81" s="133"/>
      <c r="T81" s="191"/>
      <c r="U81" s="192"/>
      <c r="V81" s="191"/>
      <c r="W81" s="192"/>
      <c r="X81" s="334"/>
      <c r="Y81" s="192"/>
      <c r="Z81" s="392">
        <f t="shared" si="5"/>
        <v>0</v>
      </c>
      <c r="AA81" s="393">
        <f t="shared" si="6"/>
        <v>0</v>
      </c>
      <c r="AB81" s="191"/>
      <c r="AC81" s="192"/>
      <c r="AD81" s="191"/>
      <c r="AE81" s="192"/>
      <c r="AF81" s="192"/>
      <c r="AG81" s="192"/>
      <c r="AH81" s="396">
        <f t="shared" si="7"/>
        <v>0</v>
      </c>
      <c r="AI81" s="64" t="str">
        <f>IF('Sch2a-Imp Price by ECM'!C82="Yes", 0, 'Sch2a-Imp Price by ECM'!L82)</f>
        <v/>
      </c>
      <c r="AJ81" s="225" t="str">
        <f>IF('Sch2a-Imp Price by ECM'!C82="Yes",0, IF(AI81="","",AI81/AH81))</f>
        <v/>
      </c>
      <c r="AK81" s="1" t="str">
        <f>IF('Sch2a-Imp Price by ECM'!M82="","",'Sch2a-Imp Price by ECM'!M82)</f>
        <v/>
      </c>
    </row>
    <row r="82" spans="1:37" ht="16.5" thickBot="1">
      <c r="A82" s="40" t="str">
        <f>IF('Sch2a-Imp Price by ECM'!B83="","",'Sch2a-Imp Price by ECM'!B83)</f>
        <v/>
      </c>
      <c r="B82" s="76" t="str">
        <f>IF('Sch2a-Imp Price by ECM'!D83="","",'Sch2a-Imp Price by ECM'!D83)</f>
        <v/>
      </c>
      <c r="C82" s="197" t="str">
        <f>IF('Sch2a-Imp Price by ECM'!G83="","",'Sch2a-Imp Price by ECM'!G83)</f>
        <v/>
      </c>
      <c r="D82" s="132"/>
      <c r="E82" s="190"/>
      <c r="F82" s="190"/>
      <c r="G82" s="190"/>
      <c r="H82" s="190"/>
      <c r="I82" s="134"/>
      <c r="J82" s="190"/>
      <c r="K82" s="190"/>
      <c r="L82" s="133"/>
      <c r="M82" s="133"/>
      <c r="N82" s="133"/>
      <c r="O82" s="127"/>
      <c r="P82" s="190"/>
      <c r="Q82" s="133"/>
      <c r="R82" s="191"/>
      <c r="S82" s="133"/>
      <c r="T82" s="191"/>
      <c r="U82" s="192"/>
      <c r="V82" s="191"/>
      <c r="W82" s="192"/>
      <c r="X82" s="334"/>
      <c r="Y82" s="192"/>
      <c r="Z82" s="392">
        <f t="shared" si="5"/>
        <v>0</v>
      </c>
      <c r="AA82" s="393">
        <f t="shared" si="6"/>
        <v>0</v>
      </c>
      <c r="AB82" s="191"/>
      <c r="AC82" s="192"/>
      <c r="AD82" s="191"/>
      <c r="AE82" s="192"/>
      <c r="AF82" s="192"/>
      <c r="AG82" s="192"/>
      <c r="AH82" s="396">
        <f t="shared" si="7"/>
        <v>0</v>
      </c>
      <c r="AI82" s="64" t="str">
        <f>IF('Sch2a-Imp Price by ECM'!C83="Yes", 0, 'Sch2a-Imp Price by ECM'!L83)</f>
        <v/>
      </c>
      <c r="AJ82" s="225" t="str">
        <f>IF('Sch2a-Imp Price by ECM'!C83="Yes",0, IF(AI82="","",AI82/AH82))</f>
        <v/>
      </c>
      <c r="AK82" s="1" t="str">
        <f>IF('Sch2a-Imp Price by ECM'!M83="","",'Sch2a-Imp Price by ECM'!M83)</f>
        <v/>
      </c>
    </row>
    <row r="83" spans="1:37" ht="16.5" thickBot="1">
      <c r="A83" s="40" t="str">
        <f>IF('Sch2a-Imp Price by ECM'!B84="","",'Sch2a-Imp Price by ECM'!B84)</f>
        <v/>
      </c>
      <c r="B83" s="76" t="str">
        <f>IF('Sch2a-Imp Price by ECM'!D84="","",'Sch2a-Imp Price by ECM'!D84)</f>
        <v/>
      </c>
      <c r="C83" s="197" t="str">
        <f>IF('Sch2a-Imp Price by ECM'!G84="","",'Sch2a-Imp Price by ECM'!G84)</f>
        <v/>
      </c>
      <c r="D83" s="132"/>
      <c r="E83" s="190"/>
      <c r="F83" s="190"/>
      <c r="G83" s="190"/>
      <c r="H83" s="190"/>
      <c r="I83" s="134"/>
      <c r="J83" s="190"/>
      <c r="K83" s="190"/>
      <c r="L83" s="133"/>
      <c r="M83" s="133"/>
      <c r="N83" s="133"/>
      <c r="O83" s="127"/>
      <c r="P83" s="190"/>
      <c r="Q83" s="133"/>
      <c r="R83" s="191"/>
      <c r="S83" s="133"/>
      <c r="T83" s="191"/>
      <c r="U83" s="192"/>
      <c r="V83" s="191"/>
      <c r="W83" s="192"/>
      <c r="X83" s="334"/>
      <c r="Y83" s="192"/>
      <c r="Z83" s="392">
        <f t="shared" si="5"/>
        <v>0</v>
      </c>
      <c r="AA83" s="393">
        <f t="shared" si="6"/>
        <v>0</v>
      </c>
      <c r="AB83" s="191"/>
      <c r="AC83" s="192"/>
      <c r="AD83" s="191"/>
      <c r="AE83" s="192"/>
      <c r="AF83" s="192"/>
      <c r="AG83" s="192"/>
      <c r="AH83" s="396">
        <f t="shared" si="7"/>
        <v>0</v>
      </c>
      <c r="AI83" s="64" t="str">
        <f>IF('Sch2a-Imp Price by ECM'!C84="Yes", 0, 'Sch2a-Imp Price by ECM'!L84)</f>
        <v/>
      </c>
      <c r="AJ83" s="225" t="str">
        <f>IF('Sch2a-Imp Price by ECM'!C84="Yes",0, IF(AI83="","",AI83/AH83))</f>
        <v/>
      </c>
      <c r="AK83" s="1" t="str">
        <f>IF('Sch2a-Imp Price by ECM'!M84="","",'Sch2a-Imp Price by ECM'!M84)</f>
        <v/>
      </c>
    </row>
    <row r="84" spans="1:37" ht="16.5" thickBot="1">
      <c r="A84" s="40" t="str">
        <f>IF('Sch2a-Imp Price by ECM'!B85="","",'Sch2a-Imp Price by ECM'!B85)</f>
        <v/>
      </c>
      <c r="B84" s="76" t="str">
        <f>IF('Sch2a-Imp Price by ECM'!D85="","",'Sch2a-Imp Price by ECM'!D85)</f>
        <v/>
      </c>
      <c r="C84" s="197" t="str">
        <f>IF('Sch2a-Imp Price by ECM'!G85="","",'Sch2a-Imp Price by ECM'!G85)</f>
        <v/>
      </c>
      <c r="D84" s="132"/>
      <c r="E84" s="190"/>
      <c r="F84" s="190"/>
      <c r="G84" s="190"/>
      <c r="H84" s="190"/>
      <c r="I84" s="134"/>
      <c r="J84" s="190"/>
      <c r="K84" s="190"/>
      <c r="L84" s="133"/>
      <c r="M84" s="133"/>
      <c r="N84" s="133"/>
      <c r="O84" s="127"/>
      <c r="P84" s="190"/>
      <c r="Q84" s="133"/>
      <c r="R84" s="191"/>
      <c r="S84" s="133"/>
      <c r="T84" s="191"/>
      <c r="U84" s="192"/>
      <c r="V84" s="191"/>
      <c r="W84" s="192"/>
      <c r="X84" s="334"/>
      <c r="Y84" s="192"/>
      <c r="Z84" s="392">
        <f t="shared" si="5"/>
        <v>0</v>
      </c>
      <c r="AA84" s="393">
        <f t="shared" si="6"/>
        <v>0</v>
      </c>
      <c r="AB84" s="191"/>
      <c r="AC84" s="192"/>
      <c r="AD84" s="191"/>
      <c r="AE84" s="192"/>
      <c r="AF84" s="192"/>
      <c r="AG84" s="192"/>
      <c r="AH84" s="396">
        <f t="shared" si="7"/>
        <v>0</v>
      </c>
      <c r="AI84" s="64" t="str">
        <f>IF('Sch2a-Imp Price by ECM'!C85="Yes", 0, 'Sch2a-Imp Price by ECM'!L85)</f>
        <v/>
      </c>
      <c r="AJ84" s="225" t="str">
        <f>IF('Sch2a-Imp Price by ECM'!C85="Yes",0, IF(AI84="","",AI84/AH84))</f>
        <v/>
      </c>
      <c r="AK84" s="1" t="str">
        <f>IF('Sch2a-Imp Price by ECM'!M85="","",'Sch2a-Imp Price by ECM'!M85)</f>
        <v/>
      </c>
    </row>
    <row r="85" spans="1:37" ht="16.5" thickBot="1">
      <c r="A85" s="40" t="str">
        <f>IF('Sch2a-Imp Price by ECM'!B86="","",'Sch2a-Imp Price by ECM'!B86)</f>
        <v/>
      </c>
      <c r="B85" s="76" t="str">
        <f>IF('Sch2a-Imp Price by ECM'!D86="","",'Sch2a-Imp Price by ECM'!D86)</f>
        <v/>
      </c>
      <c r="C85" s="197" t="str">
        <f>IF('Sch2a-Imp Price by ECM'!G86="","",'Sch2a-Imp Price by ECM'!G86)</f>
        <v/>
      </c>
      <c r="D85" s="132"/>
      <c r="E85" s="190"/>
      <c r="F85" s="190"/>
      <c r="G85" s="190"/>
      <c r="H85" s="190"/>
      <c r="I85" s="134"/>
      <c r="J85" s="190"/>
      <c r="K85" s="190"/>
      <c r="L85" s="133"/>
      <c r="M85" s="133"/>
      <c r="N85" s="133"/>
      <c r="O85" s="127"/>
      <c r="P85" s="190"/>
      <c r="Q85" s="133"/>
      <c r="R85" s="191"/>
      <c r="S85" s="133"/>
      <c r="T85" s="191"/>
      <c r="U85" s="192"/>
      <c r="V85" s="191"/>
      <c r="W85" s="192"/>
      <c r="X85" s="334"/>
      <c r="Y85" s="192"/>
      <c r="Z85" s="392">
        <f t="shared" si="5"/>
        <v>0</v>
      </c>
      <c r="AA85" s="393">
        <f t="shared" si="6"/>
        <v>0</v>
      </c>
      <c r="AB85" s="191"/>
      <c r="AC85" s="192"/>
      <c r="AD85" s="191"/>
      <c r="AE85" s="192"/>
      <c r="AF85" s="192"/>
      <c r="AG85" s="192"/>
      <c r="AH85" s="396">
        <f t="shared" si="7"/>
        <v>0</v>
      </c>
      <c r="AI85" s="64" t="str">
        <f>IF('Sch2a-Imp Price by ECM'!C86="Yes", 0, 'Sch2a-Imp Price by ECM'!L86)</f>
        <v/>
      </c>
      <c r="AJ85" s="225" t="str">
        <f>IF('Sch2a-Imp Price by ECM'!C86="Yes",0, IF(AI85="","",AI85/AH85))</f>
        <v/>
      </c>
      <c r="AK85" s="1" t="str">
        <f>IF('Sch2a-Imp Price by ECM'!M86="","",'Sch2a-Imp Price by ECM'!M86)</f>
        <v/>
      </c>
    </row>
    <row r="86" spans="1:37" ht="16.5" thickBot="1">
      <c r="A86" s="40" t="str">
        <f>IF('Sch2a-Imp Price by ECM'!B87="","",'Sch2a-Imp Price by ECM'!B87)</f>
        <v/>
      </c>
      <c r="B86" s="76" t="str">
        <f>IF('Sch2a-Imp Price by ECM'!D87="","",'Sch2a-Imp Price by ECM'!D87)</f>
        <v/>
      </c>
      <c r="C86" s="197" t="str">
        <f>IF('Sch2a-Imp Price by ECM'!G87="","",'Sch2a-Imp Price by ECM'!G87)</f>
        <v/>
      </c>
      <c r="D86" s="132"/>
      <c r="E86" s="190"/>
      <c r="F86" s="190"/>
      <c r="G86" s="190"/>
      <c r="H86" s="190"/>
      <c r="I86" s="134"/>
      <c r="J86" s="190"/>
      <c r="K86" s="190"/>
      <c r="L86" s="133"/>
      <c r="M86" s="133"/>
      <c r="N86" s="133"/>
      <c r="O86" s="127"/>
      <c r="P86" s="190"/>
      <c r="Q86" s="133"/>
      <c r="R86" s="191"/>
      <c r="S86" s="133"/>
      <c r="T86" s="191"/>
      <c r="U86" s="192"/>
      <c r="V86" s="191"/>
      <c r="W86" s="192"/>
      <c r="X86" s="334"/>
      <c r="Y86" s="192"/>
      <c r="Z86" s="392">
        <f t="shared" si="5"/>
        <v>0</v>
      </c>
      <c r="AA86" s="393">
        <f t="shared" si="6"/>
        <v>0</v>
      </c>
      <c r="AB86" s="191"/>
      <c r="AC86" s="192"/>
      <c r="AD86" s="191"/>
      <c r="AE86" s="192"/>
      <c r="AF86" s="192"/>
      <c r="AG86" s="192"/>
      <c r="AH86" s="396">
        <f t="shared" si="7"/>
        <v>0</v>
      </c>
      <c r="AI86" s="64" t="str">
        <f>IF('Sch2a-Imp Price by ECM'!C87="Yes", 0, 'Sch2a-Imp Price by ECM'!L87)</f>
        <v/>
      </c>
      <c r="AJ86" s="225" t="str">
        <f>IF('Sch2a-Imp Price by ECM'!C87="Yes",0, IF(AI86="","",AI86/AH86))</f>
        <v/>
      </c>
      <c r="AK86" s="1" t="str">
        <f>IF('Sch2a-Imp Price by ECM'!M87="","",'Sch2a-Imp Price by ECM'!M87)</f>
        <v/>
      </c>
    </row>
    <row r="87" spans="1:37" ht="16.5" thickBot="1">
      <c r="A87" s="40" t="str">
        <f>IF('Sch2a-Imp Price by ECM'!B88="","",'Sch2a-Imp Price by ECM'!B88)</f>
        <v/>
      </c>
      <c r="B87" s="76" t="str">
        <f>IF('Sch2a-Imp Price by ECM'!D88="","",'Sch2a-Imp Price by ECM'!D88)</f>
        <v/>
      </c>
      <c r="C87" s="197" t="str">
        <f>IF('Sch2a-Imp Price by ECM'!G88="","",'Sch2a-Imp Price by ECM'!G88)</f>
        <v/>
      </c>
      <c r="D87" s="132"/>
      <c r="E87" s="190"/>
      <c r="F87" s="190"/>
      <c r="G87" s="190"/>
      <c r="H87" s="190"/>
      <c r="I87" s="134"/>
      <c r="J87" s="190"/>
      <c r="K87" s="190"/>
      <c r="L87" s="133"/>
      <c r="M87" s="133"/>
      <c r="N87" s="133"/>
      <c r="O87" s="127"/>
      <c r="P87" s="190"/>
      <c r="Q87" s="133"/>
      <c r="R87" s="191"/>
      <c r="S87" s="133"/>
      <c r="T87" s="191"/>
      <c r="U87" s="192"/>
      <c r="V87" s="191"/>
      <c r="W87" s="192"/>
      <c r="X87" s="334"/>
      <c r="Y87" s="192"/>
      <c r="Z87" s="392">
        <f t="shared" si="5"/>
        <v>0</v>
      </c>
      <c r="AA87" s="393">
        <f t="shared" si="6"/>
        <v>0</v>
      </c>
      <c r="AB87" s="191"/>
      <c r="AC87" s="192"/>
      <c r="AD87" s="191"/>
      <c r="AE87" s="192"/>
      <c r="AF87" s="192"/>
      <c r="AG87" s="192"/>
      <c r="AH87" s="396">
        <f t="shared" si="7"/>
        <v>0</v>
      </c>
      <c r="AI87" s="64" t="str">
        <f>IF('Sch2a-Imp Price by ECM'!C88="Yes", 0, 'Sch2a-Imp Price by ECM'!L88)</f>
        <v/>
      </c>
      <c r="AJ87" s="225" t="str">
        <f>IF('Sch2a-Imp Price by ECM'!C88="Yes",0, IF(AI87="","",AI87/AH87))</f>
        <v/>
      </c>
      <c r="AK87" s="1" t="str">
        <f>IF('Sch2a-Imp Price by ECM'!M88="","",'Sch2a-Imp Price by ECM'!M88)</f>
        <v/>
      </c>
    </row>
    <row r="88" spans="1:37" ht="16.5" thickBot="1">
      <c r="A88" s="40" t="str">
        <f>IF('Sch2a-Imp Price by ECM'!B89="","",'Sch2a-Imp Price by ECM'!B89)</f>
        <v/>
      </c>
      <c r="B88" s="76" t="str">
        <f>IF('Sch2a-Imp Price by ECM'!D89="","",'Sch2a-Imp Price by ECM'!D89)</f>
        <v/>
      </c>
      <c r="C88" s="197" t="str">
        <f>IF('Sch2a-Imp Price by ECM'!G89="","",'Sch2a-Imp Price by ECM'!G89)</f>
        <v/>
      </c>
      <c r="D88" s="132"/>
      <c r="E88" s="190"/>
      <c r="F88" s="190"/>
      <c r="G88" s="190"/>
      <c r="H88" s="190"/>
      <c r="I88" s="134"/>
      <c r="J88" s="190"/>
      <c r="K88" s="190"/>
      <c r="L88" s="133"/>
      <c r="M88" s="133"/>
      <c r="N88" s="133"/>
      <c r="O88" s="127"/>
      <c r="P88" s="190"/>
      <c r="Q88" s="133"/>
      <c r="R88" s="191"/>
      <c r="S88" s="133"/>
      <c r="T88" s="191"/>
      <c r="U88" s="192"/>
      <c r="V88" s="191"/>
      <c r="W88" s="192"/>
      <c r="X88" s="334"/>
      <c r="Y88" s="192"/>
      <c r="Z88" s="392">
        <f t="shared" si="5"/>
        <v>0</v>
      </c>
      <c r="AA88" s="393">
        <f t="shared" si="6"/>
        <v>0</v>
      </c>
      <c r="AB88" s="191"/>
      <c r="AC88" s="192"/>
      <c r="AD88" s="191"/>
      <c r="AE88" s="192"/>
      <c r="AF88" s="192"/>
      <c r="AG88" s="192"/>
      <c r="AH88" s="396">
        <f t="shared" si="7"/>
        <v>0</v>
      </c>
      <c r="AI88" s="64" t="str">
        <f>IF('Sch2a-Imp Price by ECM'!C89="Yes", 0, 'Sch2a-Imp Price by ECM'!L89)</f>
        <v/>
      </c>
      <c r="AJ88" s="225" t="str">
        <f>IF('Sch2a-Imp Price by ECM'!C89="Yes",0, IF(AI88="","",AI88/AH88))</f>
        <v/>
      </c>
      <c r="AK88" s="1" t="str">
        <f>IF('Sch2a-Imp Price by ECM'!M89="","",'Sch2a-Imp Price by ECM'!M89)</f>
        <v/>
      </c>
    </row>
    <row r="89" spans="1:37" ht="16.5" thickBot="1">
      <c r="A89" s="40" t="str">
        <f>IF('Sch2a-Imp Price by ECM'!B90="","",'Sch2a-Imp Price by ECM'!B90)</f>
        <v/>
      </c>
      <c r="B89" s="76" t="str">
        <f>IF('Sch2a-Imp Price by ECM'!D90="","",'Sch2a-Imp Price by ECM'!D90)</f>
        <v/>
      </c>
      <c r="C89" s="197" t="str">
        <f>IF('Sch2a-Imp Price by ECM'!G90="","",'Sch2a-Imp Price by ECM'!G90)</f>
        <v/>
      </c>
      <c r="D89" s="132"/>
      <c r="E89" s="190"/>
      <c r="F89" s="190"/>
      <c r="G89" s="190"/>
      <c r="H89" s="190"/>
      <c r="I89" s="134"/>
      <c r="J89" s="190"/>
      <c r="K89" s="190"/>
      <c r="L89" s="133"/>
      <c r="M89" s="133"/>
      <c r="N89" s="133"/>
      <c r="O89" s="127"/>
      <c r="P89" s="190"/>
      <c r="Q89" s="133"/>
      <c r="R89" s="191"/>
      <c r="S89" s="133"/>
      <c r="T89" s="191"/>
      <c r="U89" s="192"/>
      <c r="V89" s="191"/>
      <c r="W89" s="192"/>
      <c r="X89" s="334"/>
      <c r="Y89" s="192"/>
      <c r="Z89" s="392">
        <f t="shared" si="5"/>
        <v>0</v>
      </c>
      <c r="AA89" s="393">
        <f t="shared" si="6"/>
        <v>0</v>
      </c>
      <c r="AB89" s="191"/>
      <c r="AC89" s="192"/>
      <c r="AD89" s="191"/>
      <c r="AE89" s="192"/>
      <c r="AF89" s="192"/>
      <c r="AG89" s="192"/>
      <c r="AH89" s="396">
        <f t="shared" si="7"/>
        <v>0</v>
      </c>
      <c r="AI89" s="64" t="str">
        <f>IF('Sch2a-Imp Price by ECM'!C90="Yes", 0, 'Sch2a-Imp Price by ECM'!L90)</f>
        <v/>
      </c>
      <c r="AJ89" s="225" t="str">
        <f>IF('Sch2a-Imp Price by ECM'!C90="Yes",0, IF(AI89="","",AI89/AH89))</f>
        <v/>
      </c>
      <c r="AK89" s="1" t="str">
        <f>IF('Sch2a-Imp Price by ECM'!M90="","",'Sch2a-Imp Price by ECM'!M90)</f>
        <v/>
      </c>
    </row>
    <row r="90" spans="1:37" ht="16.5" thickBot="1">
      <c r="A90" s="40" t="str">
        <f>IF('Sch2a-Imp Price by ECM'!B91="","",'Sch2a-Imp Price by ECM'!B91)</f>
        <v/>
      </c>
      <c r="B90" s="76" t="str">
        <f>IF('Sch2a-Imp Price by ECM'!D91="","",'Sch2a-Imp Price by ECM'!D91)</f>
        <v/>
      </c>
      <c r="C90" s="197" t="str">
        <f>IF('Sch2a-Imp Price by ECM'!G91="","",'Sch2a-Imp Price by ECM'!G91)</f>
        <v/>
      </c>
      <c r="D90" s="132"/>
      <c r="E90" s="190"/>
      <c r="F90" s="190"/>
      <c r="G90" s="190"/>
      <c r="H90" s="190"/>
      <c r="I90" s="134"/>
      <c r="J90" s="190"/>
      <c r="K90" s="190"/>
      <c r="L90" s="133"/>
      <c r="M90" s="133"/>
      <c r="N90" s="133"/>
      <c r="O90" s="127"/>
      <c r="P90" s="190"/>
      <c r="Q90" s="133"/>
      <c r="R90" s="191"/>
      <c r="S90" s="133"/>
      <c r="T90" s="191"/>
      <c r="U90" s="192"/>
      <c r="V90" s="191"/>
      <c r="W90" s="192"/>
      <c r="X90" s="334"/>
      <c r="Y90" s="192"/>
      <c r="Z90" s="392">
        <f t="shared" si="5"/>
        <v>0</v>
      </c>
      <c r="AA90" s="393">
        <f t="shared" si="6"/>
        <v>0</v>
      </c>
      <c r="AB90" s="191"/>
      <c r="AC90" s="192"/>
      <c r="AD90" s="191"/>
      <c r="AE90" s="192"/>
      <c r="AF90" s="192"/>
      <c r="AG90" s="192"/>
      <c r="AH90" s="396">
        <f t="shared" si="7"/>
        <v>0</v>
      </c>
      <c r="AI90" s="64" t="str">
        <f>IF('Sch2a-Imp Price by ECM'!C91="Yes", 0, 'Sch2a-Imp Price by ECM'!L91)</f>
        <v/>
      </c>
      <c r="AJ90" s="225" t="str">
        <f>IF('Sch2a-Imp Price by ECM'!C91="Yes",0, IF(AI90="","",AI90/AH90))</f>
        <v/>
      </c>
      <c r="AK90" s="1" t="str">
        <f>IF('Sch2a-Imp Price by ECM'!M91="","",'Sch2a-Imp Price by ECM'!M91)</f>
        <v/>
      </c>
    </row>
    <row r="91" spans="1:37" ht="16.5" thickBot="1">
      <c r="A91" s="40" t="str">
        <f>IF('Sch2a-Imp Price by ECM'!B92="","",'Sch2a-Imp Price by ECM'!B92)</f>
        <v/>
      </c>
      <c r="B91" s="76" t="str">
        <f>IF('Sch2a-Imp Price by ECM'!D92="","",'Sch2a-Imp Price by ECM'!D92)</f>
        <v/>
      </c>
      <c r="C91" s="197" t="str">
        <f>IF('Sch2a-Imp Price by ECM'!G92="","",'Sch2a-Imp Price by ECM'!G92)</f>
        <v/>
      </c>
      <c r="D91" s="132"/>
      <c r="E91" s="190"/>
      <c r="F91" s="190"/>
      <c r="G91" s="190"/>
      <c r="H91" s="190"/>
      <c r="I91" s="134"/>
      <c r="J91" s="190"/>
      <c r="K91" s="190"/>
      <c r="L91" s="133"/>
      <c r="M91" s="133"/>
      <c r="N91" s="133"/>
      <c r="O91" s="127"/>
      <c r="P91" s="190"/>
      <c r="Q91" s="133"/>
      <c r="R91" s="191"/>
      <c r="S91" s="133"/>
      <c r="T91" s="191"/>
      <c r="U91" s="192"/>
      <c r="V91" s="191"/>
      <c r="W91" s="192"/>
      <c r="X91" s="334"/>
      <c r="Y91" s="192"/>
      <c r="Z91" s="392">
        <f t="shared" si="5"/>
        <v>0</v>
      </c>
      <c r="AA91" s="393">
        <f t="shared" si="6"/>
        <v>0</v>
      </c>
      <c r="AB91" s="191"/>
      <c r="AC91" s="192"/>
      <c r="AD91" s="191"/>
      <c r="AE91" s="192"/>
      <c r="AF91" s="192"/>
      <c r="AG91" s="192"/>
      <c r="AH91" s="396">
        <f t="shared" si="7"/>
        <v>0</v>
      </c>
      <c r="AI91" s="64" t="str">
        <f>IF('Sch2a-Imp Price by ECM'!C92="Yes", 0, 'Sch2a-Imp Price by ECM'!L92)</f>
        <v/>
      </c>
      <c r="AJ91" s="225" t="str">
        <f>IF('Sch2a-Imp Price by ECM'!C92="Yes",0, IF(AI91="","",AI91/AH91))</f>
        <v/>
      </c>
      <c r="AK91" s="1" t="str">
        <f>IF('Sch2a-Imp Price by ECM'!M92="","",'Sch2a-Imp Price by ECM'!M92)</f>
        <v/>
      </c>
    </row>
    <row r="92" spans="1:37" ht="16.5" thickBot="1">
      <c r="A92" s="40" t="str">
        <f>IF('Sch2a-Imp Price by ECM'!B93="","",'Sch2a-Imp Price by ECM'!B93)</f>
        <v/>
      </c>
      <c r="B92" s="76" t="str">
        <f>IF('Sch2a-Imp Price by ECM'!D93="","",'Sch2a-Imp Price by ECM'!D93)</f>
        <v/>
      </c>
      <c r="C92" s="197" t="str">
        <f>IF('Sch2a-Imp Price by ECM'!G93="","",'Sch2a-Imp Price by ECM'!G93)</f>
        <v/>
      </c>
      <c r="D92" s="132"/>
      <c r="E92" s="190"/>
      <c r="F92" s="190"/>
      <c r="G92" s="190"/>
      <c r="H92" s="190"/>
      <c r="I92" s="134"/>
      <c r="J92" s="190"/>
      <c r="K92" s="190"/>
      <c r="L92" s="133"/>
      <c r="M92" s="133"/>
      <c r="N92" s="133"/>
      <c r="O92" s="127"/>
      <c r="P92" s="190"/>
      <c r="Q92" s="133"/>
      <c r="R92" s="191"/>
      <c r="S92" s="133"/>
      <c r="T92" s="191"/>
      <c r="U92" s="192"/>
      <c r="V92" s="191"/>
      <c r="W92" s="192"/>
      <c r="X92" s="334"/>
      <c r="Y92" s="192"/>
      <c r="Z92" s="392">
        <f t="shared" si="5"/>
        <v>0</v>
      </c>
      <c r="AA92" s="393">
        <f t="shared" si="6"/>
        <v>0</v>
      </c>
      <c r="AB92" s="191"/>
      <c r="AC92" s="192"/>
      <c r="AD92" s="191"/>
      <c r="AE92" s="192"/>
      <c r="AF92" s="192"/>
      <c r="AG92" s="192"/>
      <c r="AH92" s="396">
        <f t="shared" si="7"/>
        <v>0</v>
      </c>
      <c r="AI92" s="64" t="str">
        <f>IF('Sch2a-Imp Price by ECM'!C93="Yes", 0, 'Sch2a-Imp Price by ECM'!L93)</f>
        <v/>
      </c>
      <c r="AJ92" s="225" t="str">
        <f>IF('Sch2a-Imp Price by ECM'!C93="Yes",0, IF(AI92="","",AI92/AH92))</f>
        <v/>
      </c>
      <c r="AK92" s="1" t="str">
        <f>IF('Sch2a-Imp Price by ECM'!M93="","",'Sch2a-Imp Price by ECM'!M93)</f>
        <v/>
      </c>
    </row>
    <row r="93" spans="1:37" ht="16.5" thickBot="1">
      <c r="A93" s="40" t="str">
        <f>IF('Sch2a-Imp Price by ECM'!B94="","",'Sch2a-Imp Price by ECM'!B94)</f>
        <v/>
      </c>
      <c r="B93" s="76" t="str">
        <f>IF('Sch2a-Imp Price by ECM'!D94="","",'Sch2a-Imp Price by ECM'!D94)</f>
        <v/>
      </c>
      <c r="C93" s="197" t="str">
        <f>IF('Sch2a-Imp Price by ECM'!G94="","",'Sch2a-Imp Price by ECM'!G94)</f>
        <v/>
      </c>
      <c r="D93" s="132"/>
      <c r="E93" s="190"/>
      <c r="F93" s="190"/>
      <c r="G93" s="190"/>
      <c r="H93" s="190"/>
      <c r="I93" s="134"/>
      <c r="J93" s="190"/>
      <c r="K93" s="190"/>
      <c r="L93" s="133"/>
      <c r="M93" s="133"/>
      <c r="N93" s="133"/>
      <c r="O93" s="134"/>
      <c r="P93" s="190"/>
      <c r="Q93" s="133"/>
      <c r="R93" s="191"/>
      <c r="S93" s="133"/>
      <c r="T93" s="191"/>
      <c r="U93" s="192"/>
      <c r="V93" s="191"/>
      <c r="W93" s="192"/>
      <c r="X93" s="334"/>
      <c r="Y93" s="192"/>
      <c r="Z93" s="392">
        <f t="shared" si="5"/>
        <v>0</v>
      </c>
      <c r="AA93" s="393">
        <f t="shared" si="6"/>
        <v>0</v>
      </c>
      <c r="AB93" s="191"/>
      <c r="AC93" s="192"/>
      <c r="AD93" s="191"/>
      <c r="AE93" s="192"/>
      <c r="AF93" s="192"/>
      <c r="AG93" s="192"/>
      <c r="AH93" s="396">
        <f t="shared" si="7"/>
        <v>0</v>
      </c>
      <c r="AI93" s="64" t="str">
        <f>IF('Sch2a-Imp Price by ECM'!C94="Yes", 0, 'Sch2a-Imp Price by ECM'!L94)</f>
        <v/>
      </c>
      <c r="AJ93" s="225" t="str">
        <f>IF('Sch2a-Imp Price by ECM'!C94="Yes",0, IF(AI93="","",AI93/AH93))</f>
        <v/>
      </c>
      <c r="AK93" s="1" t="str">
        <f>IF('Sch2a-Imp Price by ECM'!M94="","",'Sch2a-Imp Price by ECM'!M94)</f>
        <v/>
      </c>
    </row>
    <row r="94" spans="1:37" ht="16.5" thickBot="1">
      <c r="A94" s="40" t="str">
        <f>IF('Sch2a-Imp Price by ECM'!B95="","",'Sch2a-Imp Price by ECM'!B95)</f>
        <v/>
      </c>
      <c r="B94" s="76" t="str">
        <f>IF('Sch2a-Imp Price by ECM'!D95="","",'Sch2a-Imp Price by ECM'!D95)</f>
        <v/>
      </c>
      <c r="C94" s="197" t="str">
        <f>IF('Sch2a-Imp Price by ECM'!G95="","",'Sch2a-Imp Price by ECM'!G95)</f>
        <v/>
      </c>
      <c r="D94" s="132"/>
      <c r="E94" s="190"/>
      <c r="F94" s="190"/>
      <c r="G94" s="190"/>
      <c r="H94" s="190"/>
      <c r="I94" s="134"/>
      <c r="J94" s="190"/>
      <c r="K94" s="190"/>
      <c r="L94" s="133"/>
      <c r="M94" s="133"/>
      <c r="N94" s="133"/>
      <c r="O94" s="134"/>
      <c r="P94" s="190"/>
      <c r="Q94" s="133"/>
      <c r="R94" s="191"/>
      <c r="S94" s="133"/>
      <c r="T94" s="191"/>
      <c r="U94" s="192"/>
      <c r="V94" s="191"/>
      <c r="W94" s="192"/>
      <c r="X94" s="334"/>
      <c r="Y94" s="192"/>
      <c r="Z94" s="392">
        <f t="shared" si="5"/>
        <v>0</v>
      </c>
      <c r="AA94" s="393">
        <f t="shared" si="6"/>
        <v>0</v>
      </c>
      <c r="AB94" s="191"/>
      <c r="AC94" s="192"/>
      <c r="AD94" s="191"/>
      <c r="AE94" s="192"/>
      <c r="AF94" s="192"/>
      <c r="AG94" s="192"/>
      <c r="AH94" s="396">
        <f t="shared" si="7"/>
        <v>0</v>
      </c>
      <c r="AI94" s="64" t="str">
        <f>IF('Sch2a-Imp Price by ECM'!C95="Yes", 0, 'Sch2a-Imp Price by ECM'!L95)</f>
        <v/>
      </c>
      <c r="AJ94" s="225" t="str">
        <f>IF('Sch2a-Imp Price by ECM'!C95="Yes",0, IF(AI94="","",AI94/AH94))</f>
        <v/>
      </c>
      <c r="AK94" s="1" t="str">
        <f>IF('Sch2a-Imp Price by ECM'!M95="","",'Sch2a-Imp Price by ECM'!M95)</f>
        <v/>
      </c>
    </row>
    <row r="95" spans="1:37" ht="16.5" thickBot="1">
      <c r="A95" s="40" t="str">
        <f>IF('Sch2a-Imp Price by ECM'!B96="","",'Sch2a-Imp Price by ECM'!B96)</f>
        <v/>
      </c>
      <c r="B95" s="76" t="str">
        <f>IF('Sch2a-Imp Price by ECM'!D96="","",'Sch2a-Imp Price by ECM'!D96)</f>
        <v/>
      </c>
      <c r="C95" s="197" t="str">
        <f>IF('Sch2a-Imp Price by ECM'!G96="","",'Sch2a-Imp Price by ECM'!G96)</f>
        <v/>
      </c>
      <c r="D95" s="132"/>
      <c r="E95" s="190"/>
      <c r="F95" s="190"/>
      <c r="G95" s="190"/>
      <c r="H95" s="190"/>
      <c r="I95" s="134"/>
      <c r="J95" s="190"/>
      <c r="K95" s="190"/>
      <c r="L95" s="133"/>
      <c r="M95" s="133"/>
      <c r="N95" s="133"/>
      <c r="O95" s="134"/>
      <c r="P95" s="190"/>
      <c r="Q95" s="133"/>
      <c r="R95" s="191"/>
      <c r="S95" s="133"/>
      <c r="T95" s="191"/>
      <c r="U95" s="192"/>
      <c r="V95" s="191"/>
      <c r="W95" s="192"/>
      <c r="X95" s="334"/>
      <c r="Y95" s="192"/>
      <c r="Z95" s="392">
        <f t="shared" si="5"/>
        <v>0</v>
      </c>
      <c r="AA95" s="393">
        <f t="shared" si="6"/>
        <v>0</v>
      </c>
      <c r="AB95" s="191"/>
      <c r="AC95" s="192"/>
      <c r="AD95" s="191"/>
      <c r="AE95" s="192"/>
      <c r="AF95" s="192"/>
      <c r="AG95" s="192"/>
      <c r="AH95" s="396">
        <f t="shared" si="7"/>
        <v>0</v>
      </c>
      <c r="AI95" s="64" t="str">
        <f>IF('Sch2a-Imp Price by ECM'!C96="Yes", 0, 'Sch2a-Imp Price by ECM'!L96)</f>
        <v/>
      </c>
      <c r="AJ95" s="225" t="str">
        <f>IF('Sch2a-Imp Price by ECM'!C96="Yes",0, IF(AI95="","",AI95/AH95))</f>
        <v/>
      </c>
      <c r="AK95" s="1" t="str">
        <f>IF('Sch2a-Imp Price by ECM'!M96="","",'Sch2a-Imp Price by ECM'!M96)</f>
        <v/>
      </c>
    </row>
    <row r="96" spans="1:37" ht="16.5" thickBot="1">
      <c r="A96" s="40" t="str">
        <f>IF('Sch2a-Imp Price by ECM'!B97="","",'Sch2a-Imp Price by ECM'!B97)</f>
        <v/>
      </c>
      <c r="B96" s="76" t="str">
        <f>IF('Sch2a-Imp Price by ECM'!D97="","",'Sch2a-Imp Price by ECM'!D97)</f>
        <v/>
      </c>
      <c r="C96" s="197" t="str">
        <f>IF('Sch2a-Imp Price by ECM'!G97="","",'Sch2a-Imp Price by ECM'!G97)</f>
        <v/>
      </c>
      <c r="D96" s="132"/>
      <c r="E96" s="190"/>
      <c r="F96" s="190"/>
      <c r="G96" s="190"/>
      <c r="H96" s="190"/>
      <c r="I96" s="134"/>
      <c r="J96" s="190"/>
      <c r="K96" s="190"/>
      <c r="L96" s="133"/>
      <c r="M96" s="133"/>
      <c r="N96" s="133"/>
      <c r="O96" s="134"/>
      <c r="P96" s="190"/>
      <c r="Q96" s="133"/>
      <c r="R96" s="191"/>
      <c r="S96" s="133"/>
      <c r="T96" s="191"/>
      <c r="U96" s="192"/>
      <c r="V96" s="191"/>
      <c r="W96" s="192"/>
      <c r="X96" s="334"/>
      <c r="Y96" s="192"/>
      <c r="Z96" s="392">
        <f t="shared" si="5"/>
        <v>0</v>
      </c>
      <c r="AA96" s="393">
        <f t="shared" si="6"/>
        <v>0</v>
      </c>
      <c r="AB96" s="191"/>
      <c r="AC96" s="192"/>
      <c r="AD96" s="191"/>
      <c r="AE96" s="192"/>
      <c r="AF96" s="192"/>
      <c r="AG96" s="192"/>
      <c r="AH96" s="396">
        <f t="shared" si="7"/>
        <v>0</v>
      </c>
      <c r="AI96" s="64" t="str">
        <f>IF('Sch2a-Imp Price by ECM'!C97="Yes", 0, 'Sch2a-Imp Price by ECM'!L97)</f>
        <v/>
      </c>
      <c r="AJ96" s="225" t="str">
        <f>IF('Sch2a-Imp Price by ECM'!C97="Yes",0, IF(AI96="","",AI96/AH96))</f>
        <v/>
      </c>
      <c r="AK96" s="1" t="str">
        <f>IF('Sch2a-Imp Price by ECM'!M97="","",'Sch2a-Imp Price by ECM'!M97)</f>
        <v/>
      </c>
    </row>
    <row r="97" spans="1:37" ht="18" customHeight="1" thickBot="1">
      <c r="A97" s="40" t="str">
        <f>IF('Sch2a-Imp Price by ECM'!B98="","",'Sch2a-Imp Price by ECM'!B98)</f>
        <v/>
      </c>
      <c r="B97" s="76" t="str">
        <f>IF('Sch2a-Imp Price by ECM'!D98="","",'Sch2a-Imp Price by ECM'!D98)</f>
        <v/>
      </c>
      <c r="C97" s="197" t="str">
        <f>IF('Sch2a-Imp Price by ECM'!G98="","",'Sch2a-Imp Price by ECM'!G98)</f>
        <v/>
      </c>
      <c r="D97" s="132"/>
      <c r="E97" s="190"/>
      <c r="F97" s="190"/>
      <c r="G97" s="190"/>
      <c r="H97" s="190"/>
      <c r="I97" s="134"/>
      <c r="J97" s="190"/>
      <c r="K97" s="190"/>
      <c r="L97" s="133"/>
      <c r="M97" s="133"/>
      <c r="N97" s="133"/>
      <c r="O97" s="134"/>
      <c r="P97" s="190"/>
      <c r="Q97" s="133"/>
      <c r="R97" s="191"/>
      <c r="S97" s="133"/>
      <c r="T97" s="191"/>
      <c r="U97" s="192"/>
      <c r="V97" s="191"/>
      <c r="W97" s="192"/>
      <c r="X97" s="334"/>
      <c r="Y97" s="192"/>
      <c r="Z97" s="392">
        <f t="shared" si="5"/>
        <v>0</v>
      </c>
      <c r="AA97" s="393">
        <f t="shared" si="6"/>
        <v>0</v>
      </c>
      <c r="AB97" s="191"/>
      <c r="AC97" s="192"/>
      <c r="AD97" s="191"/>
      <c r="AE97" s="192"/>
      <c r="AF97" s="192"/>
      <c r="AG97" s="192"/>
      <c r="AH97" s="396">
        <f t="shared" si="7"/>
        <v>0</v>
      </c>
      <c r="AI97" s="64" t="str">
        <f>IF('Sch2a-Imp Price by ECM'!C98="Yes", 0, 'Sch2a-Imp Price by ECM'!L98)</f>
        <v/>
      </c>
      <c r="AJ97" s="225" t="str">
        <f>IF('Sch2a-Imp Price by ECM'!C98="Yes",0, IF(AI97="","",AI97/AH97))</f>
        <v/>
      </c>
      <c r="AK97" s="1" t="str">
        <f>IF('Sch2a-Imp Price by ECM'!M98="","",'Sch2a-Imp Price by ECM'!M98)</f>
        <v/>
      </c>
    </row>
    <row r="98" spans="1:37" ht="16.5" thickBot="1">
      <c r="A98" s="40" t="str">
        <f>IF('Sch2a-Imp Price by ECM'!B99="","",'Sch2a-Imp Price by ECM'!B99)</f>
        <v/>
      </c>
      <c r="B98" s="76" t="str">
        <f>IF('Sch2a-Imp Price by ECM'!D99="","",'Sch2a-Imp Price by ECM'!D99)</f>
        <v/>
      </c>
      <c r="C98" s="197" t="str">
        <f>IF('Sch2a-Imp Price by ECM'!G99="","",'Sch2a-Imp Price by ECM'!G99)</f>
        <v/>
      </c>
      <c r="D98" s="132"/>
      <c r="E98" s="190"/>
      <c r="F98" s="190"/>
      <c r="G98" s="190"/>
      <c r="H98" s="190"/>
      <c r="I98" s="134"/>
      <c r="J98" s="190"/>
      <c r="K98" s="190"/>
      <c r="L98" s="133"/>
      <c r="M98" s="133"/>
      <c r="N98" s="133"/>
      <c r="O98" s="134"/>
      <c r="P98" s="190"/>
      <c r="Q98" s="133"/>
      <c r="R98" s="191"/>
      <c r="S98" s="133"/>
      <c r="T98" s="191"/>
      <c r="U98" s="192"/>
      <c r="V98" s="191"/>
      <c r="W98" s="192"/>
      <c r="X98" s="334"/>
      <c r="Y98" s="192"/>
      <c r="Z98" s="392">
        <f t="shared" si="5"/>
        <v>0</v>
      </c>
      <c r="AA98" s="393">
        <f t="shared" si="6"/>
        <v>0</v>
      </c>
      <c r="AB98" s="191"/>
      <c r="AC98" s="192"/>
      <c r="AD98" s="191"/>
      <c r="AE98" s="192"/>
      <c r="AF98" s="192"/>
      <c r="AG98" s="192"/>
      <c r="AH98" s="396">
        <f t="shared" si="7"/>
        <v>0</v>
      </c>
      <c r="AI98" s="64" t="str">
        <f>IF('Sch2a-Imp Price by ECM'!C99="Yes", 0, 'Sch2a-Imp Price by ECM'!L99)</f>
        <v/>
      </c>
      <c r="AJ98" s="225" t="str">
        <f>IF('Sch2a-Imp Price by ECM'!C99="Yes",0, IF(AI98="","",AI98/AH98))</f>
        <v/>
      </c>
      <c r="AK98" s="1" t="str">
        <f>IF('Sch2a-Imp Price by ECM'!M99="","",'Sch2a-Imp Price by ECM'!M99)</f>
        <v/>
      </c>
    </row>
    <row r="99" spans="1:37" ht="16.5" thickBot="1">
      <c r="A99" s="40" t="str">
        <f>IF('Sch2a-Imp Price by ECM'!B100="","",'Sch2a-Imp Price by ECM'!B100)</f>
        <v/>
      </c>
      <c r="B99" s="76" t="str">
        <f>IF('Sch2a-Imp Price by ECM'!D100="","",'Sch2a-Imp Price by ECM'!D100)</f>
        <v/>
      </c>
      <c r="C99" s="197" t="str">
        <f>IF('Sch2a-Imp Price by ECM'!G100="","",'Sch2a-Imp Price by ECM'!G100)</f>
        <v/>
      </c>
      <c r="D99" s="132"/>
      <c r="E99" s="190"/>
      <c r="F99" s="190"/>
      <c r="G99" s="190"/>
      <c r="H99" s="190"/>
      <c r="I99" s="134"/>
      <c r="J99" s="190"/>
      <c r="K99" s="190"/>
      <c r="L99" s="133"/>
      <c r="M99" s="133"/>
      <c r="N99" s="133"/>
      <c r="O99" s="134"/>
      <c r="P99" s="190"/>
      <c r="Q99" s="133"/>
      <c r="R99" s="191"/>
      <c r="S99" s="133"/>
      <c r="T99" s="191"/>
      <c r="U99" s="192"/>
      <c r="V99" s="191"/>
      <c r="W99" s="192"/>
      <c r="X99" s="334"/>
      <c r="Y99" s="192"/>
      <c r="Z99" s="392">
        <f t="shared" si="5"/>
        <v>0</v>
      </c>
      <c r="AA99" s="393">
        <f t="shared" si="6"/>
        <v>0</v>
      </c>
      <c r="AB99" s="191"/>
      <c r="AC99" s="192"/>
      <c r="AD99" s="191"/>
      <c r="AE99" s="192"/>
      <c r="AF99" s="192"/>
      <c r="AG99" s="192"/>
      <c r="AH99" s="396">
        <f t="shared" si="7"/>
        <v>0</v>
      </c>
      <c r="AI99" s="64" t="str">
        <f>IF('Sch2a-Imp Price by ECM'!C100="Yes", 0, 'Sch2a-Imp Price by ECM'!L100)</f>
        <v/>
      </c>
      <c r="AJ99" s="225" t="str">
        <f>IF('Sch2a-Imp Price by ECM'!C100="Yes",0, IF(AI99="","",AI99/AH99))</f>
        <v/>
      </c>
      <c r="AK99" s="1" t="str">
        <f>IF('Sch2a-Imp Price by ECM'!M100="","",'Sch2a-Imp Price by ECM'!M100)</f>
        <v/>
      </c>
    </row>
    <row r="100" spans="1:37" ht="16.5" thickBot="1">
      <c r="A100" s="40" t="str">
        <f>IF('Sch2a-Imp Price by ECM'!B101="","",'Sch2a-Imp Price by ECM'!B101)</f>
        <v/>
      </c>
      <c r="B100" s="76" t="str">
        <f>IF('Sch2a-Imp Price by ECM'!D101="","",'Sch2a-Imp Price by ECM'!D101)</f>
        <v/>
      </c>
      <c r="C100" s="197" t="str">
        <f>IF('Sch2a-Imp Price by ECM'!G101="","",'Sch2a-Imp Price by ECM'!G101)</f>
        <v/>
      </c>
      <c r="D100" s="132"/>
      <c r="E100" s="190"/>
      <c r="F100" s="190"/>
      <c r="G100" s="190"/>
      <c r="H100" s="190"/>
      <c r="I100" s="134"/>
      <c r="J100" s="190"/>
      <c r="K100" s="190"/>
      <c r="L100" s="133"/>
      <c r="M100" s="133"/>
      <c r="N100" s="133"/>
      <c r="O100" s="127"/>
      <c r="P100" s="190"/>
      <c r="Q100" s="133"/>
      <c r="R100" s="191"/>
      <c r="S100" s="133"/>
      <c r="T100" s="191"/>
      <c r="U100" s="192"/>
      <c r="V100" s="191"/>
      <c r="W100" s="192"/>
      <c r="X100" s="334"/>
      <c r="Y100" s="192"/>
      <c r="Z100" s="392">
        <f t="shared" si="5"/>
        <v>0</v>
      </c>
      <c r="AA100" s="393">
        <f t="shared" si="6"/>
        <v>0</v>
      </c>
      <c r="AB100" s="191"/>
      <c r="AC100" s="192"/>
      <c r="AD100" s="191"/>
      <c r="AE100" s="192"/>
      <c r="AF100" s="192"/>
      <c r="AG100" s="192"/>
      <c r="AH100" s="396">
        <f t="shared" si="7"/>
        <v>0</v>
      </c>
      <c r="AI100" s="64" t="str">
        <f>IF('Sch2a-Imp Price by ECM'!C101="Yes", 0, 'Sch2a-Imp Price by ECM'!L101)</f>
        <v/>
      </c>
      <c r="AJ100" s="225" t="str">
        <f>IF('Sch2a-Imp Price by ECM'!C101="Yes",0, IF(AI100="","",AI100/AH100))</f>
        <v/>
      </c>
      <c r="AK100" s="1" t="str">
        <f>IF('Sch2a-Imp Price by ECM'!M101="","",'Sch2a-Imp Price by ECM'!M101)</f>
        <v/>
      </c>
    </row>
    <row r="101" spans="1:37" ht="16.5" thickBot="1">
      <c r="A101" s="40" t="str">
        <f>IF('Sch2a-Imp Price by ECM'!B102="","",'Sch2a-Imp Price by ECM'!B102)</f>
        <v/>
      </c>
      <c r="B101" s="76" t="str">
        <f>IF('Sch2a-Imp Price by ECM'!D102="","",'Sch2a-Imp Price by ECM'!D102)</f>
        <v/>
      </c>
      <c r="C101" s="197" t="str">
        <f>IF('Sch2a-Imp Price by ECM'!G102="","",'Sch2a-Imp Price by ECM'!G102)</f>
        <v/>
      </c>
      <c r="D101" s="132"/>
      <c r="E101" s="190"/>
      <c r="F101" s="190"/>
      <c r="G101" s="190"/>
      <c r="H101" s="190"/>
      <c r="I101" s="134"/>
      <c r="J101" s="190"/>
      <c r="K101" s="190"/>
      <c r="L101" s="133"/>
      <c r="M101" s="133"/>
      <c r="N101" s="133"/>
      <c r="O101" s="127"/>
      <c r="P101" s="190"/>
      <c r="Q101" s="133"/>
      <c r="R101" s="191"/>
      <c r="S101" s="133"/>
      <c r="T101" s="191"/>
      <c r="U101" s="192"/>
      <c r="V101" s="191"/>
      <c r="W101" s="192"/>
      <c r="X101" s="334"/>
      <c r="Y101" s="192"/>
      <c r="Z101" s="392">
        <f t="shared" si="5"/>
        <v>0</v>
      </c>
      <c r="AA101" s="393">
        <f t="shared" si="6"/>
        <v>0</v>
      </c>
      <c r="AB101" s="191"/>
      <c r="AC101" s="192"/>
      <c r="AD101" s="191"/>
      <c r="AE101" s="192"/>
      <c r="AF101" s="192"/>
      <c r="AG101" s="192"/>
      <c r="AH101" s="396">
        <f t="shared" si="7"/>
        <v>0</v>
      </c>
      <c r="AI101" s="64" t="str">
        <f>IF('Sch2a-Imp Price by ECM'!C102="Yes", 0, 'Sch2a-Imp Price by ECM'!L102)</f>
        <v/>
      </c>
      <c r="AJ101" s="225" t="str">
        <f>IF('Sch2a-Imp Price by ECM'!C102="Yes",0, IF(AI101="","",AI101/AH101))</f>
        <v/>
      </c>
      <c r="AK101" s="1" t="str">
        <f>IF('Sch2a-Imp Price by ECM'!M102="","",'Sch2a-Imp Price by ECM'!M102)</f>
        <v/>
      </c>
    </row>
    <row r="102" spans="1:37" ht="16.5" thickBot="1">
      <c r="A102" s="40" t="str">
        <f>IF('Sch2a-Imp Price by ECM'!B103="","",'Sch2a-Imp Price by ECM'!B103)</f>
        <v/>
      </c>
      <c r="B102" s="76" t="str">
        <f>IF('Sch2a-Imp Price by ECM'!D103="","",'Sch2a-Imp Price by ECM'!D103)</f>
        <v/>
      </c>
      <c r="C102" s="197" t="str">
        <f>IF('Sch2a-Imp Price by ECM'!G103="","",'Sch2a-Imp Price by ECM'!G103)</f>
        <v/>
      </c>
      <c r="D102" s="132"/>
      <c r="E102" s="190"/>
      <c r="F102" s="190"/>
      <c r="G102" s="190"/>
      <c r="H102" s="190"/>
      <c r="I102" s="134"/>
      <c r="J102" s="190"/>
      <c r="K102" s="190"/>
      <c r="L102" s="133"/>
      <c r="M102" s="133"/>
      <c r="N102" s="133"/>
      <c r="O102" s="127"/>
      <c r="P102" s="190"/>
      <c r="Q102" s="133"/>
      <c r="R102" s="191"/>
      <c r="S102" s="133"/>
      <c r="T102" s="191"/>
      <c r="U102" s="192"/>
      <c r="V102" s="191"/>
      <c r="W102" s="192"/>
      <c r="X102" s="334"/>
      <c r="Y102" s="192"/>
      <c r="Z102" s="392">
        <f t="shared" si="5"/>
        <v>0</v>
      </c>
      <c r="AA102" s="393">
        <f t="shared" si="6"/>
        <v>0</v>
      </c>
      <c r="AB102" s="191"/>
      <c r="AC102" s="192"/>
      <c r="AD102" s="191"/>
      <c r="AE102" s="192"/>
      <c r="AF102" s="192"/>
      <c r="AG102" s="192"/>
      <c r="AH102" s="396">
        <f t="shared" si="7"/>
        <v>0</v>
      </c>
      <c r="AI102" s="64" t="str">
        <f>IF('Sch2a-Imp Price by ECM'!C103="Yes", 0, 'Sch2a-Imp Price by ECM'!L103)</f>
        <v/>
      </c>
      <c r="AJ102" s="225" t="str">
        <f>IF('Sch2a-Imp Price by ECM'!C103="Yes",0, IF(AI102="","",AI102/AH102))</f>
        <v/>
      </c>
      <c r="AK102" s="1" t="str">
        <f>IF('Sch2a-Imp Price by ECM'!M103="","",'Sch2a-Imp Price by ECM'!M103)</f>
        <v/>
      </c>
    </row>
    <row r="103" spans="1:37" ht="16.5" thickBot="1">
      <c r="A103" s="40" t="str">
        <f>IF('Sch2a-Imp Price by ECM'!B104="","",'Sch2a-Imp Price by ECM'!B104)</f>
        <v/>
      </c>
      <c r="B103" s="76" t="str">
        <f>IF('Sch2a-Imp Price by ECM'!D104="","",'Sch2a-Imp Price by ECM'!D104)</f>
        <v/>
      </c>
      <c r="C103" s="197" t="str">
        <f>IF('Sch2a-Imp Price by ECM'!G104="","",'Sch2a-Imp Price by ECM'!G104)</f>
        <v/>
      </c>
      <c r="D103" s="132"/>
      <c r="E103" s="190"/>
      <c r="F103" s="190"/>
      <c r="G103" s="190"/>
      <c r="H103" s="190"/>
      <c r="I103" s="134"/>
      <c r="J103" s="190"/>
      <c r="K103" s="190"/>
      <c r="L103" s="133"/>
      <c r="M103" s="133"/>
      <c r="N103" s="133"/>
      <c r="O103" s="127"/>
      <c r="P103" s="190"/>
      <c r="Q103" s="133"/>
      <c r="R103" s="191"/>
      <c r="S103" s="133"/>
      <c r="T103" s="191"/>
      <c r="U103" s="192"/>
      <c r="V103" s="191"/>
      <c r="W103" s="192"/>
      <c r="X103" s="334"/>
      <c r="Y103" s="192"/>
      <c r="Z103" s="392">
        <f t="shared" si="5"/>
        <v>0</v>
      </c>
      <c r="AA103" s="393">
        <f t="shared" si="6"/>
        <v>0</v>
      </c>
      <c r="AB103" s="191"/>
      <c r="AC103" s="192"/>
      <c r="AD103" s="191"/>
      <c r="AE103" s="192"/>
      <c r="AF103" s="192"/>
      <c r="AG103" s="192"/>
      <c r="AH103" s="396">
        <f t="shared" si="7"/>
        <v>0</v>
      </c>
      <c r="AI103" s="64" t="str">
        <f>IF('Sch2a-Imp Price by ECM'!C104="Yes", 0, 'Sch2a-Imp Price by ECM'!L104)</f>
        <v/>
      </c>
      <c r="AJ103" s="225" t="str">
        <f>IF('Sch2a-Imp Price by ECM'!C104="Yes",0, IF(AI103="","",AI103/AH103))</f>
        <v/>
      </c>
      <c r="AK103" s="1" t="str">
        <f>IF('Sch2a-Imp Price by ECM'!M104="","",'Sch2a-Imp Price by ECM'!M104)</f>
        <v/>
      </c>
    </row>
    <row r="104" spans="1:37" ht="16.5" thickBot="1">
      <c r="A104" s="40" t="str">
        <f>IF('Sch2a-Imp Price by ECM'!B105="","",'Sch2a-Imp Price by ECM'!B105)</f>
        <v/>
      </c>
      <c r="B104" s="76" t="str">
        <f>IF('Sch2a-Imp Price by ECM'!D105="","",'Sch2a-Imp Price by ECM'!D105)</f>
        <v/>
      </c>
      <c r="C104" s="197" t="str">
        <f>IF('Sch2a-Imp Price by ECM'!G105="","",'Sch2a-Imp Price by ECM'!G105)</f>
        <v/>
      </c>
      <c r="D104" s="132"/>
      <c r="E104" s="190"/>
      <c r="F104" s="190"/>
      <c r="G104" s="190"/>
      <c r="H104" s="190"/>
      <c r="I104" s="134"/>
      <c r="J104" s="190"/>
      <c r="K104" s="190"/>
      <c r="L104" s="133"/>
      <c r="M104" s="133"/>
      <c r="N104" s="133"/>
      <c r="O104" s="127"/>
      <c r="P104" s="190"/>
      <c r="Q104" s="133"/>
      <c r="R104" s="191"/>
      <c r="S104" s="133"/>
      <c r="T104" s="191"/>
      <c r="U104" s="192"/>
      <c r="V104" s="191"/>
      <c r="W104" s="192"/>
      <c r="X104" s="334"/>
      <c r="Y104" s="192"/>
      <c r="Z104" s="392">
        <f t="shared" si="5"/>
        <v>0</v>
      </c>
      <c r="AA104" s="393">
        <f t="shared" si="6"/>
        <v>0</v>
      </c>
      <c r="AB104" s="191"/>
      <c r="AC104" s="192"/>
      <c r="AD104" s="191"/>
      <c r="AE104" s="192"/>
      <c r="AF104" s="192"/>
      <c r="AG104" s="192"/>
      <c r="AH104" s="396">
        <f t="shared" si="7"/>
        <v>0</v>
      </c>
      <c r="AI104" s="64" t="str">
        <f>IF('Sch2a-Imp Price by ECM'!C105="Yes", 0, 'Sch2a-Imp Price by ECM'!L105)</f>
        <v/>
      </c>
      <c r="AJ104" s="225" t="str">
        <f>IF('Sch2a-Imp Price by ECM'!C105="Yes",0, IF(AI104="","",AI104/AH104))</f>
        <v/>
      </c>
      <c r="AK104" s="1" t="str">
        <f>IF('Sch2a-Imp Price by ECM'!M105="","",'Sch2a-Imp Price by ECM'!M105)</f>
        <v/>
      </c>
    </row>
    <row r="105" spans="1:37" ht="16.5" thickBot="1">
      <c r="A105" s="40" t="str">
        <f>IF('Sch2a-Imp Price by ECM'!B106="","",'Sch2a-Imp Price by ECM'!B106)</f>
        <v/>
      </c>
      <c r="B105" s="76" t="str">
        <f>IF('Sch2a-Imp Price by ECM'!D106="","",'Sch2a-Imp Price by ECM'!D106)</f>
        <v/>
      </c>
      <c r="C105" s="197" t="str">
        <f>IF('Sch2a-Imp Price by ECM'!G106="","",'Sch2a-Imp Price by ECM'!G106)</f>
        <v/>
      </c>
      <c r="D105" s="132"/>
      <c r="E105" s="190"/>
      <c r="F105" s="190"/>
      <c r="G105" s="190"/>
      <c r="H105" s="190"/>
      <c r="I105" s="134"/>
      <c r="J105" s="190"/>
      <c r="K105" s="190"/>
      <c r="L105" s="133"/>
      <c r="M105" s="133"/>
      <c r="N105" s="133"/>
      <c r="O105" s="127"/>
      <c r="P105" s="190"/>
      <c r="Q105" s="133"/>
      <c r="R105" s="191"/>
      <c r="S105" s="133"/>
      <c r="T105" s="191"/>
      <c r="U105" s="192"/>
      <c r="V105" s="191"/>
      <c r="W105" s="192"/>
      <c r="X105" s="334"/>
      <c r="Y105" s="192"/>
      <c r="Z105" s="392">
        <f t="shared" si="5"/>
        <v>0</v>
      </c>
      <c r="AA105" s="393">
        <f t="shared" si="6"/>
        <v>0</v>
      </c>
      <c r="AB105" s="191"/>
      <c r="AC105" s="192"/>
      <c r="AD105" s="191"/>
      <c r="AE105" s="192"/>
      <c r="AF105" s="192"/>
      <c r="AG105" s="192"/>
      <c r="AH105" s="396">
        <f t="shared" si="7"/>
        <v>0</v>
      </c>
      <c r="AI105" s="64" t="str">
        <f>IF('Sch2a-Imp Price by ECM'!C106="Yes", 0, 'Sch2a-Imp Price by ECM'!L106)</f>
        <v/>
      </c>
      <c r="AJ105" s="225" t="str">
        <f>IF('Sch2a-Imp Price by ECM'!C106="Yes",0, IF(AI105="","",AI105/AH105))</f>
        <v/>
      </c>
      <c r="AK105" s="1" t="str">
        <f>IF('Sch2a-Imp Price by ECM'!M106="","",'Sch2a-Imp Price by ECM'!M106)</f>
        <v/>
      </c>
    </row>
    <row r="106" spans="1:37" ht="16.5" thickBot="1">
      <c r="A106" s="40" t="str">
        <f>IF('Sch2a-Imp Price by ECM'!B107="","",'Sch2a-Imp Price by ECM'!B107)</f>
        <v/>
      </c>
      <c r="B106" s="76" t="str">
        <f>IF('Sch2a-Imp Price by ECM'!D107="","",'Sch2a-Imp Price by ECM'!D107)</f>
        <v/>
      </c>
      <c r="C106" s="197" t="str">
        <f>IF('Sch2a-Imp Price by ECM'!G107="","",'Sch2a-Imp Price by ECM'!G107)</f>
        <v/>
      </c>
      <c r="D106" s="132"/>
      <c r="E106" s="190"/>
      <c r="F106" s="190"/>
      <c r="G106" s="190"/>
      <c r="H106" s="190"/>
      <c r="I106" s="134"/>
      <c r="J106" s="190"/>
      <c r="K106" s="190"/>
      <c r="L106" s="133"/>
      <c r="M106" s="133"/>
      <c r="N106" s="133"/>
      <c r="O106" s="127"/>
      <c r="P106" s="190"/>
      <c r="Q106" s="133"/>
      <c r="R106" s="191"/>
      <c r="S106" s="133"/>
      <c r="T106" s="191"/>
      <c r="U106" s="192"/>
      <c r="V106" s="191"/>
      <c r="W106" s="192"/>
      <c r="X106" s="334"/>
      <c r="Y106" s="192"/>
      <c r="Z106" s="392">
        <f t="shared" si="5"/>
        <v>0</v>
      </c>
      <c r="AA106" s="393">
        <f t="shared" si="6"/>
        <v>0</v>
      </c>
      <c r="AB106" s="191"/>
      <c r="AC106" s="192"/>
      <c r="AD106" s="191"/>
      <c r="AE106" s="192"/>
      <c r="AF106" s="192"/>
      <c r="AG106" s="192"/>
      <c r="AH106" s="396">
        <f t="shared" si="7"/>
        <v>0</v>
      </c>
      <c r="AI106" s="64" t="str">
        <f>IF('Sch2a-Imp Price by ECM'!C107="Yes", 0, 'Sch2a-Imp Price by ECM'!L107)</f>
        <v/>
      </c>
      <c r="AJ106" s="225" t="str">
        <f>IF('Sch2a-Imp Price by ECM'!C107="Yes",0, IF(AI106="","",AI106/AH106))</f>
        <v/>
      </c>
      <c r="AK106" s="1" t="str">
        <f>IF('Sch2a-Imp Price by ECM'!M107="","",'Sch2a-Imp Price by ECM'!M107)</f>
        <v/>
      </c>
    </row>
    <row r="107" spans="1:37" ht="16.5" thickBot="1">
      <c r="A107" s="40" t="str">
        <f>IF('Sch2a-Imp Price by ECM'!B108="","",'Sch2a-Imp Price by ECM'!B108)</f>
        <v/>
      </c>
      <c r="B107" s="76" t="str">
        <f>IF('Sch2a-Imp Price by ECM'!D108="","",'Sch2a-Imp Price by ECM'!D108)</f>
        <v/>
      </c>
      <c r="C107" s="197" t="str">
        <f>IF('Sch2a-Imp Price by ECM'!G108="","",'Sch2a-Imp Price by ECM'!G108)</f>
        <v/>
      </c>
      <c r="D107" s="132"/>
      <c r="E107" s="190"/>
      <c r="F107" s="190"/>
      <c r="G107" s="190"/>
      <c r="H107" s="190"/>
      <c r="I107" s="134"/>
      <c r="J107" s="190"/>
      <c r="K107" s="190"/>
      <c r="L107" s="133"/>
      <c r="M107" s="133"/>
      <c r="N107" s="133"/>
      <c r="O107" s="127"/>
      <c r="P107" s="190"/>
      <c r="Q107" s="133"/>
      <c r="R107" s="191"/>
      <c r="S107" s="133"/>
      <c r="T107" s="191"/>
      <c r="U107" s="192"/>
      <c r="V107" s="191"/>
      <c r="W107" s="192"/>
      <c r="X107" s="334"/>
      <c r="Y107" s="192"/>
      <c r="Z107" s="392">
        <f t="shared" si="5"/>
        <v>0</v>
      </c>
      <c r="AA107" s="393">
        <f t="shared" si="6"/>
        <v>0</v>
      </c>
      <c r="AB107" s="191"/>
      <c r="AC107" s="192"/>
      <c r="AD107" s="191"/>
      <c r="AE107" s="192"/>
      <c r="AF107" s="192"/>
      <c r="AG107" s="192"/>
      <c r="AH107" s="396">
        <f t="shared" si="7"/>
        <v>0</v>
      </c>
      <c r="AI107" s="64" t="str">
        <f>IF('Sch2a-Imp Price by ECM'!C108="Yes", 0, 'Sch2a-Imp Price by ECM'!L108)</f>
        <v/>
      </c>
      <c r="AJ107" s="225" t="str">
        <f>IF('Sch2a-Imp Price by ECM'!C108="Yes",0, IF(AI107="","",AI107/AH107))</f>
        <v/>
      </c>
      <c r="AK107" s="1" t="str">
        <f>IF('Sch2a-Imp Price by ECM'!M108="","",'Sch2a-Imp Price by ECM'!M108)</f>
        <v/>
      </c>
    </row>
    <row r="108" spans="1:37" ht="16.5" thickBot="1">
      <c r="A108" s="40" t="str">
        <f>IF('Sch2a-Imp Price by ECM'!B109="","",'Sch2a-Imp Price by ECM'!B109)</f>
        <v/>
      </c>
      <c r="B108" s="76" t="str">
        <f>IF('Sch2a-Imp Price by ECM'!D109="","",'Sch2a-Imp Price by ECM'!D109)</f>
        <v/>
      </c>
      <c r="C108" s="197" t="str">
        <f>IF('Sch2a-Imp Price by ECM'!G109="","",'Sch2a-Imp Price by ECM'!G109)</f>
        <v/>
      </c>
      <c r="D108" s="132"/>
      <c r="E108" s="190"/>
      <c r="F108" s="190"/>
      <c r="G108" s="190"/>
      <c r="H108" s="190"/>
      <c r="I108" s="134"/>
      <c r="J108" s="190"/>
      <c r="K108" s="190"/>
      <c r="L108" s="133"/>
      <c r="M108" s="133"/>
      <c r="N108" s="133"/>
      <c r="O108" s="127"/>
      <c r="P108" s="190"/>
      <c r="Q108" s="133"/>
      <c r="R108" s="191"/>
      <c r="S108" s="133"/>
      <c r="T108" s="191"/>
      <c r="U108" s="192"/>
      <c r="V108" s="191"/>
      <c r="W108" s="192"/>
      <c r="X108" s="334"/>
      <c r="Y108" s="192"/>
      <c r="Z108" s="392">
        <f t="shared" si="5"/>
        <v>0</v>
      </c>
      <c r="AA108" s="393">
        <f t="shared" si="6"/>
        <v>0</v>
      </c>
      <c r="AB108" s="191"/>
      <c r="AC108" s="192"/>
      <c r="AD108" s="191"/>
      <c r="AE108" s="192"/>
      <c r="AF108" s="192"/>
      <c r="AG108" s="192"/>
      <c r="AH108" s="396">
        <f t="shared" si="7"/>
        <v>0</v>
      </c>
      <c r="AI108" s="64" t="str">
        <f>IF('Sch2a-Imp Price by ECM'!C109="Yes", 0, 'Sch2a-Imp Price by ECM'!L109)</f>
        <v/>
      </c>
      <c r="AJ108" s="225" t="str">
        <f>IF('Sch2a-Imp Price by ECM'!C109="Yes",0, IF(AI108="","",AI108/AH108))</f>
        <v/>
      </c>
      <c r="AK108" s="1" t="str">
        <f>IF('Sch2a-Imp Price by ECM'!M109="","",'Sch2a-Imp Price by ECM'!M109)</f>
        <v/>
      </c>
    </row>
    <row r="109" spans="1:37" ht="16.5" thickBot="1">
      <c r="A109" s="40" t="str">
        <f>IF('Sch2a-Imp Price by ECM'!B110="","",'Sch2a-Imp Price by ECM'!B110)</f>
        <v/>
      </c>
      <c r="B109" s="76" t="str">
        <f>IF('Sch2a-Imp Price by ECM'!D110="","",'Sch2a-Imp Price by ECM'!D110)</f>
        <v/>
      </c>
      <c r="C109" s="197" t="str">
        <f>IF('Sch2a-Imp Price by ECM'!G110="","",'Sch2a-Imp Price by ECM'!G110)</f>
        <v/>
      </c>
      <c r="D109" s="132"/>
      <c r="E109" s="190"/>
      <c r="F109" s="190"/>
      <c r="G109" s="190"/>
      <c r="H109" s="190"/>
      <c r="I109" s="134"/>
      <c r="J109" s="190"/>
      <c r="K109" s="190"/>
      <c r="L109" s="133"/>
      <c r="M109" s="133"/>
      <c r="N109" s="133"/>
      <c r="O109" s="127"/>
      <c r="P109" s="190"/>
      <c r="Q109" s="133"/>
      <c r="R109" s="191"/>
      <c r="S109" s="133"/>
      <c r="T109" s="191"/>
      <c r="U109" s="192"/>
      <c r="V109" s="191"/>
      <c r="W109" s="192"/>
      <c r="X109" s="334"/>
      <c r="Y109" s="192"/>
      <c r="Z109" s="392">
        <f t="shared" si="5"/>
        <v>0</v>
      </c>
      <c r="AA109" s="393">
        <f t="shared" si="6"/>
        <v>0</v>
      </c>
      <c r="AB109" s="191"/>
      <c r="AC109" s="192"/>
      <c r="AD109" s="191"/>
      <c r="AE109" s="192"/>
      <c r="AF109" s="192"/>
      <c r="AG109" s="192"/>
      <c r="AH109" s="396">
        <f t="shared" si="7"/>
        <v>0</v>
      </c>
      <c r="AI109" s="64" t="str">
        <f>IF('Sch2a-Imp Price by ECM'!C110="Yes", 0, 'Sch2a-Imp Price by ECM'!L110)</f>
        <v/>
      </c>
      <c r="AJ109" s="225" t="str">
        <f>IF('Sch2a-Imp Price by ECM'!C110="Yes",0, IF(AI109="","",AI109/AH109))</f>
        <v/>
      </c>
      <c r="AK109" s="1" t="str">
        <f>IF('Sch2a-Imp Price by ECM'!M110="","",'Sch2a-Imp Price by ECM'!M110)</f>
        <v/>
      </c>
    </row>
    <row r="110" spans="1:37" ht="16.5" thickBot="1">
      <c r="A110" s="40" t="str">
        <f>IF('Sch2a-Imp Price by ECM'!B111="","",'Sch2a-Imp Price by ECM'!B111)</f>
        <v/>
      </c>
      <c r="B110" s="76" t="str">
        <f>IF('Sch2a-Imp Price by ECM'!D111="","",'Sch2a-Imp Price by ECM'!D111)</f>
        <v/>
      </c>
      <c r="C110" s="197" t="str">
        <f>IF('Sch2a-Imp Price by ECM'!G111="","",'Sch2a-Imp Price by ECM'!G111)</f>
        <v/>
      </c>
      <c r="D110" s="132"/>
      <c r="E110" s="190"/>
      <c r="F110" s="190"/>
      <c r="G110" s="190"/>
      <c r="H110" s="190"/>
      <c r="I110" s="134"/>
      <c r="J110" s="190"/>
      <c r="K110" s="190"/>
      <c r="L110" s="133"/>
      <c r="M110" s="133"/>
      <c r="N110" s="133"/>
      <c r="O110" s="127"/>
      <c r="P110" s="190"/>
      <c r="Q110" s="133"/>
      <c r="R110" s="191"/>
      <c r="S110" s="133"/>
      <c r="T110" s="191"/>
      <c r="U110" s="192"/>
      <c r="V110" s="191"/>
      <c r="W110" s="192"/>
      <c r="X110" s="334"/>
      <c r="Y110" s="192"/>
      <c r="Z110" s="392">
        <f t="shared" si="5"/>
        <v>0</v>
      </c>
      <c r="AA110" s="393">
        <f t="shared" si="6"/>
        <v>0</v>
      </c>
      <c r="AB110" s="191"/>
      <c r="AC110" s="192"/>
      <c r="AD110" s="191"/>
      <c r="AE110" s="192"/>
      <c r="AF110" s="192"/>
      <c r="AG110" s="192"/>
      <c r="AH110" s="396">
        <f t="shared" si="7"/>
        <v>0</v>
      </c>
      <c r="AI110" s="64" t="str">
        <f>IF('Sch2a-Imp Price by ECM'!C111="Yes", 0, 'Sch2a-Imp Price by ECM'!L111)</f>
        <v/>
      </c>
      <c r="AJ110" s="225" t="str">
        <f>IF('Sch2a-Imp Price by ECM'!C111="Yes",0, IF(AI110="","",AI110/AH110))</f>
        <v/>
      </c>
      <c r="AK110" s="1" t="str">
        <f>IF('Sch2a-Imp Price by ECM'!M111="","",'Sch2a-Imp Price by ECM'!M111)</f>
        <v/>
      </c>
    </row>
    <row r="111" spans="1:37" ht="16.5" thickBot="1">
      <c r="A111" s="40" t="str">
        <f>IF('Sch2a-Imp Price by ECM'!B112="","",'Sch2a-Imp Price by ECM'!B112)</f>
        <v/>
      </c>
      <c r="B111" s="76" t="str">
        <f>IF('Sch2a-Imp Price by ECM'!D112="","",'Sch2a-Imp Price by ECM'!D112)</f>
        <v/>
      </c>
      <c r="C111" s="197" t="str">
        <f>IF('Sch2a-Imp Price by ECM'!G112="","",'Sch2a-Imp Price by ECM'!G112)</f>
        <v/>
      </c>
      <c r="D111" s="132"/>
      <c r="E111" s="190"/>
      <c r="F111" s="190"/>
      <c r="G111" s="190"/>
      <c r="H111" s="190"/>
      <c r="I111" s="134"/>
      <c r="J111" s="190"/>
      <c r="K111" s="190"/>
      <c r="L111" s="133"/>
      <c r="M111" s="133"/>
      <c r="N111" s="133"/>
      <c r="O111" s="127"/>
      <c r="P111" s="190"/>
      <c r="Q111" s="133"/>
      <c r="R111" s="191"/>
      <c r="S111" s="133"/>
      <c r="T111" s="191"/>
      <c r="U111" s="192"/>
      <c r="V111" s="191"/>
      <c r="W111" s="192"/>
      <c r="X111" s="334"/>
      <c r="Y111" s="192"/>
      <c r="Z111" s="392">
        <f t="shared" si="5"/>
        <v>0</v>
      </c>
      <c r="AA111" s="393">
        <f t="shared" si="6"/>
        <v>0</v>
      </c>
      <c r="AB111" s="191"/>
      <c r="AC111" s="192"/>
      <c r="AD111" s="191"/>
      <c r="AE111" s="192"/>
      <c r="AF111" s="192"/>
      <c r="AG111" s="192"/>
      <c r="AH111" s="396">
        <f t="shared" si="7"/>
        <v>0</v>
      </c>
      <c r="AI111" s="64" t="str">
        <f>IF('Sch2a-Imp Price by ECM'!C112="Yes", 0, 'Sch2a-Imp Price by ECM'!L112)</f>
        <v/>
      </c>
      <c r="AJ111" s="225" t="str">
        <f>IF('Sch2a-Imp Price by ECM'!C112="Yes",0, IF(AI111="","",AI111/AH111))</f>
        <v/>
      </c>
      <c r="AK111" s="1" t="str">
        <f>IF('Sch2a-Imp Price by ECM'!M112="","",'Sch2a-Imp Price by ECM'!M112)</f>
        <v/>
      </c>
    </row>
    <row r="112" spans="1:37" ht="16.5" thickBot="1">
      <c r="A112" s="40" t="str">
        <f>IF('Sch2a-Imp Price by ECM'!B113="","",'Sch2a-Imp Price by ECM'!B113)</f>
        <v/>
      </c>
      <c r="B112" s="76" t="str">
        <f>IF('Sch2a-Imp Price by ECM'!D113="","",'Sch2a-Imp Price by ECM'!D113)</f>
        <v/>
      </c>
      <c r="C112" s="197" t="str">
        <f>IF('Sch2a-Imp Price by ECM'!G113="","",'Sch2a-Imp Price by ECM'!G113)</f>
        <v/>
      </c>
      <c r="D112" s="132"/>
      <c r="E112" s="190"/>
      <c r="F112" s="190"/>
      <c r="G112" s="190"/>
      <c r="H112" s="190"/>
      <c r="I112" s="134"/>
      <c r="J112" s="190"/>
      <c r="K112" s="190"/>
      <c r="L112" s="133"/>
      <c r="M112" s="133"/>
      <c r="N112" s="133"/>
      <c r="O112" s="127"/>
      <c r="P112" s="190"/>
      <c r="Q112" s="133"/>
      <c r="R112" s="191"/>
      <c r="S112" s="133"/>
      <c r="T112" s="191"/>
      <c r="U112" s="192"/>
      <c r="V112" s="191"/>
      <c r="W112" s="192"/>
      <c r="X112" s="334"/>
      <c r="Y112" s="192"/>
      <c r="Z112" s="392">
        <f t="shared" si="5"/>
        <v>0</v>
      </c>
      <c r="AA112" s="393">
        <f t="shared" si="6"/>
        <v>0</v>
      </c>
      <c r="AB112" s="191"/>
      <c r="AC112" s="192"/>
      <c r="AD112" s="191"/>
      <c r="AE112" s="192"/>
      <c r="AF112" s="192"/>
      <c r="AG112" s="192"/>
      <c r="AH112" s="396">
        <f t="shared" si="7"/>
        <v>0</v>
      </c>
      <c r="AI112" s="64" t="str">
        <f>IF('Sch2a-Imp Price by ECM'!C113="Yes", 0, 'Sch2a-Imp Price by ECM'!L113)</f>
        <v/>
      </c>
      <c r="AJ112" s="225" t="str">
        <f>IF('Sch2a-Imp Price by ECM'!C113="Yes",0, IF(AI112="","",AI112/AH112))</f>
        <v/>
      </c>
      <c r="AK112" s="1" t="str">
        <f>IF('Sch2a-Imp Price by ECM'!M113="","",'Sch2a-Imp Price by ECM'!M113)</f>
        <v/>
      </c>
    </row>
    <row r="113" spans="1:37" ht="16.5" thickBot="1">
      <c r="A113" s="40" t="str">
        <f>IF('Sch2a-Imp Price by ECM'!B114="","",'Sch2a-Imp Price by ECM'!B114)</f>
        <v/>
      </c>
      <c r="B113" s="76" t="str">
        <f>IF('Sch2a-Imp Price by ECM'!D114="","",'Sch2a-Imp Price by ECM'!D114)</f>
        <v/>
      </c>
      <c r="C113" s="197" t="str">
        <f>IF('Sch2a-Imp Price by ECM'!G114="","",'Sch2a-Imp Price by ECM'!G114)</f>
        <v/>
      </c>
      <c r="D113" s="132"/>
      <c r="E113" s="190"/>
      <c r="F113" s="190"/>
      <c r="G113" s="190"/>
      <c r="H113" s="190"/>
      <c r="I113" s="134"/>
      <c r="J113" s="190"/>
      <c r="K113" s="190"/>
      <c r="L113" s="133"/>
      <c r="M113" s="133"/>
      <c r="N113" s="133"/>
      <c r="O113" s="127"/>
      <c r="P113" s="190"/>
      <c r="Q113" s="133"/>
      <c r="R113" s="191"/>
      <c r="S113" s="133"/>
      <c r="T113" s="191"/>
      <c r="U113" s="192"/>
      <c r="V113" s="191"/>
      <c r="W113" s="192"/>
      <c r="X113" s="334"/>
      <c r="Y113" s="192"/>
      <c r="Z113" s="392">
        <f t="shared" si="5"/>
        <v>0</v>
      </c>
      <c r="AA113" s="393">
        <f t="shared" si="6"/>
        <v>0</v>
      </c>
      <c r="AB113" s="191"/>
      <c r="AC113" s="192"/>
      <c r="AD113" s="191"/>
      <c r="AE113" s="192"/>
      <c r="AF113" s="192"/>
      <c r="AG113" s="192"/>
      <c r="AH113" s="396">
        <f t="shared" si="7"/>
        <v>0</v>
      </c>
      <c r="AI113" s="64" t="str">
        <f>IF('Sch2a-Imp Price by ECM'!C114="Yes", 0, 'Sch2a-Imp Price by ECM'!L114)</f>
        <v/>
      </c>
      <c r="AJ113" s="225" t="str">
        <f>IF('Sch2a-Imp Price by ECM'!C114="Yes",0, IF(AI113="","",AI113/AH113))</f>
        <v/>
      </c>
      <c r="AK113" s="1" t="str">
        <f>IF('Sch2a-Imp Price by ECM'!M114="","",'Sch2a-Imp Price by ECM'!M114)</f>
        <v/>
      </c>
    </row>
    <row r="114" spans="1:37" ht="16.5" thickBot="1">
      <c r="A114" s="40" t="str">
        <f>IF('Sch2a-Imp Price by ECM'!B115="","",'Sch2a-Imp Price by ECM'!B115)</f>
        <v/>
      </c>
      <c r="B114" s="76" t="str">
        <f>IF('Sch2a-Imp Price by ECM'!D115="","",'Sch2a-Imp Price by ECM'!D115)</f>
        <v/>
      </c>
      <c r="C114" s="197" t="str">
        <f>IF('Sch2a-Imp Price by ECM'!G115="","",'Sch2a-Imp Price by ECM'!G115)</f>
        <v/>
      </c>
      <c r="D114" s="132"/>
      <c r="E114" s="190"/>
      <c r="F114" s="190"/>
      <c r="G114" s="190"/>
      <c r="H114" s="190"/>
      <c r="I114" s="134"/>
      <c r="J114" s="190"/>
      <c r="K114" s="190"/>
      <c r="L114" s="133"/>
      <c r="M114" s="133"/>
      <c r="N114" s="133"/>
      <c r="O114" s="134"/>
      <c r="P114" s="190"/>
      <c r="Q114" s="133"/>
      <c r="R114" s="191"/>
      <c r="S114" s="133"/>
      <c r="T114" s="191"/>
      <c r="U114" s="192"/>
      <c r="V114" s="191"/>
      <c r="W114" s="192"/>
      <c r="X114" s="334"/>
      <c r="Y114" s="192"/>
      <c r="Z114" s="392">
        <f t="shared" si="5"/>
        <v>0</v>
      </c>
      <c r="AA114" s="393">
        <f t="shared" si="6"/>
        <v>0</v>
      </c>
      <c r="AB114" s="191"/>
      <c r="AC114" s="192"/>
      <c r="AD114" s="191"/>
      <c r="AE114" s="192"/>
      <c r="AF114" s="192"/>
      <c r="AG114" s="192"/>
      <c r="AH114" s="396">
        <f t="shared" si="7"/>
        <v>0</v>
      </c>
      <c r="AI114" s="64" t="str">
        <f>IF('Sch2a-Imp Price by ECM'!C115="Yes", 0, 'Sch2a-Imp Price by ECM'!L115)</f>
        <v/>
      </c>
      <c r="AJ114" s="225" t="str">
        <f>IF('Sch2a-Imp Price by ECM'!C115="Yes",0, IF(AI114="","",AI114/AH114))</f>
        <v/>
      </c>
      <c r="AK114" s="1" t="str">
        <f>IF('Sch2a-Imp Price by ECM'!M115="","",'Sch2a-Imp Price by ECM'!M115)</f>
        <v/>
      </c>
    </row>
    <row r="115" spans="1:37" ht="16.5" thickBot="1">
      <c r="A115" s="40" t="str">
        <f>IF('Sch2a-Imp Price by ECM'!B116="","",'Sch2a-Imp Price by ECM'!B116)</f>
        <v/>
      </c>
      <c r="B115" s="76" t="str">
        <f>IF('Sch2a-Imp Price by ECM'!D116="","",'Sch2a-Imp Price by ECM'!D116)</f>
        <v/>
      </c>
      <c r="C115" s="197" t="str">
        <f>IF('Sch2a-Imp Price by ECM'!G116="","",'Sch2a-Imp Price by ECM'!G116)</f>
        <v/>
      </c>
      <c r="D115" s="132"/>
      <c r="E115" s="190"/>
      <c r="F115" s="190"/>
      <c r="G115" s="190"/>
      <c r="H115" s="190"/>
      <c r="I115" s="134"/>
      <c r="J115" s="190"/>
      <c r="K115" s="190"/>
      <c r="L115" s="133"/>
      <c r="M115" s="133"/>
      <c r="N115" s="133"/>
      <c r="O115" s="134"/>
      <c r="P115" s="190"/>
      <c r="Q115" s="133"/>
      <c r="R115" s="191"/>
      <c r="S115" s="133"/>
      <c r="T115" s="191"/>
      <c r="U115" s="192"/>
      <c r="V115" s="191"/>
      <c r="W115" s="192"/>
      <c r="X115" s="334"/>
      <c r="Y115" s="192"/>
      <c r="Z115" s="392">
        <f t="shared" si="5"/>
        <v>0</v>
      </c>
      <c r="AA115" s="393">
        <f t="shared" si="6"/>
        <v>0</v>
      </c>
      <c r="AB115" s="191"/>
      <c r="AC115" s="192"/>
      <c r="AD115" s="191"/>
      <c r="AE115" s="192"/>
      <c r="AF115" s="192"/>
      <c r="AG115" s="192"/>
      <c r="AH115" s="396">
        <f t="shared" si="7"/>
        <v>0</v>
      </c>
      <c r="AI115" s="64" t="str">
        <f>IF('Sch2a-Imp Price by ECM'!C116="Yes", 0, 'Sch2a-Imp Price by ECM'!L116)</f>
        <v/>
      </c>
      <c r="AJ115" s="225" t="str">
        <f>IF('Sch2a-Imp Price by ECM'!C116="Yes",0, IF(AI115="","",AI115/AH115))</f>
        <v/>
      </c>
      <c r="AK115" s="1" t="str">
        <f>IF('Sch2a-Imp Price by ECM'!M116="","",'Sch2a-Imp Price by ECM'!M116)</f>
        <v/>
      </c>
    </row>
    <row r="116" spans="1:37" ht="16.5" thickBot="1">
      <c r="A116" s="40" t="str">
        <f>IF('Sch2a-Imp Price by ECM'!B117="","",'Sch2a-Imp Price by ECM'!B117)</f>
        <v/>
      </c>
      <c r="B116" s="76" t="str">
        <f>IF('Sch2a-Imp Price by ECM'!D117="","",'Sch2a-Imp Price by ECM'!D117)</f>
        <v/>
      </c>
      <c r="C116" s="197" t="str">
        <f>IF('Sch2a-Imp Price by ECM'!G117="","",'Sch2a-Imp Price by ECM'!G117)</f>
        <v/>
      </c>
      <c r="D116" s="132"/>
      <c r="E116" s="190"/>
      <c r="F116" s="190"/>
      <c r="G116" s="190"/>
      <c r="H116" s="190"/>
      <c r="I116" s="134"/>
      <c r="J116" s="190"/>
      <c r="K116" s="190"/>
      <c r="L116" s="133"/>
      <c r="M116" s="133"/>
      <c r="N116" s="133"/>
      <c r="O116" s="134"/>
      <c r="P116" s="190"/>
      <c r="Q116" s="133"/>
      <c r="R116" s="191"/>
      <c r="S116" s="133"/>
      <c r="T116" s="191"/>
      <c r="U116" s="192"/>
      <c r="V116" s="191"/>
      <c r="W116" s="192"/>
      <c r="X116" s="334"/>
      <c r="Y116" s="192"/>
      <c r="Z116" s="392">
        <f t="shared" si="5"/>
        <v>0</v>
      </c>
      <c r="AA116" s="393">
        <f t="shared" si="6"/>
        <v>0</v>
      </c>
      <c r="AB116" s="191"/>
      <c r="AC116" s="192"/>
      <c r="AD116" s="191"/>
      <c r="AE116" s="192"/>
      <c r="AF116" s="192"/>
      <c r="AG116" s="192"/>
      <c r="AH116" s="396">
        <f t="shared" si="7"/>
        <v>0</v>
      </c>
      <c r="AI116" s="64" t="str">
        <f>IF('Sch2a-Imp Price by ECM'!C117="Yes", 0, 'Sch2a-Imp Price by ECM'!L117)</f>
        <v/>
      </c>
      <c r="AJ116" s="225" t="str">
        <f>IF('Sch2a-Imp Price by ECM'!C117="Yes",0, IF(AI116="","",AI116/AH116))</f>
        <v/>
      </c>
      <c r="AK116" s="1" t="str">
        <f>IF('Sch2a-Imp Price by ECM'!M117="","",'Sch2a-Imp Price by ECM'!M117)</f>
        <v/>
      </c>
    </row>
    <row r="117" spans="1:37" ht="16.5" thickBot="1">
      <c r="A117" s="40" t="str">
        <f>IF('Sch2a-Imp Price by ECM'!B118="","",'Sch2a-Imp Price by ECM'!B118)</f>
        <v/>
      </c>
      <c r="B117" s="76" t="str">
        <f>IF('Sch2a-Imp Price by ECM'!D118="","",'Sch2a-Imp Price by ECM'!D118)</f>
        <v/>
      </c>
      <c r="C117" s="197" t="str">
        <f>IF('Sch2a-Imp Price by ECM'!G118="","",'Sch2a-Imp Price by ECM'!G118)</f>
        <v/>
      </c>
      <c r="D117" s="132"/>
      <c r="E117" s="190"/>
      <c r="F117" s="190"/>
      <c r="G117" s="190"/>
      <c r="H117" s="190"/>
      <c r="I117" s="134"/>
      <c r="J117" s="190"/>
      <c r="K117" s="190"/>
      <c r="L117" s="133"/>
      <c r="M117" s="133"/>
      <c r="N117" s="133"/>
      <c r="O117" s="134"/>
      <c r="P117" s="190"/>
      <c r="Q117" s="133"/>
      <c r="R117" s="191"/>
      <c r="S117" s="133"/>
      <c r="T117" s="191"/>
      <c r="U117" s="192"/>
      <c r="V117" s="191"/>
      <c r="W117" s="192"/>
      <c r="X117" s="334"/>
      <c r="Y117" s="192"/>
      <c r="Z117" s="392">
        <f t="shared" si="5"/>
        <v>0</v>
      </c>
      <c r="AA117" s="393">
        <f t="shared" si="6"/>
        <v>0</v>
      </c>
      <c r="AB117" s="191"/>
      <c r="AC117" s="192"/>
      <c r="AD117" s="191"/>
      <c r="AE117" s="192"/>
      <c r="AF117" s="192"/>
      <c r="AG117" s="192"/>
      <c r="AH117" s="396">
        <f t="shared" si="7"/>
        <v>0</v>
      </c>
      <c r="AI117" s="64" t="str">
        <f>IF('Sch2a-Imp Price by ECM'!C118="Yes", 0, 'Sch2a-Imp Price by ECM'!L118)</f>
        <v/>
      </c>
      <c r="AJ117" s="225" t="str">
        <f>IF('Sch2a-Imp Price by ECM'!C118="Yes",0, IF(AI117="","",AI117/AH117))</f>
        <v/>
      </c>
      <c r="AK117" s="1" t="str">
        <f>IF('Sch2a-Imp Price by ECM'!M118="","",'Sch2a-Imp Price by ECM'!M118)</f>
        <v/>
      </c>
    </row>
    <row r="118" spans="1:37" ht="18" customHeight="1" thickBot="1">
      <c r="A118" s="40" t="str">
        <f>IF('Sch2a-Imp Price by ECM'!B119="","",'Sch2a-Imp Price by ECM'!B119)</f>
        <v/>
      </c>
      <c r="B118" s="76" t="str">
        <f>IF('Sch2a-Imp Price by ECM'!D119="","",'Sch2a-Imp Price by ECM'!D119)</f>
        <v/>
      </c>
      <c r="C118" s="197" t="str">
        <f>IF('Sch2a-Imp Price by ECM'!G119="","",'Sch2a-Imp Price by ECM'!G119)</f>
        <v/>
      </c>
      <c r="D118" s="132"/>
      <c r="E118" s="190"/>
      <c r="F118" s="190"/>
      <c r="G118" s="190"/>
      <c r="H118" s="190"/>
      <c r="I118" s="134"/>
      <c r="J118" s="190"/>
      <c r="K118" s="190"/>
      <c r="L118" s="133"/>
      <c r="M118" s="133"/>
      <c r="N118" s="133"/>
      <c r="O118" s="134"/>
      <c r="P118" s="190"/>
      <c r="Q118" s="133"/>
      <c r="R118" s="191"/>
      <c r="S118" s="133"/>
      <c r="T118" s="191"/>
      <c r="U118" s="192"/>
      <c r="V118" s="191"/>
      <c r="W118" s="192"/>
      <c r="X118" s="334"/>
      <c r="Y118" s="192"/>
      <c r="Z118" s="392">
        <f t="shared" si="5"/>
        <v>0</v>
      </c>
      <c r="AA118" s="393">
        <f t="shared" si="6"/>
        <v>0</v>
      </c>
      <c r="AB118" s="191"/>
      <c r="AC118" s="192"/>
      <c r="AD118" s="191"/>
      <c r="AE118" s="192"/>
      <c r="AF118" s="192"/>
      <c r="AG118" s="192"/>
      <c r="AH118" s="396">
        <f t="shared" si="7"/>
        <v>0</v>
      </c>
      <c r="AI118" s="64" t="str">
        <f>IF('Sch2a-Imp Price by ECM'!C119="Yes", 0, 'Sch2a-Imp Price by ECM'!L119)</f>
        <v/>
      </c>
      <c r="AJ118" s="225" t="str">
        <f>IF('Sch2a-Imp Price by ECM'!C119="Yes",0, IF(AI118="","",AI118/AH118))</f>
        <v/>
      </c>
      <c r="AK118" s="1" t="str">
        <f>IF('Sch2a-Imp Price by ECM'!M119="","",'Sch2a-Imp Price by ECM'!M119)</f>
        <v/>
      </c>
    </row>
    <row r="119" spans="1:37" ht="16.5" thickBot="1">
      <c r="A119" s="40" t="str">
        <f>IF('Sch2a-Imp Price by ECM'!B120="","",'Sch2a-Imp Price by ECM'!B120)</f>
        <v/>
      </c>
      <c r="B119" s="76" t="str">
        <f>IF('Sch2a-Imp Price by ECM'!D120="","",'Sch2a-Imp Price by ECM'!D120)</f>
        <v/>
      </c>
      <c r="C119" s="197" t="str">
        <f>IF('Sch2a-Imp Price by ECM'!G120="","",'Sch2a-Imp Price by ECM'!G120)</f>
        <v/>
      </c>
      <c r="D119" s="132"/>
      <c r="E119" s="190"/>
      <c r="F119" s="190"/>
      <c r="G119" s="190"/>
      <c r="H119" s="190"/>
      <c r="I119" s="134"/>
      <c r="J119" s="190"/>
      <c r="K119" s="190"/>
      <c r="L119" s="133"/>
      <c r="M119" s="133"/>
      <c r="N119" s="133"/>
      <c r="O119" s="134"/>
      <c r="P119" s="190"/>
      <c r="Q119" s="133"/>
      <c r="R119" s="191"/>
      <c r="S119" s="133"/>
      <c r="T119" s="191"/>
      <c r="U119" s="192"/>
      <c r="V119" s="191"/>
      <c r="W119" s="192"/>
      <c r="X119" s="334"/>
      <c r="Y119" s="192"/>
      <c r="Z119" s="392">
        <f t="shared" si="5"/>
        <v>0</v>
      </c>
      <c r="AA119" s="393">
        <f t="shared" si="6"/>
        <v>0</v>
      </c>
      <c r="AB119" s="191"/>
      <c r="AC119" s="192"/>
      <c r="AD119" s="191"/>
      <c r="AE119" s="192"/>
      <c r="AF119" s="192"/>
      <c r="AG119" s="192"/>
      <c r="AH119" s="396">
        <f t="shared" si="7"/>
        <v>0</v>
      </c>
      <c r="AI119" s="64" t="str">
        <f>IF('Sch2a-Imp Price by ECM'!C120="Yes", 0, 'Sch2a-Imp Price by ECM'!L120)</f>
        <v/>
      </c>
      <c r="AJ119" s="225" t="str">
        <f>IF('Sch2a-Imp Price by ECM'!C120="Yes",0, IF(AI119="","",AI119/AH119))</f>
        <v/>
      </c>
      <c r="AK119" s="1" t="str">
        <f>IF('Sch2a-Imp Price by ECM'!M120="","",'Sch2a-Imp Price by ECM'!M120)</f>
        <v/>
      </c>
    </row>
    <row r="120" spans="1:37" ht="16.5" thickBot="1">
      <c r="A120" s="40" t="str">
        <f>IF('Sch2a-Imp Price by ECM'!B121="","",'Sch2a-Imp Price by ECM'!B121)</f>
        <v/>
      </c>
      <c r="B120" s="76" t="str">
        <f>IF('Sch2a-Imp Price by ECM'!D121="","",'Sch2a-Imp Price by ECM'!D121)</f>
        <v/>
      </c>
      <c r="C120" s="197" t="str">
        <f>IF('Sch2a-Imp Price by ECM'!G121="","",'Sch2a-Imp Price by ECM'!G121)</f>
        <v/>
      </c>
      <c r="D120" s="132"/>
      <c r="E120" s="190"/>
      <c r="F120" s="190"/>
      <c r="G120" s="190"/>
      <c r="H120" s="190"/>
      <c r="I120" s="134"/>
      <c r="J120" s="190"/>
      <c r="K120" s="190"/>
      <c r="L120" s="133"/>
      <c r="M120" s="133"/>
      <c r="N120" s="133"/>
      <c r="O120" s="134"/>
      <c r="P120" s="190"/>
      <c r="Q120" s="133"/>
      <c r="R120" s="191"/>
      <c r="S120" s="133"/>
      <c r="T120" s="191"/>
      <c r="U120" s="192"/>
      <c r="V120" s="191"/>
      <c r="W120" s="192"/>
      <c r="X120" s="334"/>
      <c r="Y120" s="192"/>
      <c r="Z120" s="392">
        <f t="shared" si="5"/>
        <v>0</v>
      </c>
      <c r="AA120" s="393">
        <f t="shared" si="6"/>
        <v>0</v>
      </c>
      <c r="AB120" s="191"/>
      <c r="AC120" s="192"/>
      <c r="AD120" s="191"/>
      <c r="AE120" s="192"/>
      <c r="AF120" s="192"/>
      <c r="AG120" s="192"/>
      <c r="AH120" s="396">
        <f t="shared" si="7"/>
        <v>0</v>
      </c>
      <c r="AI120" s="64" t="str">
        <f>IF('Sch2a-Imp Price by ECM'!C121="Yes", 0, 'Sch2a-Imp Price by ECM'!L121)</f>
        <v/>
      </c>
      <c r="AJ120" s="225" t="str">
        <f>IF('Sch2a-Imp Price by ECM'!C121="Yes",0, IF(AI120="","",AI120/AH120))</f>
        <v/>
      </c>
      <c r="AK120" s="1" t="str">
        <f>IF('Sch2a-Imp Price by ECM'!M121="","",'Sch2a-Imp Price by ECM'!M121)</f>
        <v/>
      </c>
    </row>
    <row r="121" spans="1:37" ht="16.5" thickBot="1">
      <c r="A121" s="40" t="str">
        <f>IF('Sch2a-Imp Price by ECM'!B122="","",'Sch2a-Imp Price by ECM'!B122)</f>
        <v/>
      </c>
      <c r="B121" s="76" t="str">
        <f>IF('Sch2a-Imp Price by ECM'!D122="","",'Sch2a-Imp Price by ECM'!D122)</f>
        <v/>
      </c>
      <c r="C121" s="197" t="str">
        <f>IF('Sch2a-Imp Price by ECM'!G122="","",'Sch2a-Imp Price by ECM'!G122)</f>
        <v/>
      </c>
      <c r="D121" s="132"/>
      <c r="E121" s="190"/>
      <c r="F121" s="190"/>
      <c r="G121" s="190"/>
      <c r="H121" s="190"/>
      <c r="I121" s="134"/>
      <c r="J121" s="190"/>
      <c r="K121" s="190"/>
      <c r="L121" s="133"/>
      <c r="M121" s="133"/>
      <c r="N121" s="133"/>
      <c r="O121" s="127"/>
      <c r="P121" s="190"/>
      <c r="Q121" s="133"/>
      <c r="R121" s="191"/>
      <c r="S121" s="133"/>
      <c r="T121" s="191"/>
      <c r="U121" s="192"/>
      <c r="V121" s="191"/>
      <c r="W121" s="192"/>
      <c r="X121" s="334"/>
      <c r="Y121" s="192"/>
      <c r="Z121" s="392">
        <f t="shared" si="5"/>
        <v>0</v>
      </c>
      <c r="AA121" s="393">
        <f t="shared" si="6"/>
        <v>0</v>
      </c>
      <c r="AB121" s="191"/>
      <c r="AC121" s="192"/>
      <c r="AD121" s="191"/>
      <c r="AE121" s="192"/>
      <c r="AF121" s="192"/>
      <c r="AG121" s="192"/>
      <c r="AH121" s="396">
        <f t="shared" si="7"/>
        <v>0</v>
      </c>
      <c r="AI121" s="64" t="str">
        <f>IF('Sch2a-Imp Price by ECM'!C122="Yes", 0, 'Sch2a-Imp Price by ECM'!L122)</f>
        <v/>
      </c>
      <c r="AJ121" s="225" t="str">
        <f>IF('Sch2a-Imp Price by ECM'!C122="Yes",0, IF(AI121="","",AI121/AH121))</f>
        <v/>
      </c>
      <c r="AK121" s="1" t="str">
        <f>IF('Sch2a-Imp Price by ECM'!M122="","",'Sch2a-Imp Price by ECM'!M122)</f>
        <v/>
      </c>
    </row>
    <row r="122" spans="1:37" ht="16.5" thickBot="1">
      <c r="A122" s="40" t="str">
        <f>IF('Sch2a-Imp Price by ECM'!B123="","",'Sch2a-Imp Price by ECM'!B123)</f>
        <v/>
      </c>
      <c r="B122" s="76" t="str">
        <f>IF('Sch2a-Imp Price by ECM'!D123="","",'Sch2a-Imp Price by ECM'!D123)</f>
        <v/>
      </c>
      <c r="C122" s="197" t="str">
        <f>IF('Sch2a-Imp Price by ECM'!G123="","",'Sch2a-Imp Price by ECM'!G123)</f>
        <v/>
      </c>
      <c r="D122" s="132"/>
      <c r="E122" s="190"/>
      <c r="F122" s="190"/>
      <c r="G122" s="190"/>
      <c r="H122" s="190"/>
      <c r="I122" s="134"/>
      <c r="J122" s="190"/>
      <c r="K122" s="190"/>
      <c r="L122" s="133"/>
      <c r="M122" s="133"/>
      <c r="N122" s="133"/>
      <c r="O122" s="127"/>
      <c r="P122" s="190"/>
      <c r="Q122" s="133"/>
      <c r="R122" s="191"/>
      <c r="S122" s="133"/>
      <c r="T122" s="191"/>
      <c r="U122" s="192"/>
      <c r="V122" s="191"/>
      <c r="W122" s="192"/>
      <c r="X122" s="334"/>
      <c r="Y122" s="192"/>
      <c r="Z122" s="392">
        <f t="shared" si="5"/>
        <v>0</v>
      </c>
      <c r="AA122" s="393">
        <f t="shared" si="6"/>
        <v>0</v>
      </c>
      <c r="AB122" s="191"/>
      <c r="AC122" s="192"/>
      <c r="AD122" s="191"/>
      <c r="AE122" s="192"/>
      <c r="AF122" s="192"/>
      <c r="AG122" s="192"/>
      <c r="AH122" s="396">
        <f t="shared" si="7"/>
        <v>0</v>
      </c>
      <c r="AI122" s="64" t="str">
        <f>IF('Sch2a-Imp Price by ECM'!C123="Yes", 0, 'Sch2a-Imp Price by ECM'!L123)</f>
        <v/>
      </c>
      <c r="AJ122" s="225" t="str">
        <f>IF('Sch2a-Imp Price by ECM'!C123="Yes",0, IF(AI122="","",AI122/AH122))</f>
        <v/>
      </c>
      <c r="AK122" s="1" t="str">
        <f>IF('Sch2a-Imp Price by ECM'!M123="","",'Sch2a-Imp Price by ECM'!M123)</f>
        <v/>
      </c>
    </row>
    <row r="123" spans="1:37" ht="16.5" thickBot="1">
      <c r="A123" s="40" t="str">
        <f>IF('Sch2a-Imp Price by ECM'!B124="","",'Sch2a-Imp Price by ECM'!B124)</f>
        <v/>
      </c>
      <c r="B123" s="76" t="str">
        <f>IF('Sch2a-Imp Price by ECM'!D124="","",'Sch2a-Imp Price by ECM'!D124)</f>
        <v/>
      </c>
      <c r="C123" s="197" t="str">
        <f>IF('Sch2a-Imp Price by ECM'!G124="","",'Sch2a-Imp Price by ECM'!G124)</f>
        <v/>
      </c>
      <c r="D123" s="132"/>
      <c r="E123" s="190"/>
      <c r="F123" s="190"/>
      <c r="G123" s="190"/>
      <c r="H123" s="190"/>
      <c r="I123" s="134"/>
      <c r="J123" s="190"/>
      <c r="K123" s="190"/>
      <c r="L123" s="133"/>
      <c r="M123" s="133"/>
      <c r="N123" s="133"/>
      <c r="O123" s="127"/>
      <c r="P123" s="190"/>
      <c r="Q123" s="133"/>
      <c r="R123" s="191"/>
      <c r="S123" s="133"/>
      <c r="T123" s="191"/>
      <c r="U123" s="192"/>
      <c r="V123" s="191"/>
      <c r="W123" s="192"/>
      <c r="X123" s="334"/>
      <c r="Y123" s="192"/>
      <c r="Z123" s="392">
        <f t="shared" si="5"/>
        <v>0</v>
      </c>
      <c r="AA123" s="393">
        <f t="shared" si="6"/>
        <v>0</v>
      </c>
      <c r="AB123" s="191"/>
      <c r="AC123" s="192"/>
      <c r="AD123" s="191"/>
      <c r="AE123" s="192"/>
      <c r="AF123" s="192"/>
      <c r="AG123" s="192"/>
      <c r="AH123" s="396">
        <f t="shared" si="7"/>
        <v>0</v>
      </c>
      <c r="AI123" s="64" t="str">
        <f>IF('Sch2a-Imp Price by ECM'!C124="Yes", 0, 'Sch2a-Imp Price by ECM'!L124)</f>
        <v/>
      </c>
      <c r="AJ123" s="225" t="str">
        <f>IF('Sch2a-Imp Price by ECM'!C124="Yes",0, IF(AI123="","",AI123/AH123))</f>
        <v/>
      </c>
      <c r="AK123" s="1" t="str">
        <f>IF('Sch2a-Imp Price by ECM'!M124="","",'Sch2a-Imp Price by ECM'!M124)</f>
        <v/>
      </c>
    </row>
    <row r="124" spans="1:37" ht="16.5" thickBot="1">
      <c r="A124" s="40" t="str">
        <f>IF('Sch2a-Imp Price by ECM'!B125="","",'Sch2a-Imp Price by ECM'!B125)</f>
        <v/>
      </c>
      <c r="B124" s="76" t="str">
        <f>IF('Sch2a-Imp Price by ECM'!D125="","",'Sch2a-Imp Price by ECM'!D125)</f>
        <v/>
      </c>
      <c r="C124" s="197" t="str">
        <f>IF('Sch2a-Imp Price by ECM'!G125="","",'Sch2a-Imp Price by ECM'!G125)</f>
        <v/>
      </c>
      <c r="D124" s="132"/>
      <c r="E124" s="190"/>
      <c r="F124" s="190"/>
      <c r="G124" s="190"/>
      <c r="H124" s="190"/>
      <c r="I124" s="134"/>
      <c r="J124" s="190"/>
      <c r="K124" s="190"/>
      <c r="L124" s="133"/>
      <c r="M124" s="133"/>
      <c r="N124" s="133"/>
      <c r="O124" s="127"/>
      <c r="P124" s="190"/>
      <c r="Q124" s="133"/>
      <c r="R124" s="191"/>
      <c r="S124" s="133"/>
      <c r="T124" s="191"/>
      <c r="U124" s="192"/>
      <c r="V124" s="191"/>
      <c r="W124" s="192"/>
      <c r="X124" s="334"/>
      <c r="Y124" s="192"/>
      <c r="Z124" s="392">
        <f t="shared" si="5"/>
        <v>0</v>
      </c>
      <c r="AA124" s="393">
        <f t="shared" si="6"/>
        <v>0</v>
      </c>
      <c r="AB124" s="191"/>
      <c r="AC124" s="192"/>
      <c r="AD124" s="191"/>
      <c r="AE124" s="192"/>
      <c r="AF124" s="192"/>
      <c r="AG124" s="192"/>
      <c r="AH124" s="396">
        <f t="shared" si="7"/>
        <v>0</v>
      </c>
      <c r="AI124" s="64" t="str">
        <f>IF('Sch2a-Imp Price by ECM'!C125="Yes", 0, 'Sch2a-Imp Price by ECM'!L125)</f>
        <v/>
      </c>
      <c r="AJ124" s="225" t="str">
        <f>IF('Sch2a-Imp Price by ECM'!C125="Yes",0, IF(AI124="","",AI124/AH124))</f>
        <v/>
      </c>
      <c r="AK124" s="1" t="str">
        <f>IF('Sch2a-Imp Price by ECM'!M125="","",'Sch2a-Imp Price by ECM'!M125)</f>
        <v/>
      </c>
    </row>
    <row r="125" spans="1:37" ht="16.5" thickBot="1">
      <c r="A125" s="40" t="str">
        <f>IF('Sch2a-Imp Price by ECM'!B126="","",'Sch2a-Imp Price by ECM'!B126)</f>
        <v/>
      </c>
      <c r="B125" s="76" t="str">
        <f>IF('Sch2a-Imp Price by ECM'!D126="","",'Sch2a-Imp Price by ECM'!D126)</f>
        <v/>
      </c>
      <c r="C125" s="197" t="str">
        <f>IF('Sch2a-Imp Price by ECM'!G126="","",'Sch2a-Imp Price by ECM'!G126)</f>
        <v/>
      </c>
      <c r="D125" s="132"/>
      <c r="E125" s="190"/>
      <c r="F125" s="190"/>
      <c r="G125" s="190"/>
      <c r="H125" s="190"/>
      <c r="I125" s="134"/>
      <c r="J125" s="190"/>
      <c r="K125" s="190"/>
      <c r="L125" s="133"/>
      <c r="M125" s="133"/>
      <c r="N125" s="133"/>
      <c r="O125" s="127"/>
      <c r="P125" s="190"/>
      <c r="Q125" s="133"/>
      <c r="R125" s="191"/>
      <c r="S125" s="133"/>
      <c r="T125" s="191"/>
      <c r="U125" s="192"/>
      <c r="V125" s="191"/>
      <c r="W125" s="192"/>
      <c r="X125" s="334"/>
      <c r="Y125" s="192"/>
      <c r="Z125" s="392">
        <f t="shared" si="5"/>
        <v>0</v>
      </c>
      <c r="AA125" s="393">
        <f t="shared" si="6"/>
        <v>0</v>
      </c>
      <c r="AB125" s="191"/>
      <c r="AC125" s="192"/>
      <c r="AD125" s="191"/>
      <c r="AE125" s="192"/>
      <c r="AF125" s="192"/>
      <c r="AG125" s="192"/>
      <c r="AH125" s="396">
        <f t="shared" si="7"/>
        <v>0</v>
      </c>
      <c r="AI125" s="64" t="str">
        <f>IF('Sch2a-Imp Price by ECM'!C126="Yes", 0, 'Sch2a-Imp Price by ECM'!L126)</f>
        <v/>
      </c>
      <c r="AJ125" s="225" t="str">
        <f>IF('Sch2a-Imp Price by ECM'!C126="Yes",0, IF(AI125="","",AI125/AH125))</f>
        <v/>
      </c>
      <c r="AK125" s="1" t="str">
        <f>IF('Sch2a-Imp Price by ECM'!M126="","",'Sch2a-Imp Price by ECM'!M126)</f>
        <v/>
      </c>
    </row>
    <row r="126" spans="1:37" ht="16.5" thickBot="1">
      <c r="A126" s="40" t="str">
        <f>IF('Sch2a-Imp Price by ECM'!B127="","",'Sch2a-Imp Price by ECM'!B127)</f>
        <v/>
      </c>
      <c r="B126" s="76" t="str">
        <f>IF('Sch2a-Imp Price by ECM'!D127="","",'Sch2a-Imp Price by ECM'!D127)</f>
        <v/>
      </c>
      <c r="C126" s="197" t="str">
        <f>IF('Sch2a-Imp Price by ECM'!G127="","",'Sch2a-Imp Price by ECM'!G127)</f>
        <v/>
      </c>
      <c r="D126" s="132"/>
      <c r="E126" s="190"/>
      <c r="F126" s="190"/>
      <c r="G126" s="190"/>
      <c r="H126" s="190"/>
      <c r="I126" s="134"/>
      <c r="J126" s="190"/>
      <c r="K126" s="190"/>
      <c r="L126" s="133"/>
      <c r="M126" s="133"/>
      <c r="N126" s="133"/>
      <c r="O126" s="127"/>
      <c r="P126" s="190"/>
      <c r="Q126" s="133"/>
      <c r="R126" s="191"/>
      <c r="S126" s="133"/>
      <c r="T126" s="191"/>
      <c r="U126" s="192"/>
      <c r="V126" s="191"/>
      <c r="W126" s="192"/>
      <c r="X126" s="334"/>
      <c r="Y126" s="192"/>
      <c r="Z126" s="392">
        <f t="shared" si="5"/>
        <v>0</v>
      </c>
      <c r="AA126" s="393">
        <f t="shared" si="6"/>
        <v>0</v>
      </c>
      <c r="AB126" s="191"/>
      <c r="AC126" s="192"/>
      <c r="AD126" s="191"/>
      <c r="AE126" s="192"/>
      <c r="AF126" s="192"/>
      <c r="AG126" s="192"/>
      <c r="AH126" s="396">
        <f t="shared" si="7"/>
        <v>0</v>
      </c>
      <c r="AI126" s="64" t="str">
        <f>IF('Sch2a-Imp Price by ECM'!C127="Yes", 0, 'Sch2a-Imp Price by ECM'!L127)</f>
        <v/>
      </c>
      <c r="AJ126" s="225" t="str">
        <f>IF('Sch2a-Imp Price by ECM'!C127="Yes",0, IF(AI126="","",AI126/AH126))</f>
        <v/>
      </c>
      <c r="AK126" s="1" t="str">
        <f>IF('Sch2a-Imp Price by ECM'!M127="","",'Sch2a-Imp Price by ECM'!M127)</f>
        <v/>
      </c>
    </row>
    <row r="127" spans="1:37" ht="16.5" thickBot="1">
      <c r="A127" s="40" t="str">
        <f>IF('Sch2a-Imp Price by ECM'!B128="","",'Sch2a-Imp Price by ECM'!B128)</f>
        <v/>
      </c>
      <c r="B127" s="76" t="str">
        <f>IF('Sch2a-Imp Price by ECM'!D128="","",'Sch2a-Imp Price by ECM'!D128)</f>
        <v/>
      </c>
      <c r="C127" s="197" t="str">
        <f>IF('Sch2a-Imp Price by ECM'!G128="","",'Sch2a-Imp Price by ECM'!G128)</f>
        <v/>
      </c>
      <c r="D127" s="132"/>
      <c r="E127" s="190"/>
      <c r="F127" s="190"/>
      <c r="G127" s="190"/>
      <c r="H127" s="190"/>
      <c r="I127" s="134"/>
      <c r="J127" s="190"/>
      <c r="K127" s="190"/>
      <c r="L127" s="133"/>
      <c r="M127" s="133"/>
      <c r="N127" s="133"/>
      <c r="O127" s="127"/>
      <c r="P127" s="190"/>
      <c r="Q127" s="133"/>
      <c r="R127" s="191"/>
      <c r="S127" s="133"/>
      <c r="T127" s="191"/>
      <c r="U127" s="192"/>
      <c r="V127" s="191"/>
      <c r="W127" s="192"/>
      <c r="X127" s="334"/>
      <c r="Y127" s="192"/>
      <c r="Z127" s="392">
        <f t="shared" si="5"/>
        <v>0</v>
      </c>
      <c r="AA127" s="393">
        <f t="shared" si="6"/>
        <v>0</v>
      </c>
      <c r="AB127" s="191"/>
      <c r="AC127" s="192"/>
      <c r="AD127" s="191"/>
      <c r="AE127" s="192"/>
      <c r="AF127" s="192"/>
      <c r="AG127" s="192"/>
      <c r="AH127" s="396">
        <f t="shared" si="7"/>
        <v>0</v>
      </c>
      <c r="AI127" s="64" t="str">
        <f>IF('Sch2a-Imp Price by ECM'!C128="Yes", 0, 'Sch2a-Imp Price by ECM'!L128)</f>
        <v/>
      </c>
      <c r="AJ127" s="225" t="str">
        <f>IF('Sch2a-Imp Price by ECM'!C128="Yes",0, IF(AI127="","",AI127/AH127))</f>
        <v/>
      </c>
      <c r="AK127" s="1" t="str">
        <f>IF('Sch2a-Imp Price by ECM'!M128="","",'Sch2a-Imp Price by ECM'!M128)</f>
        <v/>
      </c>
    </row>
    <row r="128" spans="1:37" ht="16.5" thickBot="1">
      <c r="A128" s="40" t="str">
        <f>IF('Sch2a-Imp Price by ECM'!B129="","",'Sch2a-Imp Price by ECM'!B129)</f>
        <v/>
      </c>
      <c r="B128" s="76" t="str">
        <f>IF('Sch2a-Imp Price by ECM'!D129="","",'Sch2a-Imp Price by ECM'!D129)</f>
        <v/>
      </c>
      <c r="C128" s="197" t="str">
        <f>IF('Sch2a-Imp Price by ECM'!G129="","",'Sch2a-Imp Price by ECM'!G129)</f>
        <v/>
      </c>
      <c r="D128" s="132"/>
      <c r="E128" s="190"/>
      <c r="F128" s="190"/>
      <c r="G128" s="190"/>
      <c r="H128" s="190"/>
      <c r="I128" s="134"/>
      <c r="J128" s="190"/>
      <c r="K128" s="190"/>
      <c r="L128" s="133"/>
      <c r="M128" s="133"/>
      <c r="N128" s="133"/>
      <c r="O128" s="127"/>
      <c r="P128" s="190"/>
      <c r="Q128" s="133"/>
      <c r="R128" s="191"/>
      <c r="S128" s="133"/>
      <c r="T128" s="191"/>
      <c r="U128" s="192"/>
      <c r="V128" s="191"/>
      <c r="W128" s="192"/>
      <c r="X128" s="334"/>
      <c r="Y128" s="192"/>
      <c r="Z128" s="392">
        <f t="shared" si="5"/>
        <v>0</v>
      </c>
      <c r="AA128" s="393">
        <f t="shared" si="6"/>
        <v>0</v>
      </c>
      <c r="AB128" s="191"/>
      <c r="AC128" s="192"/>
      <c r="AD128" s="191"/>
      <c r="AE128" s="192"/>
      <c r="AF128" s="192"/>
      <c r="AG128" s="192"/>
      <c r="AH128" s="396">
        <f t="shared" si="7"/>
        <v>0</v>
      </c>
      <c r="AI128" s="64" t="str">
        <f>IF('Sch2a-Imp Price by ECM'!C129="Yes", 0, 'Sch2a-Imp Price by ECM'!L129)</f>
        <v/>
      </c>
      <c r="AJ128" s="225" t="str">
        <f>IF('Sch2a-Imp Price by ECM'!C129="Yes",0, IF(AI128="","",AI128/AH128))</f>
        <v/>
      </c>
      <c r="AK128" s="1" t="str">
        <f>IF('Sch2a-Imp Price by ECM'!M129="","",'Sch2a-Imp Price by ECM'!M129)</f>
        <v/>
      </c>
    </row>
    <row r="129" spans="1:37" ht="16.5" thickBot="1">
      <c r="A129" s="40" t="str">
        <f>IF('Sch2a-Imp Price by ECM'!B130="","",'Sch2a-Imp Price by ECM'!B130)</f>
        <v/>
      </c>
      <c r="B129" s="76" t="str">
        <f>IF('Sch2a-Imp Price by ECM'!D130="","",'Sch2a-Imp Price by ECM'!D130)</f>
        <v/>
      </c>
      <c r="C129" s="197" t="str">
        <f>IF('Sch2a-Imp Price by ECM'!G130="","",'Sch2a-Imp Price by ECM'!G130)</f>
        <v/>
      </c>
      <c r="D129" s="132"/>
      <c r="E129" s="190"/>
      <c r="F129" s="190"/>
      <c r="G129" s="190"/>
      <c r="H129" s="190"/>
      <c r="I129" s="134"/>
      <c r="J129" s="190"/>
      <c r="K129" s="190"/>
      <c r="L129" s="133"/>
      <c r="M129" s="133"/>
      <c r="N129" s="133"/>
      <c r="O129" s="127"/>
      <c r="P129" s="190"/>
      <c r="Q129" s="133"/>
      <c r="R129" s="191"/>
      <c r="S129" s="133"/>
      <c r="T129" s="191"/>
      <c r="U129" s="192"/>
      <c r="V129" s="191"/>
      <c r="W129" s="192"/>
      <c r="X129" s="334"/>
      <c r="Y129" s="192"/>
      <c r="Z129" s="392">
        <f t="shared" si="5"/>
        <v>0</v>
      </c>
      <c r="AA129" s="393">
        <f t="shared" si="6"/>
        <v>0</v>
      </c>
      <c r="AB129" s="191"/>
      <c r="AC129" s="192"/>
      <c r="AD129" s="191"/>
      <c r="AE129" s="192"/>
      <c r="AF129" s="192"/>
      <c r="AG129" s="192"/>
      <c r="AH129" s="396">
        <f t="shared" si="7"/>
        <v>0</v>
      </c>
      <c r="AI129" s="64" t="str">
        <f>IF('Sch2a-Imp Price by ECM'!C130="Yes", 0, 'Sch2a-Imp Price by ECM'!L130)</f>
        <v/>
      </c>
      <c r="AJ129" s="225" t="str">
        <f>IF('Sch2a-Imp Price by ECM'!C130="Yes",0, IF(AI129="","",AI129/AH129))</f>
        <v/>
      </c>
      <c r="AK129" s="1" t="str">
        <f>IF('Sch2a-Imp Price by ECM'!M130="","",'Sch2a-Imp Price by ECM'!M130)</f>
        <v/>
      </c>
    </row>
    <row r="130" spans="1:37" ht="16.5" thickBot="1">
      <c r="A130" s="40" t="str">
        <f>IF('Sch2a-Imp Price by ECM'!B131="","",'Sch2a-Imp Price by ECM'!B131)</f>
        <v/>
      </c>
      <c r="B130" s="76" t="str">
        <f>IF('Sch2a-Imp Price by ECM'!D131="","",'Sch2a-Imp Price by ECM'!D131)</f>
        <v/>
      </c>
      <c r="C130" s="197" t="str">
        <f>IF('Sch2a-Imp Price by ECM'!G131="","",'Sch2a-Imp Price by ECM'!G131)</f>
        <v/>
      </c>
      <c r="D130" s="132"/>
      <c r="E130" s="190"/>
      <c r="F130" s="190"/>
      <c r="G130" s="190"/>
      <c r="H130" s="190"/>
      <c r="I130" s="134"/>
      <c r="J130" s="190"/>
      <c r="K130" s="190"/>
      <c r="L130" s="133"/>
      <c r="M130" s="133"/>
      <c r="N130" s="133"/>
      <c r="O130" s="127"/>
      <c r="P130" s="190"/>
      <c r="Q130" s="133"/>
      <c r="R130" s="191"/>
      <c r="S130" s="133"/>
      <c r="T130" s="191"/>
      <c r="U130" s="192"/>
      <c r="V130" s="191"/>
      <c r="W130" s="192"/>
      <c r="X130" s="334"/>
      <c r="Y130" s="192"/>
      <c r="Z130" s="392">
        <f t="shared" si="5"/>
        <v>0</v>
      </c>
      <c r="AA130" s="393">
        <f t="shared" si="6"/>
        <v>0</v>
      </c>
      <c r="AB130" s="191"/>
      <c r="AC130" s="192"/>
      <c r="AD130" s="191"/>
      <c r="AE130" s="192"/>
      <c r="AF130" s="192"/>
      <c r="AG130" s="192"/>
      <c r="AH130" s="396">
        <f t="shared" si="7"/>
        <v>0</v>
      </c>
      <c r="AI130" s="64" t="str">
        <f>IF('Sch2a-Imp Price by ECM'!C131="Yes", 0, 'Sch2a-Imp Price by ECM'!L131)</f>
        <v/>
      </c>
      <c r="AJ130" s="225" t="str">
        <f>IF('Sch2a-Imp Price by ECM'!C131="Yes",0, IF(AI130="","",AI130/AH130))</f>
        <v/>
      </c>
      <c r="AK130" s="1" t="str">
        <f>IF('Sch2a-Imp Price by ECM'!M131="","",'Sch2a-Imp Price by ECM'!M131)</f>
        <v/>
      </c>
    </row>
    <row r="131" spans="1:37" ht="16.5" thickBot="1">
      <c r="A131" s="40" t="str">
        <f>IF('Sch2a-Imp Price by ECM'!B132="","",'Sch2a-Imp Price by ECM'!B132)</f>
        <v/>
      </c>
      <c r="B131" s="76" t="str">
        <f>IF('Sch2a-Imp Price by ECM'!D132="","",'Sch2a-Imp Price by ECM'!D132)</f>
        <v/>
      </c>
      <c r="C131" s="197" t="str">
        <f>IF('Sch2a-Imp Price by ECM'!G132="","",'Sch2a-Imp Price by ECM'!G132)</f>
        <v/>
      </c>
      <c r="D131" s="132"/>
      <c r="E131" s="190"/>
      <c r="F131" s="190"/>
      <c r="G131" s="190"/>
      <c r="H131" s="190"/>
      <c r="I131" s="134"/>
      <c r="J131" s="190"/>
      <c r="K131" s="190"/>
      <c r="L131" s="133"/>
      <c r="M131" s="133"/>
      <c r="N131" s="133"/>
      <c r="O131" s="127"/>
      <c r="P131" s="190"/>
      <c r="Q131" s="133"/>
      <c r="R131" s="191"/>
      <c r="S131" s="133"/>
      <c r="T131" s="191"/>
      <c r="U131" s="192"/>
      <c r="V131" s="191"/>
      <c r="W131" s="192"/>
      <c r="X131" s="334"/>
      <c r="Y131" s="192"/>
      <c r="Z131" s="392">
        <f t="shared" si="5"/>
        <v>0</v>
      </c>
      <c r="AA131" s="393">
        <f t="shared" si="6"/>
        <v>0</v>
      </c>
      <c r="AB131" s="191"/>
      <c r="AC131" s="192"/>
      <c r="AD131" s="191"/>
      <c r="AE131" s="192"/>
      <c r="AF131" s="192"/>
      <c r="AG131" s="192"/>
      <c r="AH131" s="396">
        <f t="shared" si="7"/>
        <v>0</v>
      </c>
      <c r="AI131" s="64" t="str">
        <f>IF('Sch2a-Imp Price by ECM'!C132="Yes", 0, 'Sch2a-Imp Price by ECM'!L132)</f>
        <v/>
      </c>
      <c r="AJ131" s="225" t="str">
        <f>IF('Sch2a-Imp Price by ECM'!C132="Yes",0, IF(AI131="","",AI131/AH131))</f>
        <v/>
      </c>
      <c r="AK131" s="1" t="str">
        <f>IF('Sch2a-Imp Price by ECM'!M132="","",'Sch2a-Imp Price by ECM'!M132)</f>
        <v/>
      </c>
    </row>
    <row r="132" spans="1:37" ht="16.5" thickBot="1">
      <c r="A132" s="40" t="str">
        <f>IF('Sch2a-Imp Price by ECM'!B133="","",'Sch2a-Imp Price by ECM'!B133)</f>
        <v/>
      </c>
      <c r="B132" s="76" t="str">
        <f>IF('Sch2a-Imp Price by ECM'!D133="","",'Sch2a-Imp Price by ECM'!D133)</f>
        <v/>
      </c>
      <c r="C132" s="197" t="str">
        <f>IF('Sch2a-Imp Price by ECM'!G133="","",'Sch2a-Imp Price by ECM'!G133)</f>
        <v/>
      </c>
      <c r="D132" s="132"/>
      <c r="E132" s="190"/>
      <c r="F132" s="190"/>
      <c r="G132" s="190"/>
      <c r="H132" s="190"/>
      <c r="I132" s="134"/>
      <c r="J132" s="190"/>
      <c r="K132" s="190"/>
      <c r="L132" s="133"/>
      <c r="M132" s="133"/>
      <c r="N132" s="133"/>
      <c r="O132" s="127"/>
      <c r="P132" s="190"/>
      <c r="Q132" s="133"/>
      <c r="R132" s="191"/>
      <c r="S132" s="133"/>
      <c r="T132" s="191"/>
      <c r="U132" s="192"/>
      <c r="V132" s="191"/>
      <c r="W132" s="192"/>
      <c r="X132" s="334"/>
      <c r="Y132" s="192"/>
      <c r="Z132" s="392">
        <f t="shared" si="5"/>
        <v>0</v>
      </c>
      <c r="AA132" s="393">
        <f t="shared" si="6"/>
        <v>0</v>
      </c>
      <c r="AB132" s="191"/>
      <c r="AC132" s="192"/>
      <c r="AD132" s="191"/>
      <c r="AE132" s="192"/>
      <c r="AF132" s="192"/>
      <c r="AG132" s="192"/>
      <c r="AH132" s="396">
        <f t="shared" si="7"/>
        <v>0</v>
      </c>
      <c r="AI132" s="64" t="str">
        <f>IF('Sch2a-Imp Price by ECM'!C133="Yes", 0, 'Sch2a-Imp Price by ECM'!L133)</f>
        <v/>
      </c>
      <c r="AJ132" s="225" t="str">
        <f>IF('Sch2a-Imp Price by ECM'!C133="Yes",0, IF(AI132="","",AI132/AH132))</f>
        <v/>
      </c>
      <c r="AK132" s="1" t="str">
        <f>IF('Sch2a-Imp Price by ECM'!M133="","",'Sch2a-Imp Price by ECM'!M133)</f>
        <v/>
      </c>
    </row>
    <row r="133" spans="1:37" ht="16.5" thickBot="1">
      <c r="A133" s="40" t="str">
        <f>IF('Sch2a-Imp Price by ECM'!B134="","",'Sch2a-Imp Price by ECM'!B134)</f>
        <v/>
      </c>
      <c r="B133" s="76" t="str">
        <f>IF('Sch2a-Imp Price by ECM'!D134="","",'Sch2a-Imp Price by ECM'!D134)</f>
        <v/>
      </c>
      <c r="C133" s="197" t="str">
        <f>IF('Sch2a-Imp Price by ECM'!G134="","",'Sch2a-Imp Price by ECM'!G134)</f>
        <v/>
      </c>
      <c r="D133" s="132"/>
      <c r="E133" s="190"/>
      <c r="F133" s="190"/>
      <c r="G133" s="190"/>
      <c r="H133" s="190"/>
      <c r="I133" s="134"/>
      <c r="J133" s="190"/>
      <c r="K133" s="190"/>
      <c r="L133" s="133"/>
      <c r="M133" s="133"/>
      <c r="N133" s="133"/>
      <c r="O133" s="127"/>
      <c r="P133" s="190"/>
      <c r="Q133" s="133"/>
      <c r="R133" s="191"/>
      <c r="S133" s="133"/>
      <c r="T133" s="191"/>
      <c r="U133" s="192"/>
      <c r="V133" s="191"/>
      <c r="W133" s="192"/>
      <c r="X133" s="334"/>
      <c r="Y133" s="192"/>
      <c r="Z133" s="392">
        <f t="shared" si="5"/>
        <v>0</v>
      </c>
      <c r="AA133" s="393">
        <f t="shared" si="6"/>
        <v>0</v>
      </c>
      <c r="AB133" s="191"/>
      <c r="AC133" s="192"/>
      <c r="AD133" s="191"/>
      <c r="AE133" s="192"/>
      <c r="AF133" s="192"/>
      <c r="AG133" s="192"/>
      <c r="AH133" s="396">
        <f t="shared" si="7"/>
        <v>0</v>
      </c>
      <c r="AI133" s="64" t="str">
        <f>IF('Sch2a-Imp Price by ECM'!C134="Yes", 0, 'Sch2a-Imp Price by ECM'!L134)</f>
        <v/>
      </c>
      <c r="AJ133" s="225" t="str">
        <f>IF('Sch2a-Imp Price by ECM'!C134="Yes",0, IF(AI133="","",AI133/AH133))</f>
        <v/>
      </c>
      <c r="AK133" s="1" t="str">
        <f>IF('Sch2a-Imp Price by ECM'!M134="","",'Sch2a-Imp Price by ECM'!M134)</f>
        <v/>
      </c>
    </row>
    <row r="134" spans="1:37" ht="16.5" thickBot="1">
      <c r="A134" s="40" t="str">
        <f>IF('Sch2a-Imp Price by ECM'!B135="","",'Sch2a-Imp Price by ECM'!B135)</f>
        <v/>
      </c>
      <c r="B134" s="76" t="str">
        <f>IF('Sch2a-Imp Price by ECM'!D135="","",'Sch2a-Imp Price by ECM'!D135)</f>
        <v/>
      </c>
      <c r="C134" s="197" t="str">
        <f>IF('Sch2a-Imp Price by ECM'!G135="","",'Sch2a-Imp Price by ECM'!G135)</f>
        <v/>
      </c>
      <c r="D134" s="132"/>
      <c r="E134" s="190"/>
      <c r="F134" s="190"/>
      <c r="G134" s="190"/>
      <c r="H134" s="190"/>
      <c r="I134" s="134"/>
      <c r="J134" s="190"/>
      <c r="K134" s="190"/>
      <c r="L134" s="133"/>
      <c r="M134" s="133"/>
      <c r="N134" s="133"/>
      <c r="O134" s="127"/>
      <c r="P134" s="190"/>
      <c r="Q134" s="133"/>
      <c r="R134" s="191"/>
      <c r="S134" s="133"/>
      <c r="T134" s="191"/>
      <c r="U134" s="192"/>
      <c r="V134" s="191"/>
      <c r="W134" s="192"/>
      <c r="X134" s="334"/>
      <c r="Y134" s="192"/>
      <c r="Z134" s="392">
        <f t="shared" si="5"/>
        <v>0</v>
      </c>
      <c r="AA134" s="393">
        <f t="shared" si="6"/>
        <v>0</v>
      </c>
      <c r="AB134" s="191"/>
      <c r="AC134" s="192"/>
      <c r="AD134" s="191"/>
      <c r="AE134" s="192"/>
      <c r="AF134" s="192"/>
      <c r="AG134" s="192"/>
      <c r="AH134" s="396">
        <f t="shared" si="7"/>
        <v>0</v>
      </c>
      <c r="AI134" s="64" t="str">
        <f>IF('Sch2a-Imp Price by ECM'!C135="Yes", 0, 'Sch2a-Imp Price by ECM'!L135)</f>
        <v/>
      </c>
      <c r="AJ134" s="225" t="str">
        <f>IF('Sch2a-Imp Price by ECM'!C135="Yes",0, IF(AI134="","",AI134/AH134))</f>
        <v/>
      </c>
      <c r="AK134" s="1" t="str">
        <f>IF('Sch2a-Imp Price by ECM'!M135="","",'Sch2a-Imp Price by ECM'!M135)</f>
        <v/>
      </c>
    </row>
    <row r="135" spans="1:37" ht="16.5" thickBot="1">
      <c r="A135" s="40" t="str">
        <f>IF('Sch2a-Imp Price by ECM'!B136="","",'Sch2a-Imp Price by ECM'!B136)</f>
        <v/>
      </c>
      <c r="B135" s="76" t="str">
        <f>IF('Sch2a-Imp Price by ECM'!D136="","",'Sch2a-Imp Price by ECM'!D136)</f>
        <v/>
      </c>
      <c r="C135" s="197" t="str">
        <f>IF('Sch2a-Imp Price by ECM'!G136="","",'Sch2a-Imp Price by ECM'!G136)</f>
        <v/>
      </c>
      <c r="D135" s="132"/>
      <c r="E135" s="190"/>
      <c r="F135" s="190"/>
      <c r="G135" s="190"/>
      <c r="H135" s="190"/>
      <c r="I135" s="134"/>
      <c r="J135" s="190"/>
      <c r="K135" s="190"/>
      <c r="L135" s="133"/>
      <c r="M135" s="133"/>
      <c r="N135" s="133"/>
      <c r="O135" s="134"/>
      <c r="P135" s="190"/>
      <c r="Q135" s="133"/>
      <c r="R135" s="191"/>
      <c r="S135" s="133"/>
      <c r="T135" s="191"/>
      <c r="U135" s="192"/>
      <c r="V135" s="191"/>
      <c r="W135" s="192"/>
      <c r="X135" s="334"/>
      <c r="Y135" s="192"/>
      <c r="Z135" s="392">
        <f t="shared" si="5"/>
        <v>0</v>
      </c>
      <c r="AA135" s="393">
        <f t="shared" si="6"/>
        <v>0</v>
      </c>
      <c r="AB135" s="191"/>
      <c r="AC135" s="192"/>
      <c r="AD135" s="191"/>
      <c r="AE135" s="192"/>
      <c r="AF135" s="192"/>
      <c r="AG135" s="192"/>
      <c r="AH135" s="396">
        <f t="shared" si="7"/>
        <v>0</v>
      </c>
      <c r="AI135" s="64" t="str">
        <f>IF('Sch2a-Imp Price by ECM'!C136="Yes", 0, 'Sch2a-Imp Price by ECM'!L136)</f>
        <v/>
      </c>
      <c r="AJ135" s="225" t="str">
        <f>IF('Sch2a-Imp Price by ECM'!C136="Yes",0, IF(AI135="","",AI135/AH135))</f>
        <v/>
      </c>
      <c r="AK135" s="1" t="str">
        <f>IF('Sch2a-Imp Price by ECM'!M136="","",'Sch2a-Imp Price by ECM'!M136)</f>
        <v/>
      </c>
    </row>
    <row r="136" spans="1:37" ht="16.5" thickBot="1">
      <c r="A136" s="40" t="str">
        <f>IF('Sch2a-Imp Price by ECM'!B137="","",'Sch2a-Imp Price by ECM'!B137)</f>
        <v/>
      </c>
      <c r="B136" s="76" t="str">
        <f>IF('Sch2a-Imp Price by ECM'!D137="","",'Sch2a-Imp Price by ECM'!D137)</f>
        <v/>
      </c>
      <c r="C136" s="197" t="str">
        <f>IF('Sch2a-Imp Price by ECM'!G137="","",'Sch2a-Imp Price by ECM'!G137)</f>
        <v/>
      </c>
      <c r="D136" s="132"/>
      <c r="E136" s="190"/>
      <c r="F136" s="190"/>
      <c r="G136" s="190"/>
      <c r="H136" s="190"/>
      <c r="I136" s="134"/>
      <c r="J136" s="190"/>
      <c r="K136" s="190"/>
      <c r="L136" s="133"/>
      <c r="M136" s="133"/>
      <c r="N136" s="133"/>
      <c r="O136" s="134"/>
      <c r="P136" s="190"/>
      <c r="Q136" s="133"/>
      <c r="R136" s="191"/>
      <c r="S136" s="133"/>
      <c r="T136" s="191"/>
      <c r="U136" s="192"/>
      <c r="V136" s="191"/>
      <c r="W136" s="192"/>
      <c r="X136" s="334"/>
      <c r="Y136" s="192"/>
      <c r="Z136" s="392">
        <f t="shared" si="5"/>
        <v>0</v>
      </c>
      <c r="AA136" s="393">
        <f t="shared" si="6"/>
        <v>0</v>
      </c>
      <c r="AB136" s="191"/>
      <c r="AC136" s="192"/>
      <c r="AD136" s="191"/>
      <c r="AE136" s="192"/>
      <c r="AF136" s="192"/>
      <c r="AG136" s="192"/>
      <c r="AH136" s="396">
        <f t="shared" si="7"/>
        <v>0</v>
      </c>
      <c r="AI136" s="64" t="str">
        <f>IF('Sch2a-Imp Price by ECM'!C137="Yes", 0, 'Sch2a-Imp Price by ECM'!L137)</f>
        <v/>
      </c>
      <c r="AJ136" s="225" t="str">
        <f>IF('Sch2a-Imp Price by ECM'!C137="Yes",0, IF(AI136="","",AI136/AH136))</f>
        <v/>
      </c>
      <c r="AK136" s="1" t="str">
        <f>IF('Sch2a-Imp Price by ECM'!M137="","",'Sch2a-Imp Price by ECM'!M137)</f>
        <v/>
      </c>
    </row>
    <row r="137" spans="1:37" ht="16.5" thickBot="1">
      <c r="A137" s="40" t="str">
        <f>IF('Sch2a-Imp Price by ECM'!B138="","",'Sch2a-Imp Price by ECM'!B138)</f>
        <v/>
      </c>
      <c r="B137" s="76" t="str">
        <f>IF('Sch2a-Imp Price by ECM'!D138="","",'Sch2a-Imp Price by ECM'!D138)</f>
        <v/>
      </c>
      <c r="C137" s="197" t="str">
        <f>IF('Sch2a-Imp Price by ECM'!G138="","",'Sch2a-Imp Price by ECM'!G138)</f>
        <v/>
      </c>
      <c r="D137" s="132"/>
      <c r="E137" s="190"/>
      <c r="F137" s="190"/>
      <c r="G137" s="190"/>
      <c r="H137" s="190"/>
      <c r="I137" s="134"/>
      <c r="J137" s="190"/>
      <c r="K137" s="190"/>
      <c r="L137" s="133"/>
      <c r="M137" s="133"/>
      <c r="N137" s="133"/>
      <c r="O137" s="134"/>
      <c r="P137" s="190"/>
      <c r="Q137" s="133"/>
      <c r="R137" s="191"/>
      <c r="S137" s="133"/>
      <c r="T137" s="191"/>
      <c r="U137" s="192"/>
      <c r="V137" s="191"/>
      <c r="W137" s="192"/>
      <c r="X137" s="334"/>
      <c r="Y137" s="192"/>
      <c r="Z137" s="392">
        <f t="shared" ref="Z137:Z200" si="8">(P137*3412/10^6)+T137+V137+X137</f>
        <v>0</v>
      </c>
      <c r="AA137" s="393">
        <f t="shared" ref="AA137:AA200" si="9">Q137+S137+W137+Y137+U137</f>
        <v>0</v>
      </c>
      <c r="AB137" s="191"/>
      <c r="AC137" s="192"/>
      <c r="AD137" s="191"/>
      <c r="AE137" s="192"/>
      <c r="AF137" s="192"/>
      <c r="AG137" s="192"/>
      <c r="AH137" s="396">
        <f t="shared" ref="AH137:AH200" si="10">AA137+AC137+AE137+AF137+AG137</f>
        <v>0</v>
      </c>
      <c r="AI137" s="64" t="str">
        <f>IF('Sch2a-Imp Price by ECM'!C138="Yes", 0, 'Sch2a-Imp Price by ECM'!L138)</f>
        <v/>
      </c>
      <c r="AJ137" s="225" t="str">
        <f>IF('Sch2a-Imp Price by ECM'!C138="Yes",0, IF(AI137="","",AI137/AH137))</f>
        <v/>
      </c>
      <c r="AK137" s="1" t="str">
        <f>IF('Sch2a-Imp Price by ECM'!M138="","",'Sch2a-Imp Price by ECM'!M138)</f>
        <v/>
      </c>
    </row>
    <row r="138" spans="1:37" ht="16.5" thickBot="1">
      <c r="A138" s="40" t="str">
        <f>IF('Sch2a-Imp Price by ECM'!B139="","",'Sch2a-Imp Price by ECM'!B139)</f>
        <v/>
      </c>
      <c r="B138" s="76" t="str">
        <f>IF('Sch2a-Imp Price by ECM'!D139="","",'Sch2a-Imp Price by ECM'!D139)</f>
        <v/>
      </c>
      <c r="C138" s="197" t="str">
        <f>IF('Sch2a-Imp Price by ECM'!G139="","",'Sch2a-Imp Price by ECM'!G139)</f>
        <v/>
      </c>
      <c r="D138" s="132"/>
      <c r="E138" s="190"/>
      <c r="F138" s="190"/>
      <c r="G138" s="190"/>
      <c r="H138" s="190"/>
      <c r="I138" s="134"/>
      <c r="J138" s="190"/>
      <c r="K138" s="190"/>
      <c r="L138" s="133"/>
      <c r="M138" s="133"/>
      <c r="N138" s="133"/>
      <c r="O138" s="134"/>
      <c r="P138" s="190"/>
      <c r="Q138" s="133"/>
      <c r="R138" s="191"/>
      <c r="S138" s="133"/>
      <c r="T138" s="191"/>
      <c r="U138" s="192"/>
      <c r="V138" s="191"/>
      <c r="W138" s="192"/>
      <c r="X138" s="334"/>
      <c r="Y138" s="192"/>
      <c r="Z138" s="392">
        <f t="shared" si="8"/>
        <v>0</v>
      </c>
      <c r="AA138" s="393">
        <f t="shared" si="9"/>
        <v>0</v>
      </c>
      <c r="AB138" s="191"/>
      <c r="AC138" s="192"/>
      <c r="AD138" s="191"/>
      <c r="AE138" s="192"/>
      <c r="AF138" s="192"/>
      <c r="AG138" s="192"/>
      <c r="AH138" s="396">
        <f t="shared" si="10"/>
        <v>0</v>
      </c>
      <c r="AI138" s="64" t="str">
        <f>IF('Sch2a-Imp Price by ECM'!C139="Yes", 0, 'Sch2a-Imp Price by ECM'!L139)</f>
        <v/>
      </c>
      <c r="AJ138" s="225" t="str">
        <f>IF('Sch2a-Imp Price by ECM'!C139="Yes",0, IF(AI138="","",AI138/AH138))</f>
        <v/>
      </c>
      <c r="AK138" s="1" t="str">
        <f>IF('Sch2a-Imp Price by ECM'!M139="","",'Sch2a-Imp Price by ECM'!M139)</f>
        <v/>
      </c>
    </row>
    <row r="139" spans="1:37" ht="18" customHeight="1" thickBot="1">
      <c r="A139" s="40" t="str">
        <f>IF('Sch2a-Imp Price by ECM'!B140="","",'Sch2a-Imp Price by ECM'!B140)</f>
        <v/>
      </c>
      <c r="B139" s="76" t="str">
        <f>IF('Sch2a-Imp Price by ECM'!D140="","",'Sch2a-Imp Price by ECM'!D140)</f>
        <v/>
      </c>
      <c r="C139" s="197" t="str">
        <f>IF('Sch2a-Imp Price by ECM'!G140="","",'Sch2a-Imp Price by ECM'!G140)</f>
        <v/>
      </c>
      <c r="D139" s="132"/>
      <c r="E139" s="190"/>
      <c r="F139" s="190"/>
      <c r="G139" s="190"/>
      <c r="H139" s="190"/>
      <c r="I139" s="134"/>
      <c r="J139" s="190"/>
      <c r="K139" s="190"/>
      <c r="L139" s="133"/>
      <c r="M139" s="133"/>
      <c r="N139" s="133"/>
      <c r="O139" s="134"/>
      <c r="P139" s="190"/>
      <c r="Q139" s="133"/>
      <c r="R139" s="191"/>
      <c r="S139" s="133"/>
      <c r="T139" s="191"/>
      <c r="U139" s="192"/>
      <c r="V139" s="191"/>
      <c r="W139" s="192"/>
      <c r="X139" s="334"/>
      <c r="Y139" s="192"/>
      <c r="Z139" s="392">
        <f t="shared" si="8"/>
        <v>0</v>
      </c>
      <c r="AA139" s="393">
        <f t="shared" si="9"/>
        <v>0</v>
      </c>
      <c r="AB139" s="191"/>
      <c r="AC139" s="192"/>
      <c r="AD139" s="191"/>
      <c r="AE139" s="192"/>
      <c r="AF139" s="192"/>
      <c r="AG139" s="192"/>
      <c r="AH139" s="396">
        <f t="shared" si="10"/>
        <v>0</v>
      </c>
      <c r="AI139" s="64" t="str">
        <f>IF('Sch2a-Imp Price by ECM'!C140="Yes", 0, 'Sch2a-Imp Price by ECM'!L140)</f>
        <v/>
      </c>
      <c r="AJ139" s="225" t="str">
        <f>IF('Sch2a-Imp Price by ECM'!C140="Yes",0, IF(AI139="","",AI139/AH139))</f>
        <v/>
      </c>
      <c r="AK139" s="1" t="str">
        <f>IF('Sch2a-Imp Price by ECM'!M140="","",'Sch2a-Imp Price by ECM'!M140)</f>
        <v/>
      </c>
    </row>
    <row r="140" spans="1:37" ht="16.5" thickBot="1">
      <c r="A140" s="40" t="str">
        <f>IF('Sch2a-Imp Price by ECM'!B141="","",'Sch2a-Imp Price by ECM'!B141)</f>
        <v/>
      </c>
      <c r="B140" s="76" t="str">
        <f>IF('Sch2a-Imp Price by ECM'!D141="","",'Sch2a-Imp Price by ECM'!D141)</f>
        <v/>
      </c>
      <c r="C140" s="197" t="str">
        <f>IF('Sch2a-Imp Price by ECM'!G141="","",'Sch2a-Imp Price by ECM'!G141)</f>
        <v/>
      </c>
      <c r="D140" s="132"/>
      <c r="E140" s="190"/>
      <c r="F140" s="190"/>
      <c r="G140" s="190"/>
      <c r="H140" s="190"/>
      <c r="I140" s="134"/>
      <c r="J140" s="190"/>
      <c r="K140" s="190"/>
      <c r="L140" s="133"/>
      <c r="M140" s="133"/>
      <c r="N140" s="133"/>
      <c r="O140" s="134"/>
      <c r="P140" s="190"/>
      <c r="Q140" s="133"/>
      <c r="R140" s="191"/>
      <c r="S140" s="133"/>
      <c r="T140" s="191"/>
      <c r="U140" s="192"/>
      <c r="V140" s="191"/>
      <c r="W140" s="192"/>
      <c r="X140" s="334"/>
      <c r="Y140" s="192"/>
      <c r="Z140" s="392">
        <f t="shared" si="8"/>
        <v>0</v>
      </c>
      <c r="AA140" s="393">
        <f t="shared" si="9"/>
        <v>0</v>
      </c>
      <c r="AB140" s="191"/>
      <c r="AC140" s="192"/>
      <c r="AD140" s="191"/>
      <c r="AE140" s="192"/>
      <c r="AF140" s="192"/>
      <c r="AG140" s="192"/>
      <c r="AH140" s="396">
        <f t="shared" si="10"/>
        <v>0</v>
      </c>
      <c r="AI140" s="64" t="str">
        <f>IF('Sch2a-Imp Price by ECM'!C141="Yes", 0, 'Sch2a-Imp Price by ECM'!L141)</f>
        <v/>
      </c>
      <c r="AJ140" s="225" t="str">
        <f>IF('Sch2a-Imp Price by ECM'!C141="Yes",0, IF(AI140="","",AI140/AH140))</f>
        <v/>
      </c>
      <c r="AK140" s="1" t="str">
        <f>IF('Sch2a-Imp Price by ECM'!M141="","",'Sch2a-Imp Price by ECM'!M141)</f>
        <v/>
      </c>
    </row>
    <row r="141" spans="1:37" ht="16.5" thickBot="1">
      <c r="A141" s="40" t="str">
        <f>IF('Sch2a-Imp Price by ECM'!B142="","",'Sch2a-Imp Price by ECM'!B142)</f>
        <v/>
      </c>
      <c r="B141" s="76" t="str">
        <f>IF('Sch2a-Imp Price by ECM'!D142="","",'Sch2a-Imp Price by ECM'!D142)</f>
        <v/>
      </c>
      <c r="C141" s="197" t="str">
        <f>IF('Sch2a-Imp Price by ECM'!G142="","",'Sch2a-Imp Price by ECM'!G142)</f>
        <v/>
      </c>
      <c r="D141" s="132"/>
      <c r="E141" s="190"/>
      <c r="F141" s="190"/>
      <c r="G141" s="190"/>
      <c r="H141" s="190"/>
      <c r="I141" s="134"/>
      <c r="J141" s="190"/>
      <c r="K141" s="190"/>
      <c r="L141" s="133"/>
      <c r="M141" s="133"/>
      <c r="N141" s="133"/>
      <c r="O141" s="134"/>
      <c r="P141" s="190"/>
      <c r="Q141" s="133"/>
      <c r="R141" s="191"/>
      <c r="S141" s="133"/>
      <c r="T141" s="191"/>
      <c r="U141" s="192"/>
      <c r="V141" s="191"/>
      <c r="W141" s="192"/>
      <c r="X141" s="334"/>
      <c r="Y141" s="192"/>
      <c r="Z141" s="392">
        <f t="shared" si="8"/>
        <v>0</v>
      </c>
      <c r="AA141" s="393">
        <f t="shared" si="9"/>
        <v>0</v>
      </c>
      <c r="AB141" s="191"/>
      <c r="AC141" s="192"/>
      <c r="AD141" s="191"/>
      <c r="AE141" s="192"/>
      <c r="AF141" s="192"/>
      <c r="AG141" s="192"/>
      <c r="AH141" s="396">
        <f t="shared" si="10"/>
        <v>0</v>
      </c>
      <c r="AI141" s="64" t="str">
        <f>IF('Sch2a-Imp Price by ECM'!C142="Yes", 0, 'Sch2a-Imp Price by ECM'!L142)</f>
        <v/>
      </c>
      <c r="AJ141" s="225" t="str">
        <f>IF('Sch2a-Imp Price by ECM'!C142="Yes",0, IF(AI141="","",AI141/AH141))</f>
        <v/>
      </c>
      <c r="AK141" s="1" t="str">
        <f>IF('Sch2a-Imp Price by ECM'!M142="","",'Sch2a-Imp Price by ECM'!M142)</f>
        <v/>
      </c>
    </row>
    <row r="142" spans="1:37" ht="16.5" thickBot="1">
      <c r="A142" s="40" t="str">
        <f>IF('Sch2a-Imp Price by ECM'!B143="","",'Sch2a-Imp Price by ECM'!B143)</f>
        <v/>
      </c>
      <c r="B142" s="76" t="str">
        <f>IF('Sch2a-Imp Price by ECM'!D143="","",'Sch2a-Imp Price by ECM'!D143)</f>
        <v/>
      </c>
      <c r="C142" s="197" t="str">
        <f>IF('Sch2a-Imp Price by ECM'!G143="","",'Sch2a-Imp Price by ECM'!G143)</f>
        <v/>
      </c>
      <c r="D142" s="132"/>
      <c r="E142" s="190"/>
      <c r="F142" s="190"/>
      <c r="G142" s="190"/>
      <c r="H142" s="190"/>
      <c r="I142" s="134"/>
      <c r="J142" s="190"/>
      <c r="K142" s="190"/>
      <c r="L142" s="133"/>
      <c r="M142" s="133"/>
      <c r="N142" s="133"/>
      <c r="O142" s="127"/>
      <c r="P142" s="190"/>
      <c r="Q142" s="133"/>
      <c r="R142" s="191"/>
      <c r="S142" s="133"/>
      <c r="T142" s="191"/>
      <c r="U142" s="192"/>
      <c r="V142" s="191"/>
      <c r="W142" s="192"/>
      <c r="X142" s="334"/>
      <c r="Y142" s="192"/>
      <c r="Z142" s="392">
        <f t="shared" si="8"/>
        <v>0</v>
      </c>
      <c r="AA142" s="393">
        <f t="shared" si="9"/>
        <v>0</v>
      </c>
      <c r="AB142" s="191"/>
      <c r="AC142" s="192"/>
      <c r="AD142" s="191"/>
      <c r="AE142" s="192"/>
      <c r="AF142" s="192"/>
      <c r="AG142" s="192"/>
      <c r="AH142" s="396">
        <f t="shared" si="10"/>
        <v>0</v>
      </c>
      <c r="AI142" s="64" t="str">
        <f>IF('Sch2a-Imp Price by ECM'!C143="Yes", 0, 'Sch2a-Imp Price by ECM'!L143)</f>
        <v/>
      </c>
      <c r="AJ142" s="225" t="str">
        <f>IF('Sch2a-Imp Price by ECM'!C143="Yes",0, IF(AI142="","",AI142/AH142))</f>
        <v/>
      </c>
      <c r="AK142" s="1" t="str">
        <f>IF('Sch2a-Imp Price by ECM'!M143="","",'Sch2a-Imp Price by ECM'!M143)</f>
        <v/>
      </c>
    </row>
    <row r="143" spans="1:37" ht="16.5" thickBot="1">
      <c r="A143" s="40" t="str">
        <f>IF('Sch2a-Imp Price by ECM'!B144="","",'Sch2a-Imp Price by ECM'!B144)</f>
        <v/>
      </c>
      <c r="B143" s="76" t="str">
        <f>IF('Sch2a-Imp Price by ECM'!D144="","",'Sch2a-Imp Price by ECM'!D144)</f>
        <v/>
      </c>
      <c r="C143" s="197" t="str">
        <f>IF('Sch2a-Imp Price by ECM'!G144="","",'Sch2a-Imp Price by ECM'!G144)</f>
        <v/>
      </c>
      <c r="D143" s="132"/>
      <c r="E143" s="190"/>
      <c r="F143" s="190"/>
      <c r="G143" s="190"/>
      <c r="H143" s="190"/>
      <c r="I143" s="134"/>
      <c r="J143" s="190"/>
      <c r="K143" s="190"/>
      <c r="L143" s="133"/>
      <c r="M143" s="133"/>
      <c r="N143" s="133"/>
      <c r="O143" s="127"/>
      <c r="P143" s="190"/>
      <c r="Q143" s="133"/>
      <c r="R143" s="191"/>
      <c r="S143" s="133"/>
      <c r="T143" s="191"/>
      <c r="U143" s="192"/>
      <c r="V143" s="191"/>
      <c r="W143" s="192"/>
      <c r="X143" s="334"/>
      <c r="Y143" s="192"/>
      <c r="Z143" s="392">
        <f t="shared" si="8"/>
        <v>0</v>
      </c>
      <c r="AA143" s="393">
        <f t="shared" si="9"/>
        <v>0</v>
      </c>
      <c r="AB143" s="191"/>
      <c r="AC143" s="192"/>
      <c r="AD143" s="191"/>
      <c r="AE143" s="192"/>
      <c r="AF143" s="192"/>
      <c r="AG143" s="192"/>
      <c r="AH143" s="396">
        <f t="shared" si="10"/>
        <v>0</v>
      </c>
      <c r="AI143" s="64" t="str">
        <f>IF('Sch2a-Imp Price by ECM'!C144="Yes", 0, 'Sch2a-Imp Price by ECM'!L144)</f>
        <v/>
      </c>
      <c r="AJ143" s="225" t="str">
        <f>IF('Sch2a-Imp Price by ECM'!C144="Yes",0, IF(AI143="","",AI143/AH143))</f>
        <v/>
      </c>
      <c r="AK143" s="1" t="str">
        <f>IF('Sch2a-Imp Price by ECM'!M144="","",'Sch2a-Imp Price by ECM'!M144)</f>
        <v/>
      </c>
    </row>
    <row r="144" spans="1:37" ht="16.5" thickBot="1">
      <c r="A144" s="40" t="str">
        <f>IF('Sch2a-Imp Price by ECM'!B145="","",'Sch2a-Imp Price by ECM'!B145)</f>
        <v/>
      </c>
      <c r="B144" s="76" t="str">
        <f>IF('Sch2a-Imp Price by ECM'!D145="","",'Sch2a-Imp Price by ECM'!D145)</f>
        <v/>
      </c>
      <c r="C144" s="197" t="str">
        <f>IF('Sch2a-Imp Price by ECM'!G145="","",'Sch2a-Imp Price by ECM'!G145)</f>
        <v/>
      </c>
      <c r="D144" s="132"/>
      <c r="E144" s="190"/>
      <c r="F144" s="190"/>
      <c r="G144" s="190"/>
      <c r="H144" s="190"/>
      <c r="I144" s="134"/>
      <c r="J144" s="190"/>
      <c r="K144" s="190"/>
      <c r="L144" s="133"/>
      <c r="M144" s="133"/>
      <c r="N144" s="133"/>
      <c r="O144" s="127"/>
      <c r="P144" s="190"/>
      <c r="Q144" s="133"/>
      <c r="R144" s="191"/>
      <c r="S144" s="133"/>
      <c r="T144" s="191"/>
      <c r="U144" s="192"/>
      <c r="V144" s="191"/>
      <c r="W144" s="192"/>
      <c r="X144" s="334"/>
      <c r="Y144" s="192"/>
      <c r="Z144" s="392">
        <f t="shared" si="8"/>
        <v>0</v>
      </c>
      <c r="AA144" s="393">
        <f t="shared" si="9"/>
        <v>0</v>
      </c>
      <c r="AB144" s="191"/>
      <c r="AC144" s="192"/>
      <c r="AD144" s="191"/>
      <c r="AE144" s="192"/>
      <c r="AF144" s="192"/>
      <c r="AG144" s="192"/>
      <c r="AH144" s="396">
        <f t="shared" si="10"/>
        <v>0</v>
      </c>
      <c r="AI144" s="64" t="str">
        <f>IF('Sch2a-Imp Price by ECM'!C145="Yes", 0, 'Sch2a-Imp Price by ECM'!L145)</f>
        <v/>
      </c>
      <c r="AJ144" s="225" t="str">
        <f>IF('Sch2a-Imp Price by ECM'!C145="Yes",0, IF(AI144="","",AI144/AH144))</f>
        <v/>
      </c>
      <c r="AK144" s="1" t="str">
        <f>IF('Sch2a-Imp Price by ECM'!M145="","",'Sch2a-Imp Price by ECM'!M145)</f>
        <v/>
      </c>
    </row>
    <row r="145" spans="1:37" ht="16.5" thickBot="1">
      <c r="A145" s="40" t="str">
        <f>IF('Sch2a-Imp Price by ECM'!B146="","",'Sch2a-Imp Price by ECM'!B146)</f>
        <v/>
      </c>
      <c r="B145" s="76" t="str">
        <f>IF('Sch2a-Imp Price by ECM'!D146="","",'Sch2a-Imp Price by ECM'!D146)</f>
        <v/>
      </c>
      <c r="C145" s="197" t="str">
        <f>IF('Sch2a-Imp Price by ECM'!G146="","",'Sch2a-Imp Price by ECM'!G146)</f>
        <v/>
      </c>
      <c r="D145" s="132"/>
      <c r="E145" s="190"/>
      <c r="F145" s="190"/>
      <c r="G145" s="190"/>
      <c r="H145" s="190"/>
      <c r="I145" s="134"/>
      <c r="J145" s="190"/>
      <c r="K145" s="190"/>
      <c r="L145" s="133"/>
      <c r="M145" s="133"/>
      <c r="N145" s="133"/>
      <c r="O145" s="127"/>
      <c r="P145" s="190"/>
      <c r="Q145" s="133"/>
      <c r="R145" s="191"/>
      <c r="S145" s="133"/>
      <c r="T145" s="191"/>
      <c r="U145" s="192"/>
      <c r="V145" s="191"/>
      <c r="W145" s="192"/>
      <c r="X145" s="334"/>
      <c r="Y145" s="192"/>
      <c r="Z145" s="392">
        <f t="shared" si="8"/>
        <v>0</v>
      </c>
      <c r="AA145" s="393">
        <f t="shared" si="9"/>
        <v>0</v>
      </c>
      <c r="AB145" s="191"/>
      <c r="AC145" s="192"/>
      <c r="AD145" s="191"/>
      <c r="AE145" s="192"/>
      <c r="AF145" s="192"/>
      <c r="AG145" s="192"/>
      <c r="AH145" s="396">
        <f t="shared" si="10"/>
        <v>0</v>
      </c>
      <c r="AI145" s="64" t="str">
        <f>IF('Sch2a-Imp Price by ECM'!C146="Yes", 0, 'Sch2a-Imp Price by ECM'!L146)</f>
        <v/>
      </c>
      <c r="AJ145" s="225" t="str">
        <f>IF('Sch2a-Imp Price by ECM'!C146="Yes",0, IF(AI145="","",AI145/AH145))</f>
        <v/>
      </c>
      <c r="AK145" s="1" t="str">
        <f>IF('Sch2a-Imp Price by ECM'!M146="","",'Sch2a-Imp Price by ECM'!M146)</f>
        <v/>
      </c>
    </row>
    <row r="146" spans="1:37" ht="16.5" thickBot="1">
      <c r="A146" s="40" t="str">
        <f>IF('Sch2a-Imp Price by ECM'!B147="","",'Sch2a-Imp Price by ECM'!B147)</f>
        <v/>
      </c>
      <c r="B146" s="76" t="str">
        <f>IF('Sch2a-Imp Price by ECM'!D147="","",'Sch2a-Imp Price by ECM'!D147)</f>
        <v/>
      </c>
      <c r="C146" s="197" t="str">
        <f>IF('Sch2a-Imp Price by ECM'!G147="","",'Sch2a-Imp Price by ECM'!G147)</f>
        <v/>
      </c>
      <c r="D146" s="132"/>
      <c r="E146" s="190"/>
      <c r="F146" s="190"/>
      <c r="G146" s="190"/>
      <c r="H146" s="190"/>
      <c r="I146" s="134"/>
      <c r="J146" s="190"/>
      <c r="K146" s="190"/>
      <c r="L146" s="133"/>
      <c r="M146" s="133"/>
      <c r="N146" s="133"/>
      <c r="O146" s="127"/>
      <c r="P146" s="190"/>
      <c r="Q146" s="133"/>
      <c r="R146" s="191"/>
      <c r="S146" s="133"/>
      <c r="T146" s="191"/>
      <c r="U146" s="192"/>
      <c r="V146" s="191"/>
      <c r="W146" s="192"/>
      <c r="X146" s="334"/>
      <c r="Y146" s="192"/>
      <c r="Z146" s="392">
        <f t="shared" si="8"/>
        <v>0</v>
      </c>
      <c r="AA146" s="393">
        <f t="shared" si="9"/>
        <v>0</v>
      </c>
      <c r="AB146" s="191"/>
      <c r="AC146" s="192"/>
      <c r="AD146" s="191"/>
      <c r="AE146" s="192"/>
      <c r="AF146" s="192"/>
      <c r="AG146" s="192"/>
      <c r="AH146" s="396">
        <f t="shared" si="10"/>
        <v>0</v>
      </c>
      <c r="AI146" s="64" t="str">
        <f>IF('Sch2a-Imp Price by ECM'!C147="Yes", 0, 'Sch2a-Imp Price by ECM'!L147)</f>
        <v/>
      </c>
      <c r="AJ146" s="225" t="str">
        <f>IF('Sch2a-Imp Price by ECM'!C147="Yes",0, IF(AI146="","",AI146/AH146))</f>
        <v/>
      </c>
      <c r="AK146" s="1" t="str">
        <f>IF('Sch2a-Imp Price by ECM'!M147="","",'Sch2a-Imp Price by ECM'!M147)</f>
        <v/>
      </c>
    </row>
    <row r="147" spans="1:37" ht="16.5" thickBot="1">
      <c r="A147" s="40" t="str">
        <f>IF('Sch2a-Imp Price by ECM'!B148="","",'Sch2a-Imp Price by ECM'!B148)</f>
        <v/>
      </c>
      <c r="B147" s="76" t="str">
        <f>IF('Sch2a-Imp Price by ECM'!D148="","",'Sch2a-Imp Price by ECM'!D148)</f>
        <v/>
      </c>
      <c r="C147" s="197" t="str">
        <f>IF('Sch2a-Imp Price by ECM'!G148="","",'Sch2a-Imp Price by ECM'!G148)</f>
        <v/>
      </c>
      <c r="D147" s="132"/>
      <c r="E147" s="190"/>
      <c r="F147" s="190"/>
      <c r="G147" s="190"/>
      <c r="H147" s="190"/>
      <c r="I147" s="134"/>
      <c r="J147" s="190"/>
      <c r="K147" s="190"/>
      <c r="L147" s="133"/>
      <c r="M147" s="133"/>
      <c r="N147" s="133"/>
      <c r="O147" s="127"/>
      <c r="P147" s="190"/>
      <c r="Q147" s="133"/>
      <c r="R147" s="191"/>
      <c r="S147" s="133"/>
      <c r="T147" s="191"/>
      <c r="U147" s="192"/>
      <c r="V147" s="191"/>
      <c r="W147" s="192"/>
      <c r="X147" s="334"/>
      <c r="Y147" s="192"/>
      <c r="Z147" s="392">
        <f t="shared" si="8"/>
        <v>0</v>
      </c>
      <c r="AA147" s="393">
        <f t="shared" si="9"/>
        <v>0</v>
      </c>
      <c r="AB147" s="191"/>
      <c r="AC147" s="192"/>
      <c r="AD147" s="191"/>
      <c r="AE147" s="192"/>
      <c r="AF147" s="192"/>
      <c r="AG147" s="192"/>
      <c r="AH147" s="396">
        <f t="shared" si="10"/>
        <v>0</v>
      </c>
      <c r="AI147" s="64" t="str">
        <f>IF('Sch2a-Imp Price by ECM'!C148="Yes", 0, 'Sch2a-Imp Price by ECM'!L148)</f>
        <v/>
      </c>
      <c r="AJ147" s="225" t="str">
        <f>IF('Sch2a-Imp Price by ECM'!C148="Yes",0, IF(AI147="","",AI147/AH147))</f>
        <v/>
      </c>
      <c r="AK147" s="1" t="str">
        <f>IF('Sch2a-Imp Price by ECM'!M148="","",'Sch2a-Imp Price by ECM'!M148)</f>
        <v/>
      </c>
    </row>
    <row r="148" spans="1:37" ht="16.5" thickBot="1">
      <c r="A148" s="40" t="str">
        <f>IF('Sch2a-Imp Price by ECM'!B149="","",'Sch2a-Imp Price by ECM'!B149)</f>
        <v/>
      </c>
      <c r="B148" s="76" t="str">
        <f>IF('Sch2a-Imp Price by ECM'!D149="","",'Sch2a-Imp Price by ECM'!D149)</f>
        <v/>
      </c>
      <c r="C148" s="197" t="str">
        <f>IF('Sch2a-Imp Price by ECM'!G149="","",'Sch2a-Imp Price by ECM'!G149)</f>
        <v/>
      </c>
      <c r="D148" s="132"/>
      <c r="E148" s="190"/>
      <c r="F148" s="190"/>
      <c r="G148" s="190"/>
      <c r="H148" s="190"/>
      <c r="I148" s="134"/>
      <c r="J148" s="190"/>
      <c r="K148" s="190"/>
      <c r="L148" s="133"/>
      <c r="M148" s="133"/>
      <c r="N148" s="133"/>
      <c r="O148" s="127"/>
      <c r="P148" s="190"/>
      <c r="Q148" s="133"/>
      <c r="R148" s="191"/>
      <c r="S148" s="133"/>
      <c r="T148" s="191"/>
      <c r="U148" s="192"/>
      <c r="V148" s="191"/>
      <c r="W148" s="192"/>
      <c r="X148" s="334"/>
      <c r="Y148" s="192"/>
      <c r="Z148" s="392">
        <f t="shared" si="8"/>
        <v>0</v>
      </c>
      <c r="AA148" s="393">
        <f t="shared" si="9"/>
        <v>0</v>
      </c>
      <c r="AB148" s="191"/>
      <c r="AC148" s="192"/>
      <c r="AD148" s="191"/>
      <c r="AE148" s="192"/>
      <c r="AF148" s="192"/>
      <c r="AG148" s="192"/>
      <c r="AH148" s="396">
        <f t="shared" si="10"/>
        <v>0</v>
      </c>
      <c r="AI148" s="64" t="str">
        <f>IF('Sch2a-Imp Price by ECM'!C149="Yes", 0, 'Sch2a-Imp Price by ECM'!L149)</f>
        <v/>
      </c>
      <c r="AJ148" s="225" t="str">
        <f>IF('Sch2a-Imp Price by ECM'!C149="Yes",0, IF(AI148="","",AI148/AH148))</f>
        <v/>
      </c>
      <c r="AK148" s="1" t="str">
        <f>IF('Sch2a-Imp Price by ECM'!M149="","",'Sch2a-Imp Price by ECM'!M149)</f>
        <v/>
      </c>
    </row>
    <row r="149" spans="1:37" ht="16.5" thickBot="1">
      <c r="A149" s="40" t="str">
        <f>IF('Sch2a-Imp Price by ECM'!B150="","",'Sch2a-Imp Price by ECM'!B150)</f>
        <v/>
      </c>
      <c r="B149" s="76" t="str">
        <f>IF('Sch2a-Imp Price by ECM'!D150="","",'Sch2a-Imp Price by ECM'!D150)</f>
        <v/>
      </c>
      <c r="C149" s="197" t="str">
        <f>IF('Sch2a-Imp Price by ECM'!G150="","",'Sch2a-Imp Price by ECM'!G150)</f>
        <v/>
      </c>
      <c r="D149" s="132"/>
      <c r="E149" s="190"/>
      <c r="F149" s="190"/>
      <c r="G149" s="190"/>
      <c r="H149" s="190"/>
      <c r="I149" s="134"/>
      <c r="J149" s="190"/>
      <c r="K149" s="190"/>
      <c r="L149" s="133"/>
      <c r="M149" s="133"/>
      <c r="N149" s="133"/>
      <c r="O149" s="127"/>
      <c r="P149" s="190"/>
      <c r="Q149" s="133"/>
      <c r="R149" s="191"/>
      <c r="S149" s="133"/>
      <c r="T149" s="191"/>
      <c r="U149" s="192"/>
      <c r="V149" s="191"/>
      <c r="W149" s="192"/>
      <c r="X149" s="334"/>
      <c r="Y149" s="192"/>
      <c r="Z149" s="392">
        <f t="shared" si="8"/>
        <v>0</v>
      </c>
      <c r="AA149" s="393">
        <f t="shared" si="9"/>
        <v>0</v>
      </c>
      <c r="AB149" s="191"/>
      <c r="AC149" s="192"/>
      <c r="AD149" s="191"/>
      <c r="AE149" s="192"/>
      <c r="AF149" s="192"/>
      <c r="AG149" s="192"/>
      <c r="AH149" s="396">
        <f t="shared" si="10"/>
        <v>0</v>
      </c>
      <c r="AI149" s="64" t="str">
        <f>IF('Sch2a-Imp Price by ECM'!C150="Yes", 0, 'Sch2a-Imp Price by ECM'!L150)</f>
        <v/>
      </c>
      <c r="AJ149" s="225" t="str">
        <f>IF('Sch2a-Imp Price by ECM'!C150="Yes",0, IF(AI149="","",AI149/AH149))</f>
        <v/>
      </c>
      <c r="AK149" s="1" t="str">
        <f>IF('Sch2a-Imp Price by ECM'!M150="","",'Sch2a-Imp Price by ECM'!M150)</f>
        <v/>
      </c>
    </row>
    <row r="150" spans="1:37" ht="16.5" thickBot="1">
      <c r="A150" s="40" t="str">
        <f>IF('Sch2a-Imp Price by ECM'!B151="","",'Sch2a-Imp Price by ECM'!B151)</f>
        <v/>
      </c>
      <c r="B150" s="76" t="str">
        <f>IF('Sch2a-Imp Price by ECM'!D151="","",'Sch2a-Imp Price by ECM'!D151)</f>
        <v/>
      </c>
      <c r="C150" s="197" t="str">
        <f>IF('Sch2a-Imp Price by ECM'!G151="","",'Sch2a-Imp Price by ECM'!G151)</f>
        <v/>
      </c>
      <c r="D150" s="132"/>
      <c r="E150" s="190"/>
      <c r="F150" s="190"/>
      <c r="G150" s="190"/>
      <c r="H150" s="190"/>
      <c r="I150" s="134"/>
      <c r="J150" s="190"/>
      <c r="K150" s="190"/>
      <c r="L150" s="133"/>
      <c r="M150" s="133"/>
      <c r="N150" s="133"/>
      <c r="O150" s="127"/>
      <c r="P150" s="190"/>
      <c r="Q150" s="133"/>
      <c r="R150" s="191"/>
      <c r="S150" s="133"/>
      <c r="T150" s="191"/>
      <c r="U150" s="192"/>
      <c r="V150" s="191"/>
      <c r="W150" s="192"/>
      <c r="X150" s="334"/>
      <c r="Y150" s="192"/>
      <c r="Z150" s="392">
        <f t="shared" si="8"/>
        <v>0</v>
      </c>
      <c r="AA150" s="393">
        <f t="shared" si="9"/>
        <v>0</v>
      </c>
      <c r="AB150" s="191"/>
      <c r="AC150" s="192"/>
      <c r="AD150" s="191"/>
      <c r="AE150" s="192"/>
      <c r="AF150" s="192"/>
      <c r="AG150" s="192"/>
      <c r="AH150" s="396">
        <f t="shared" si="10"/>
        <v>0</v>
      </c>
      <c r="AI150" s="64" t="str">
        <f>IF('Sch2a-Imp Price by ECM'!C151="Yes", 0, 'Sch2a-Imp Price by ECM'!L151)</f>
        <v/>
      </c>
      <c r="AJ150" s="225" t="str">
        <f>IF('Sch2a-Imp Price by ECM'!C151="Yes",0, IF(AI150="","",AI150/AH150))</f>
        <v/>
      </c>
      <c r="AK150" s="1" t="str">
        <f>IF('Sch2a-Imp Price by ECM'!M151="","",'Sch2a-Imp Price by ECM'!M151)</f>
        <v/>
      </c>
    </row>
    <row r="151" spans="1:37" ht="16.5" thickBot="1">
      <c r="A151" s="40" t="str">
        <f>IF('Sch2a-Imp Price by ECM'!B152="","",'Sch2a-Imp Price by ECM'!B152)</f>
        <v/>
      </c>
      <c r="B151" s="76" t="str">
        <f>IF('Sch2a-Imp Price by ECM'!D152="","",'Sch2a-Imp Price by ECM'!D152)</f>
        <v/>
      </c>
      <c r="C151" s="197" t="str">
        <f>IF('Sch2a-Imp Price by ECM'!G152="","",'Sch2a-Imp Price by ECM'!G152)</f>
        <v/>
      </c>
      <c r="D151" s="132"/>
      <c r="E151" s="190"/>
      <c r="F151" s="190"/>
      <c r="G151" s="190"/>
      <c r="H151" s="190"/>
      <c r="I151" s="134"/>
      <c r="J151" s="190"/>
      <c r="K151" s="190"/>
      <c r="L151" s="133"/>
      <c r="M151" s="133"/>
      <c r="N151" s="133"/>
      <c r="O151" s="127"/>
      <c r="P151" s="190"/>
      <c r="Q151" s="133"/>
      <c r="R151" s="191"/>
      <c r="S151" s="133"/>
      <c r="T151" s="191"/>
      <c r="U151" s="192"/>
      <c r="V151" s="191"/>
      <c r="W151" s="192"/>
      <c r="X151" s="334"/>
      <c r="Y151" s="192"/>
      <c r="Z151" s="392">
        <f t="shared" si="8"/>
        <v>0</v>
      </c>
      <c r="AA151" s="393">
        <f t="shared" si="9"/>
        <v>0</v>
      </c>
      <c r="AB151" s="191"/>
      <c r="AC151" s="192"/>
      <c r="AD151" s="191"/>
      <c r="AE151" s="192"/>
      <c r="AF151" s="192"/>
      <c r="AG151" s="192"/>
      <c r="AH151" s="396">
        <f t="shared" si="10"/>
        <v>0</v>
      </c>
      <c r="AI151" s="64" t="str">
        <f>IF('Sch2a-Imp Price by ECM'!C152="Yes", 0, 'Sch2a-Imp Price by ECM'!L152)</f>
        <v/>
      </c>
      <c r="AJ151" s="225" t="str">
        <f>IF('Sch2a-Imp Price by ECM'!C152="Yes",0, IF(AI151="","",AI151/AH151))</f>
        <v/>
      </c>
      <c r="AK151" s="1" t="str">
        <f>IF('Sch2a-Imp Price by ECM'!M152="","",'Sch2a-Imp Price by ECM'!M152)</f>
        <v/>
      </c>
    </row>
    <row r="152" spans="1:37" ht="16.5" thickBot="1">
      <c r="A152" s="40" t="str">
        <f>IF('Sch2a-Imp Price by ECM'!B153="","",'Sch2a-Imp Price by ECM'!B153)</f>
        <v/>
      </c>
      <c r="B152" s="76" t="str">
        <f>IF('Sch2a-Imp Price by ECM'!D153="","",'Sch2a-Imp Price by ECM'!D153)</f>
        <v/>
      </c>
      <c r="C152" s="197" t="str">
        <f>IF('Sch2a-Imp Price by ECM'!G153="","",'Sch2a-Imp Price by ECM'!G153)</f>
        <v/>
      </c>
      <c r="D152" s="132"/>
      <c r="E152" s="190"/>
      <c r="F152" s="190"/>
      <c r="G152" s="190"/>
      <c r="H152" s="190"/>
      <c r="I152" s="134"/>
      <c r="J152" s="190"/>
      <c r="K152" s="190"/>
      <c r="L152" s="133"/>
      <c r="M152" s="133"/>
      <c r="N152" s="133"/>
      <c r="O152" s="127"/>
      <c r="P152" s="190"/>
      <c r="Q152" s="133"/>
      <c r="R152" s="191"/>
      <c r="S152" s="133"/>
      <c r="T152" s="191"/>
      <c r="U152" s="192"/>
      <c r="V152" s="191"/>
      <c r="W152" s="192"/>
      <c r="X152" s="334"/>
      <c r="Y152" s="192"/>
      <c r="Z152" s="392">
        <f t="shared" si="8"/>
        <v>0</v>
      </c>
      <c r="AA152" s="393">
        <f t="shared" si="9"/>
        <v>0</v>
      </c>
      <c r="AB152" s="191"/>
      <c r="AC152" s="192"/>
      <c r="AD152" s="191"/>
      <c r="AE152" s="192"/>
      <c r="AF152" s="192"/>
      <c r="AG152" s="192"/>
      <c r="AH152" s="396">
        <f t="shared" si="10"/>
        <v>0</v>
      </c>
      <c r="AI152" s="64" t="str">
        <f>IF('Sch2a-Imp Price by ECM'!C153="Yes", 0, 'Sch2a-Imp Price by ECM'!L153)</f>
        <v/>
      </c>
      <c r="AJ152" s="225" t="str">
        <f>IF('Sch2a-Imp Price by ECM'!C153="Yes",0, IF(AI152="","",AI152/AH152))</f>
        <v/>
      </c>
      <c r="AK152" s="1" t="str">
        <f>IF('Sch2a-Imp Price by ECM'!M153="","",'Sch2a-Imp Price by ECM'!M153)</f>
        <v/>
      </c>
    </row>
    <row r="153" spans="1:37" ht="16.5" thickBot="1">
      <c r="A153" s="40" t="str">
        <f>IF('Sch2a-Imp Price by ECM'!B154="","",'Sch2a-Imp Price by ECM'!B154)</f>
        <v/>
      </c>
      <c r="B153" s="76" t="str">
        <f>IF('Sch2a-Imp Price by ECM'!D154="","",'Sch2a-Imp Price by ECM'!D154)</f>
        <v/>
      </c>
      <c r="C153" s="197" t="str">
        <f>IF('Sch2a-Imp Price by ECM'!G154="","",'Sch2a-Imp Price by ECM'!G154)</f>
        <v/>
      </c>
      <c r="D153" s="132"/>
      <c r="E153" s="190"/>
      <c r="F153" s="190"/>
      <c r="G153" s="190"/>
      <c r="H153" s="190"/>
      <c r="I153" s="134"/>
      <c r="J153" s="190"/>
      <c r="K153" s="190"/>
      <c r="L153" s="133"/>
      <c r="M153" s="133"/>
      <c r="N153" s="133"/>
      <c r="O153" s="127"/>
      <c r="P153" s="190"/>
      <c r="Q153" s="133"/>
      <c r="R153" s="191"/>
      <c r="S153" s="133"/>
      <c r="T153" s="191"/>
      <c r="U153" s="192"/>
      <c r="V153" s="191"/>
      <c r="W153" s="192"/>
      <c r="X153" s="334"/>
      <c r="Y153" s="192"/>
      <c r="Z153" s="392">
        <f t="shared" si="8"/>
        <v>0</v>
      </c>
      <c r="AA153" s="393">
        <f t="shared" si="9"/>
        <v>0</v>
      </c>
      <c r="AB153" s="191"/>
      <c r="AC153" s="192"/>
      <c r="AD153" s="191"/>
      <c r="AE153" s="192"/>
      <c r="AF153" s="192"/>
      <c r="AG153" s="192"/>
      <c r="AH153" s="396">
        <f t="shared" si="10"/>
        <v>0</v>
      </c>
      <c r="AI153" s="64" t="str">
        <f>IF('Sch2a-Imp Price by ECM'!C154="Yes", 0, 'Sch2a-Imp Price by ECM'!L154)</f>
        <v/>
      </c>
      <c r="AJ153" s="225" t="str">
        <f>IF('Sch2a-Imp Price by ECM'!C154="Yes",0, IF(AI153="","",AI153/AH153))</f>
        <v/>
      </c>
      <c r="AK153" s="1" t="str">
        <f>IF('Sch2a-Imp Price by ECM'!M154="","",'Sch2a-Imp Price by ECM'!M154)</f>
        <v/>
      </c>
    </row>
    <row r="154" spans="1:37" ht="16.5" thickBot="1">
      <c r="A154" s="40" t="str">
        <f>IF('Sch2a-Imp Price by ECM'!B155="","",'Sch2a-Imp Price by ECM'!B155)</f>
        <v/>
      </c>
      <c r="B154" s="76" t="str">
        <f>IF('Sch2a-Imp Price by ECM'!D155="","",'Sch2a-Imp Price by ECM'!D155)</f>
        <v/>
      </c>
      <c r="C154" s="197" t="str">
        <f>IF('Sch2a-Imp Price by ECM'!G155="","",'Sch2a-Imp Price by ECM'!G155)</f>
        <v/>
      </c>
      <c r="D154" s="132"/>
      <c r="E154" s="190"/>
      <c r="F154" s="190"/>
      <c r="G154" s="190"/>
      <c r="H154" s="190"/>
      <c r="I154" s="134"/>
      <c r="J154" s="190"/>
      <c r="K154" s="190"/>
      <c r="L154" s="133"/>
      <c r="M154" s="133"/>
      <c r="N154" s="133"/>
      <c r="O154" s="127"/>
      <c r="P154" s="190"/>
      <c r="Q154" s="133"/>
      <c r="R154" s="191"/>
      <c r="S154" s="133"/>
      <c r="T154" s="191"/>
      <c r="U154" s="192"/>
      <c r="V154" s="191"/>
      <c r="W154" s="192"/>
      <c r="X154" s="334"/>
      <c r="Y154" s="192"/>
      <c r="Z154" s="392">
        <f t="shared" si="8"/>
        <v>0</v>
      </c>
      <c r="AA154" s="393">
        <f t="shared" si="9"/>
        <v>0</v>
      </c>
      <c r="AB154" s="191"/>
      <c r="AC154" s="192"/>
      <c r="AD154" s="191"/>
      <c r="AE154" s="192"/>
      <c r="AF154" s="192"/>
      <c r="AG154" s="192"/>
      <c r="AH154" s="396">
        <f t="shared" si="10"/>
        <v>0</v>
      </c>
      <c r="AI154" s="64" t="str">
        <f>IF('Sch2a-Imp Price by ECM'!C155="Yes", 0, 'Sch2a-Imp Price by ECM'!L155)</f>
        <v/>
      </c>
      <c r="AJ154" s="225" t="str">
        <f>IF('Sch2a-Imp Price by ECM'!C155="Yes",0, IF(AI154="","",AI154/AH154))</f>
        <v/>
      </c>
      <c r="AK154" s="1" t="str">
        <f>IF('Sch2a-Imp Price by ECM'!M155="","",'Sch2a-Imp Price by ECM'!M155)</f>
        <v/>
      </c>
    </row>
    <row r="155" spans="1:37" ht="16.5" thickBot="1">
      <c r="A155" s="40" t="str">
        <f>IF('Sch2a-Imp Price by ECM'!B156="","",'Sch2a-Imp Price by ECM'!B156)</f>
        <v/>
      </c>
      <c r="B155" s="76" t="str">
        <f>IF('Sch2a-Imp Price by ECM'!D156="","",'Sch2a-Imp Price by ECM'!D156)</f>
        <v/>
      </c>
      <c r="C155" s="197" t="str">
        <f>IF('Sch2a-Imp Price by ECM'!G156="","",'Sch2a-Imp Price by ECM'!G156)</f>
        <v/>
      </c>
      <c r="D155" s="132"/>
      <c r="E155" s="190"/>
      <c r="F155" s="190"/>
      <c r="G155" s="190"/>
      <c r="H155" s="190"/>
      <c r="I155" s="134"/>
      <c r="J155" s="190"/>
      <c r="K155" s="190"/>
      <c r="L155" s="133"/>
      <c r="M155" s="133"/>
      <c r="N155" s="133"/>
      <c r="O155" s="127"/>
      <c r="P155" s="190"/>
      <c r="Q155" s="133"/>
      <c r="R155" s="191"/>
      <c r="S155" s="133"/>
      <c r="T155" s="191"/>
      <c r="U155" s="192"/>
      <c r="V155" s="191"/>
      <c r="W155" s="192"/>
      <c r="X155" s="334"/>
      <c r="Y155" s="192"/>
      <c r="Z155" s="392">
        <f t="shared" si="8"/>
        <v>0</v>
      </c>
      <c r="AA155" s="393">
        <f t="shared" si="9"/>
        <v>0</v>
      </c>
      <c r="AB155" s="191"/>
      <c r="AC155" s="192"/>
      <c r="AD155" s="191"/>
      <c r="AE155" s="192"/>
      <c r="AF155" s="192"/>
      <c r="AG155" s="192"/>
      <c r="AH155" s="396">
        <f t="shared" si="10"/>
        <v>0</v>
      </c>
      <c r="AI155" s="64" t="str">
        <f>IF('Sch2a-Imp Price by ECM'!C156="Yes", 0, 'Sch2a-Imp Price by ECM'!L156)</f>
        <v/>
      </c>
      <c r="AJ155" s="225" t="str">
        <f>IF('Sch2a-Imp Price by ECM'!C156="Yes",0, IF(AI155="","",AI155/AH155))</f>
        <v/>
      </c>
      <c r="AK155" s="1" t="str">
        <f>IF('Sch2a-Imp Price by ECM'!M156="","",'Sch2a-Imp Price by ECM'!M156)</f>
        <v/>
      </c>
    </row>
    <row r="156" spans="1:37" ht="16.5" thickBot="1">
      <c r="A156" s="40" t="str">
        <f>IF('Sch2a-Imp Price by ECM'!B157="","",'Sch2a-Imp Price by ECM'!B157)</f>
        <v/>
      </c>
      <c r="B156" s="76" t="str">
        <f>IF('Sch2a-Imp Price by ECM'!D157="","",'Sch2a-Imp Price by ECM'!D157)</f>
        <v/>
      </c>
      <c r="C156" s="197" t="str">
        <f>IF('Sch2a-Imp Price by ECM'!G157="","",'Sch2a-Imp Price by ECM'!G157)</f>
        <v/>
      </c>
      <c r="D156" s="132"/>
      <c r="E156" s="190"/>
      <c r="F156" s="190"/>
      <c r="G156" s="190"/>
      <c r="H156" s="190"/>
      <c r="I156" s="134"/>
      <c r="J156" s="190"/>
      <c r="K156" s="190"/>
      <c r="L156" s="133"/>
      <c r="M156" s="133"/>
      <c r="N156" s="133"/>
      <c r="O156" s="134"/>
      <c r="P156" s="190"/>
      <c r="Q156" s="133"/>
      <c r="R156" s="191"/>
      <c r="S156" s="133"/>
      <c r="T156" s="191"/>
      <c r="U156" s="192"/>
      <c r="V156" s="191"/>
      <c r="W156" s="192"/>
      <c r="X156" s="334"/>
      <c r="Y156" s="192"/>
      <c r="Z156" s="392">
        <f t="shared" si="8"/>
        <v>0</v>
      </c>
      <c r="AA156" s="393">
        <f t="shared" si="9"/>
        <v>0</v>
      </c>
      <c r="AB156" s="191"/>
      <c r="AC156" s="192"/>
      <c r="AD156" s="191"/>
      <c r="AE156" s="192"/>
      <c r="AF156" s="192"/>
      <c r="AG156" s="192"/>
      <c r="AH156" s="396">
        <f t="shared" si="10"/>
        <v>0</v>
      </c>
      <c r="AI156" s="64" t="str">
        <f>IF('Sch2a-Imp Price by ECM'!C157="Yes", 0, 'Sch2a-Imp Price by ECM'!L157)</f>
        <v/>
      </c>
      <c r="AJ156" s="225" t="str">
        <f>IF('Sch2a-Imp Price by ECM'!C157="Yes",0, IF(AI156="","",AI156/AH156))</f>
        <v/>
      </c>
      <c r="AK156" s="1" t="str">
        <f>IF('Sch2a-Imp Price by ECM'!M157="","",'Sch2a-Imp Price by ECM'!M157)</f>
        <v/>
      </c>
    </row>
    <row r="157" spans="1:37" ht="16.5" thickBot="1">
      <c r="A157" s="40" t="str">
        <f>IF('Sch2a-Imp Price by ECM'!B158="","",'Sch2a-Imp Price by ECM'!B158)</f>
        <v/>
      </c>
      <c r="B157" s="76" t="str">
        <f>IF('Sch2a-Imp Price by ECM'!D158="","",'Sch2a-Imp Price by ECM'!D158)</f>
        <v/>
      </c>
      <c r="C157" s="197" t="str">
        <f>IF('Sch2a-Imp Price by ECM'!G158="","",'Sch2a-Imp Price by ECM'!G158)</f>
        <v/>
      </c>
      <c r="D157" s="132"/>
      <c r="E157" s="190"/>
      <c r="F157" s="190"/>
      <c r="G157" s="190"/>
      <c r="H157" s="190"/>
      <c r="I157" s="134"/>
      <c r="J157" s="190"/>
      <c r="K157" s="190"/>
      <c r="L157" s="133"/>
      <c r="M157" s="133"/>
      <c r="N157" s="133"/>
      <c r="O157" s="134"/>
      <c r="P157" s="190"/>
      <c r="Q157" s="133"/>
      <c r="R157" s="191"/>
      <c r="S157" s="133"/>
      <c r="T157" s="191"/>
      <c r="U157" s="192"/>
      <c r="V157" s="191"/>
      <c r="W157" s="192"/>
      <c r="X157" s="334"/>
      <c r="Y157" s="192"/>
      <c r="Z157" s="392">
        <f t="shared" si="8"/>
        <v>0</v>
      </c>
      <c r="AA157" s="393">
        <f t="shared" si="9"/>
        <v>0</v>
      </c>
      <c r="AB157" s="191"/>
      <c r="AC157" s="192"/>
      <c r="AD157" s="191"/>
      <c r="AE157" s="192"/>
      <c r="AF157" s="192"/>
      <c r="AG157" s="192"/>
      <c r="AH157" s="396">
        <f t="shared" si="10"/>
        <v>0</v>
      </c>
      <c r="AI157" s="64" t="str">
        <f>IF('Sch2a-Imp Price by ECM'!C158="Yes", 0, 'Sch2a-Imp Price by ECM'!L158)</f>
        <v/>
      </c>
      <c r="AJ157" s="225" t="str">
        <f>IF('Sch2a-Imp Price by ECM'!C158="Yes",0, IF(AI157="","",AI157/AH157))</f>
        <v/>
      </c>
      <c r="AK157" s="1" t="str">
        <f>IF('Sch2a-Imp Price by ECM'!M158="","",'Sch2a-Imp Price by ECM'!M158)</f>
        <v/>
      </c>
    </row>
    <row r="158" spans="1:37" ht="16.5" thickBot="1">
      <c r="A158" s="40" t="str">
        <f>IF('Sch2a-Imp Price by ECM'!B159="","",'Sch2a-Imp Price by ECM'!B159)</f>
        <v/>
      </c>
      <c r="B158" s="76" t="str">
        <f>IF('Sch2a-Imp Price by ECM'!D159="","",'Sch2a-Imp Price by ECM'!D159)</f>
        <v/>
      </c>
      <c r="C158" s="197" t="str">
        <f>IF('Sch2a-Imp Price by ECM'!G159="","",'Sch2a-Imp Price by ECM'!G159)</f>
        <v/>
      </c>
      <c r="D158" s="132"/>
      <c r="E158" s="190"/>
      <c r="F158" s="190"/>
      <c r="G158" s="190"/>
      <c r="H158" s="190"/>
      <c r="I158" s="134"/>
      <c r="J158" s="190"/>
      <c r="K158" s="190"/>
      <c r="L158" s="133"/>
      <c r="M158" s="133"/>
      <c r="N158" s="133"/>
      <c r="O158" s="134"/>
      <c r="P158" s="190"/>
      <c r="Q158" s="133"/>
      <c r="R158" s="191"/>
      <c r="S158" s="133"/>
      <c r="T158" s="191"/>
      <c r="U158" s="192"/>
      <c r="V158" s="191"/>
      <c r="W158" s="192"/>
      <c r="X158" s="334"/>
      <c r="Y158" s="192"/>
      <c r="Z158" s="392">
        <f t="shared" si="8"/>
        <v>0</v>
      </c>
      <c r="AA158" s="393">
        <f t="shared" si="9"/>
        <v>0</v>
      </c>
      <c r="AB158" s="191"/>
      <c r="AC158" s="192"/>
      <c r="AD158" s="191"/>
      <c r="AE158" s="192"/>
      <c r="AF158" s="192"/>
      <c r="AG158" s="192"/>
      <c r="AH158" s="396">
        <f t="shared" si="10"/>
        <v>0</v>
      </c>
      <c r="AI158" s="64" t="str">
        <f>IF('Sch2a-Imp Price by ECM'!C159="Yes", 0, 'Sch2a-Imp Price by ECM'!L159)</f>
        <v/>
      </c>
      <c r="AJ158" s="225" t="str">
        <f>IF('Sch2a-Imp Price by ECM'!C159="Yes",0, IF(AI158="","",AI158/AH158))</f>
        <v/>
      </c>
      <c r="AK158" s="1" t="str">
        <f>IF('Sch2a-Imp Price by ECM'!M159="","",'Sch2a-Imp Price by ECM'!M159)</f>
        <v/>
      </c>
    </row>
    <row r="159" spans="1:37" ht="16.5" thickBot="1">
      <c r="A159" s="40" t="str">
        <f>IF('Sch2a-Imp Price by ECM'!B160="","",'Sch2a-Imp Price by ECM'!B160)</f>
        <v/>
      </c>
      <c r="B159" s="76" t="str">
        <f>IF('Sch2a-Imp Price by ECM'!D160="","",'Sch2a-Imp Price by ECM'!D160)</f>
        <v/>
      </c>
      <c r="C159" s="197" t="str">
        <f>IF('Sch2a-Imp Price by ECM'!G160="","",'Sch2a-Imp Price by ECM'!G160)</f>
        <v/>
      </c>
      <c r="D159" s="132"/>
      <c r="E159" s="190"/>
      <c r="F159" s="190"/>
      <c r="G159" s="190"/>
      <c r="H159" s="190"/>
      <c r="I159" s="134"/>
      <c r="J159" s="190"/>
      <c r="K159" s="190"/>
      <c r="L159" s="133"/>
      <c r="M159" s="133"/>
      <c r="N159" s="133"/>
      <c r="O159" s="134"/>
      <c r="P159" s="190"/>
      <c r="Q159" s="133"/>
      <c r="R159" s="191"/>
      <c r="S159" s="133"/>
      <c r="T159" s="191"/>
      <c r="U159" s="192"/>
      <c r="V159" s="191"/>
      <c r="W159" s="192"/>
      <c r="X159" s="334"/>
      <c r="Y159" s="192"/>
      <c r="Z159" s="392">
        <f t="shared" si="8"/>
        <v>0</v>
      </c>
      <c r="AA159" s="393">
        <f t="shared" si="9"/>
        <v>0</v>
      </c>
      <c r="AB159" s="191"/>
      <c r="AC159" s="192"/>
      <c r="AD159" s="191"/>
      <c r="AE159" s="192"/>
      <c r="AF159" s="192"/>
      <c r="AG159" s="192"/>
      <c r="AH159" s="396">
        <f t="shared" si="10"/>
        <v>0</v>
      </c>
      <c r="AI159" s="64" t="str">
        <f>IF('Sch2a-Imp Price by ECM'!C160="Yes", 0, 'Sch2a-Imp Price by ECM'!L160)</f>
        <v/>
      </c>
      <c r="AJ159" s="225" t="str">
        <f>IF('Sch2a-Imp Price by ECM'!C160="Yes",0, IF(AI159="","",AI159/AH159))</f>
        <v/>
      </c>
      <c r="AK159" s="1" t="str">
        <f>IF('Sch2a-Imp Price by ECM'!M160="","",'Sch2a-Imp Price by ECM'!M160)</f>
        <v/>
      </c>
    </row>
    <row r="160" spans="1:37" ht="18" customHeight="1" thickBot="1">
      <c r="A160" s="40" t="str">
        <f>IF('Sch2a-Imp Price by ECM'!B161="","",'Sch2a-Imp Price by ECM'!B161)</f>
        <v/>
      </c>
      <c r="B160" s="76" t="str">
        <f>IF('Sch2a-Imp Price by ECM'!D161="","",'Sch2a-Imp Price by ECM'!D161)</f>
        <v/>
      </c>
      <c r="C160" s="197" t="str">
        <f>IF('Sch2a-Imp Price by ECM'!G161="","",'Sch2a-Imp Price by ECM'!G161)</f>
        <v/>
      </c>
      <c r="D160" s="132"/>
      <c r="E160" s="190"/>
      <c r="F160" s="190"/>
      <c r="G160" s="190"/>
      <c r="H160" s="190"/>
      <c r="I160" s="134"/>
      <c r="J160" s="190"/>
      <c r="K160" s="190"/>
      <c r="L160" s="133"/>
      <c r="M160" s="133"/>
      <c r="N160" s="133"/>
      <c r="O160" s="134"/>
      <c r="P160" s="190"/>
      <c r="Q160" s="133"/>
      <c r="R160" s="191"/>
      <c r="S160" s="133"/>
      <c r="T160" s="191"/>
      <c r="U160" s="192"/>
      <c r="V160" s="191"/>
      <c r="W160" s="192"/>
      <c r="X160" s="334"/>
      <c r="Y160" s="192"/>
      <c r="Z160" s="392">
        <f t="shared" si="8"/>
        <v>0</v>
      </c>
      <c r="AA160" s="393">
        <f t="shared" si="9"/>
        <v>0</v>
      </c>
      <c r="AB160" s="191"/>
      <c r="AC160" s="192"/>
      <c r="AD160" s="191"/>
      <c r="AE160" s="192"/>
      <c r="AF160" s="192"/>
      <c r="AG160" s="192"/>
      <c r="AH160" s="396">
        <f t="shared" si="10"/>
        <v>0</v>
      </c>
      <c r="AI160" s="64" t="str">
        <f>IF('Sch2a-Imp Price by ECM'!C161="Yes", 0, 'Sch2a-Imp Price by ECM'!L161)</f>
        <v/>
      </c>
      <c r="AJ160" s="225" t="str">
        <f>IF('Sch2a-Imp Price by ECM'!C161="Yes",0, IF(AI160="","",AI160/AH160))</f>
        <v/>
      </c>
      <c r="AK160" s="1" t="str">
        <f>IF('Sch2a-Imp Price by ECM'!M161="","",'Sch2a-Imp Price by ECM'!M161)</f>
        <v/>
      </c>
    </row>
    <row r="161" spans="1:37" ht="16.5" thickBot="1">
      <c r="A161" s="40" t="str">
        <f>IF('Sch2a-Imp Price by ECM'!B162="","",'Sch2a-Imp Price by ECM'!B162)</f>
        <v/>
      </c>
      <c r="B161" s="76" t="str">
        <f>IF('Sch2a-Imp Price by ECM'!D162="","",'Sch2a-Imp Price by ECM'!D162)</f>
        <v/>
      </c>
      <c r="C161" s="197" t="str">
        <f>IF('Sch2a-Imp Price by ECM'!G162="","",'Sch2a-Imp Price by ECM'!G162)</f>
        <v/>
      </c>
      <c r="D161" s="132"/>
      <c r="E161" s="190"/>
      <c r="F161" s="190"/>
      <c r="G161" s="190"/>
      <c r="H161" s="190"/>
      <c r="I161" s="134"/>
      <c r="J161" s="190"/>
      <c r="K161" s="190"/>
      <c r="L161" s="133"/>
      <c r="M161" s="133"/>
      <c r="N161" s="133"/>
      <c r="O161" s="134"/>
      <c r="P161" s="190"/>
      <c r="Q161" s="133"/>
      <c r="R161" s="191"/>
      <c r="S161" s="133"/>
      <c r="T161" s="191"/>
      <c r="U161" s="192"/>
      <c r="V161" s="191"/>
      <c r="W161" s="192"/>
      <c r="X161" s="334"/>
      <c r="Y161" s="192"/>
      <c r="Z161" s="392">
        <f t="shared" si="8"/>
        <v>0</v>
      </c>
      <c r="AA161" s="393">
        <f t="shared" si="9"/>
        <v>0</v>
      </c>
      <c r="AB161" s="191"/>
      <c r="AC161" s="192"/>
      <c r="AD161" s="191"/>
      <c r="AE161" s="192"/>
      <c r="AF161" s="192"/>
      <c r="AG161" s="192"/>
      <c r="AH161" s="396">
        <f t="shared" si="10"/>
        <v>0</v>
      </c>
      <c r="AI161" s="64" t="str">
        <f>IF('Sch2a-Imp Price by ECM'!C162="Yes", 0, 'Sch2a-Imp Price by ECM'!L162)</f>
        <v/>
      </c>
      <c r="AJ161" s="225" t="str">
        <f>IF('Sch2a-Imp Price by ECM'!C162="Yes",0, IF(AI161="","",AI161/AH161))</f>
        <v/>
      </c>
      <c r="AK161" s="1" t="str">
        <f>IF('Sch2a-Imp Price by ECM'!M162="","",'Sch2a-Imp Price by ECM'!M162)</f>
        <v/>
      </c>
    </row>
    <row r="162" spans="1:37" ht="16.5" thickBot="1">
      <c r="A162" s="40" t="str">
        <f>IF('Sch2a-Imp Price by ECM'!B163="","",'Sch2a-Imp Price by ECM'!B163)</f>
        <v/>
      </c>
      <c r="B162" s="76" t="str">
        <f>IF('Sch2a-Imp Price by ECM'!D163="","",'Sch2a-Imp Price by ECM'!D163)</f>
        <v/>
      </c>
      <c r="C162" s="197" t="str">
        <f>IF('Sch2a-Imp Price by ECM'!G163="","",'Sch2a-Imp Price by ECM'!G163)</f>
        <v/>
      </c>
      <c r="D162" s="132"/>
      <c r="E162" s="190"/>
      <c r="F162" s="190"/>
      <c r="G162" s="190"/>
      <c r="H162" s="190"/>
      <c r="I162" s="134"/>
      <c r="J162" s="190"/>
      <c r="K162" s="190"/>
      <c r="L162" s="133"/>
      <c r="M162" s="133"/>
      <c r="N162" s="133"/>
      <c r="O162" s="134"/>
      <c r="P162" s="190"/>
      <c r="Q162" s="133"/>
      <c r="R162" s="191"/>
      <c r="S162" s="133"/>
      <c r="T162" s="191"/>
      <c r="U162" s="192"/>
      <c r="V162" s="191"/>
      <c r="W162" s="192"/>
      <c r="X162" s="334"/>
      <c r="Y162" s="192"/>
      <c r="Z162" s="392">
        <f t="shared" si="8"/>
        <v>0</v>
      </c>
      <c r="AA162" s="393">
        <f t="shared" si="9"/>
        <v>0</v>
      </c>
      <c r="AB162" s="191"/>
      <c r="AC162" s="192"/>
      <c r="AD162" s="191"/>
      <c r="AE162" s="192"/>
      <c r="AF162" s="192"/>
      <c r="AG162" s="192"/>
      <c r="AH162" s="396">
        <f t="shared" si="10"/>
        <v>0</v>
      </c>
      <c r="AI162" s="64" t="str">
        <f>IF('Sch2a-Imp Price by ECM'!C163="Yes", 0, 'Sch2a-Imp Price by ECM'!L163)</f>
        <v/>
      </c>
      <c r="AJ162" s="225" t="str">
        <f>IF('Sch2a-Imp Price by ECM'!C163="Yes",0, IF(AI162="","",AI162/AH162))</f>
        <v/>
      </c>
      <c r="AK162" s="1" t="str">
        <f>IF('Sch2a-Imp Price by ECM'!M163="","",'Sch2a-Imp Price by ECM'!M163)</f>
        <v/>
      </c>
    </row>
    <row r="163" spans="1:37" ht="16.5" thickBot="1">
      <c r="A163" s="40" t="str">
        <f>IF('Sch2a-Imp Price by ECM'!B164="","",'Sch2a-Imp Price by ECM'!B164)</f>
        <v/>
      </c>
      <c r="B163" s="76" t="str">
        <f>IF('Sch2a-Imp Price by ECM'!D164="","",'Sch2a-Imp Price by ECM'!D164)</f>
        <v/>
      </c>
      <c r="C163" s="197" t="str">
        <f>IF('Sch2a-Imp Price by ECM'!G164="","",'Sch2a-Imp Price by ECM'!G164)</f>
        <v/>
      </c>
      <c r="D163" s="132"/>
      <c r="E163" s="190"/>
      <c r="F163" s="190"/>
      <c r="G163" s="190"/>
      <c r="H163" s="190"/>
      <c r="I163" s="134"/>
      <c r="J163" s="190"/>
      <c r="K163" s="190"/>
      <c r="L163" s="133"/>
      <c r="M163" s="133"/>
      <c r="N163" s="133"/>
      <c r="O163" s="127"/>
      <c r="P163" s="190"/>
      <c r="Q163" s="133"/>
      <c r="R163" s="191"/>
      <c r="S163" s="133"/>
      <c r="T163" s="191"/>
      <c r="U163" s="192"/>
      <c r="V163" s="191"/>
      <c r="W163" s="192"/>
      <c r="X163" s="334"/>
      <c r="Y163" s="192"/>
      <c r="Z163" s="392">
        <f t="shared" si="8"/>
        <v>0</v>
      </c>
      <c r="AA163" s="393">
        <f t="shared" si="9"/>
        <v>0</v>
      </c>
      <c r="AB163" s="191"/>
      <c r="AC163" s="192"/>
      <c r="AD163" s="191"/>
      <c r="AE163" s="192"/>
      <c r="AF163" s="192"/>
      <c r="AG163" s="192"/>
      <c r="AH163" s="396">
        <f t="shared" si="10"/>
        <v>0</v>
      </c>
      <c r="AI163" s="64" t="str">
        <f>IF('Sch2a-Imp Price by ECM'!C164="Yes", 0, 'Sch2a-Imp Price by ECM'!L164)</f>
        <v/>
      </c>
      <c r="AJ163" s="225" t="str">
        <f>IF('Sch2a-Imp Price by ECM'!C164="Yes",0, IF(AI163="","",AI163/AH163))</f>
        <v/>
      </c>
      <c r="AK163" s="1" t="str">
        <f>IF('Sch2a-Imp Price by ECM'!M164="","",'Sch2a-Imp Price by ECM'!M164)</f>
        <v/>
      </c>
    </row>
    <row r="164" spans="1:37" ht="16.5" thickBot="1">
      <c r="A164" s="40" t="str">
        <f>IF('Sch2a-Imp Price by ECM'!B165="","",'Sch2a-Imp Price by ECM'!B165)</f>
        <v/>
      </c>
      <c r="B164" s="76" t="str">
        <f>IF('Sch2a-Imp Price by ECM'!D165="","",'Sch2a-Imp Price by ECM'!D165)</f>
        <v/>
      </c>
      <c r="C164" s="197" t="str">
        <f>IF('Sch2a-Imp Price by ECM'!G165="","",'Sch2a-Imp Price by ECM'!G165)</f>
        <v/>
      </c>
      <c r="D164" s="132"/>
      <c r="E164" s="190"/>
      <c r="F164" s="190"/>
      <c r="G164" s="190"/>
      <c r="H164" s="190"/>
      <c r="I164" s="134"/>
      <c r="J164" s="190"/>
      <c r="K164" s="190"/>
      <c r="L164" s="133"/>
      <c r="M164" s="133"/>
      <c r="N164" s="133"/>
      <c r="O164" s="127"/>
      <c r="P164" s="190"/>
      <c r="Q164" s="133"/>
      <c r="R164" s="191"/>
      <c r="S164" s="133"/>
      <c r="T164" s="191"/>
      <c r="U164" s="192"/>
      <c r="V164" s="191"/>
      <c r="W164" s="192"/>
      <c r="X164" s="334"/>
      <c r="Y164" s="192"/>
      <c r="Z164" s="392">
        <f t="shared" si="8"/>
        <v>0</v>
      </c>
      <c r="AA164" s="393">
        <f t="shared" si="9"/>
        <v>0</v>
      </c>
      <c r="AB164" s="191"/>
      <c r="AC164" s="192"/>
      <c r="AD164" s="191"/>
      <c r="AE164" s="192"/>
      <c r="AF164" s="192"/>
      <c r="AG164" s="192"/>
      <c r="AH164" s="396">
        <f t="shared" si="10"/>
        <v>0</v>
      </c>
      <c r="AI164" s="64" t="str">
        <f>IF('Sch2a-Imp Price by ECM'!C165="Yes", 0, 'Sch2a-Imp Price by ECM'!L165)</f>
        <v/>
      </c>
      <c r="AJ164" s="225" t="str">
        <f>IF('Sch2a-Imp Price by ECM'!C165="Yes",0, IF(AI164="","",AI164/AH164))</f>
        <v/>
      </c>
      <c r="AK164" s="1" t="str">
        <f>IF('Sch2a-Imp Price by ECM'!M165="","",'Sch2a-Imp Price by ECM'!M165)</f>
        <v/>
      </c>
    </row>
    <row r="165" spans="1:37" ht="16.5" thickBot="1">
      <c r="A165" s="40" t="str">
        <f>IF('Sch2a-Imp Price by ECM'!B166="","",'Sch2a-Imp Price by ECM'!B166)</f>
        <v/>
      </c>
      <c r="B165" s="76" t="str">
        <f>IF('Sch2a-Imp Price by ECM'!D166="","",'Sch2a-Imp Price by ECM'!D166)</f>
        <v/>
      </c>
      <c r="C165" s="197" t="str">
        <f>IF('Sch2a-Imp Price by ECM'!G166="","",'Sch2a-Imp Price by ECM'!G166)</f>
        <v/>
      </c>
      <c r="D165" s="132"/>
      <c r="E165" s="190"/>
      <c r="F165" s="190"/>
      <c r="G165" s="190"/>
      <c r="H165" s="190"/>
      <c r="I165" s="134"/>
      <c r="J165" s="190"/>
      <c r="K165" s="190"/>
      <c r="L165" s="133"/>
      <c r="M165" s="133"/>
      <c r="N165" s="133"/>
      <c r="O165" s="127"/>
      <c r="P165" s="190"/>
      <c r="Q165" s="133"/>
      <c r="R165" s="191"/>
      <c r="S165" s="133"/>
      <c r="T165" s="191"/>
      <c r="U165" s="192"/>
      <c r="V165" s="191"/>
      <c r="W165" s="192"/>
      <c r="X165" s="334"/>
      <c r="Y165" s="192"/>
      <c r="Z165" s="392">
        <f t="shared" si="8"/>
        <v>0</v>
      </c>
      <c r="AA165" s="393">
        <f t="shared" si="9"/>
        <v>0</v>
      </c>
      <c r="AB165" s="191"/>
      <c r="AC165" s="192"/>
      <c r="AD165" s="191"/>
      <c r="AE165" s="192"/>
      <c r="AF165" s="192"/>
      <c r="AG165" s="192"/>
      <c r="AH165" s="396">
        <f t="shared" si="10"/>
        <v>0</v>
      </c>
      <c r="AI165" s="64" t="str">
        <f>IF('Sch2a-Imp Price by ECM'!C166="Yes", 0, 'Sch2a-Imp Price by ECM'!L166)</f>
        <v/>
      </c>
      <c r="AJ165" s="225" t="str">
        <f>IF('Sch2a-Imp Price by ECM'!C166="Yes",0, IF(AI165="","",AI165/AH165))</f>
        <v/>
      </c>
      <c r="AK165" s="1" t="str">
        <f>IF('Sch2a-Imp Price by ECM'!M166="","",'Sch2a-Imp Price by ECM'!M166)</f>
        <v/>
      </c>
    </row>
    <row r="166" spans="1:37" ht="16.5" thickBot="1">
      <c r="A166" s="40" t="str">
        <f>IF('Sch2a-Imp Price by ECM'!B167="","",'Sch2a-Imp Price by ECM'!B167)</f>
        <v/>
      </c>
      <c r="B166" s="76" t="str">
        <f>IF('Sch2a-Imp Price by ECM'!D167="","",'Sch2a-Imp Price by ECM'!D167)</f>
        <v/>
      </c>
      <c r="C166" s="197" t="str">
        <f>IF('Sch2a-Imp Price by ECM'!G167="","",'Sch2a-Imp Price by ECM'!G167)</f>
        <v/>
      </c>
      <c r="D166" s="132"/>
      <c r="E166" s="190"/>
      <c r="F166" s="190"/>
      <c r="G166" s="190"/>
      <c r="H166" s="190"/>
      <c r="I166" s="134"/>
      <c r="J166" s="190"/>
      <c r="K166" s="190"/>
      <c r="L166" s="133"/>
      <c r="M166" s="133"/>
      <c r="N166" s="133"/>
      <c r="O166" s="127"/>
      <c r="P166" s="190"/>
      <c r="Q166" s="133"/>
      <c r="R166" s="191"/>
      <c r="S166" s="133"/>
      <c r="T166" s="191"/>
      <c r="U166" s="192"/>
      <c r="V166" s="191"/>
      <c r="W166" s="192"/>
      <c r="X166" s="334"/>
      <c r="Y166" s="192"/>
      <c r="Z166" s="392">
        <f t="shared" si="8"/>
        <v>0</v>
      </c>
      <c r="AA166" s="393">
        <f t="shared" si="9"/>
        <v>0</v>
      </c>
      <c r="AB166" s="191"/>
      <c r="AC166" s="192"/>
      <c r="AD166" s="191"/>
      <c r="AE166" s="192"/>
      <c r="AF166" s="192"/>
      <c r="AG166" s="192"/>
      <c r="AH166" s="396">
        <f t="shared" si="10"/>
        <v>0</v>
      </c>
      <c r="AI166" s="64" t="str">
        <f>IF('Sch2a-Imp Price by ECM'!C167="Yes", 0, 'Sch2a-Imp Price by ECM'!L167)</f>
        <v/>
      </c>
      <c r="AJ166" s="225" t="str">
        <f>IF('Sch2a-Imp Price by ECM'!C167="Yes",0, IF(AI166="","",AI166/AH166))</f>
        <v/>
      </c>
      <c r="AK166" s="1" t="str">
        <f>IF('Sch2a-Imp Price by ECM'!M167="","",'Sch2a-Imp Price by ECM'!M167)</f>
        <v/>
      </c>
    </row>
    <row r="167" spans="1:37" ht="16.5" thickBot="1">
      <c r="A167" s="40" t="str">
        <f>IF('Sch2a-Imp Price by ECM'!B168="","",'Sch2a-Imp Price by ECM'!B168)</f>
        <v/>
      </c>
      <c r="B167" s="76" t="str">
        <f>IF('Sch2a-Imp Price by ECM'!D168="","",'Sch2a-Imp Price by ECM'!D168)</f>
        <v/>
      </c>
      <c r="C167" s="197" t="str">
        <f>IF('Sch2a-Imp Price by ECM'!G168="","",'Sch2a-Imp Price by ECM'!G168)</f>
        <v/>
      </c>
      <c r="D167" s="132"/>
      <c r="E167" s="190"/>
      <c r="F167" s="190"/>
      <c r="G167" s="190"/>
      <c r="H167" s="190"/>
      <c r="I167" s="134"/>
      <c r="J167" s="190"/>
      <c r="K167" s="190"/>
      <c r="L167" s="133"/>
      <c r="M167" s="133"/>
      <c r="N167" s="133"/>
      <c r="O167" s="127"/>
      <c r="P167" s="190"/>
      <c r="Q167" s="133"/>
      <c r="R167" s="191"/>
      <c r="S167" s="133"/>
      <c r="T167" s="191"/>
      <c r="U167" s="192"/>
      <c r="V167" s="191"/>
      <c r="W167" s="192"/>
      <c r="X167" s="334"/>
      <c r="Y167" s="192"/>
      <c r="Z167" s="392">
        <f t="shared" si="8"/>
        <v>0</v>
      </c>
      <c r="AA167" s="393">
        <f t="shared" si="9"/>
        <v>0</v>
      </c>
      <c r="AB167" s="191"/>
      <c r="AC167" s="192"/>
      <c r="AD167" s="191"/>
      <c r="AE167" s="192"/>
      <c r="AF167" s="192"/>
      <c r="AG167" s="192"/>
      <c r="AH167" s="396">
        <f t="shared" si="10"/>
        <v>0</v>
      </c>
      <c r="AI167" s="64" t="str">
        <f>IF('Sch2a-Imp Price by ECM'!C168="Yes", 0, 'Sch2a-Imp Price by ECM'!L168)</f>
        <v/>
      </c>
      <c r="AJ167" s="225" t="str">
        <f>IF('Sch2a-Imp Price by ECM'!C168="Yes",0, IF(AI167="","",AI167/AH167))</f>
        <v/>
      </c>
      <c r="AK167" s="1" t="str">
        <f>IF('Sch2a-Imp Price by ECM'!M168="","",'Sch2a-Imp Price by ECM'!M168)</f>
        <v/>
      </c>
    </row>
    <row r="168" spans="1:37" ht="16.5" thickBot="1">
      <c r="A168" s="40" t="str">
        <f>IF('Sch2a-Imp Price by ECM'!B169="","",'Sch2a-Imp Price by ECM'!B169)</f>
        <v/>
      </c>
      <c r="B168" s="76" t="str">
        <f>IF('Sch2a-Imp Price by ECM'!D169="","",'Sch2a-Imp Price by ECM'!D169)</f>
        <v/>
      </c>
      <c r="C168" s="197" t="str">
        <f>IF('Sch2a-Imp Price by ECM'!G169="","",'Sch2a-Imp Price by ECM'!G169)</f>
        <v/>
      </c>
      <c r="D168" s="132"/>
      <c r="E168" s="190"/>
      <c r="F168" s="190"/>
      <c r="G168" s="190"/>
      <c r="H168" s="190"/>
      <c r="I168" s="134"/>
      <c r="J168" s="190"/>
      <c r="K168" s="190"/>
      <c r="L168" s="133"/>
      <c r="M168" s="133"/>
      <c r="N168" s="133"/>
      <c r="O168" s="127"/>
      <c r="P168" s="190"/>
      <c r="Q168" s="133"/>
      <c r="R168" s="191"/>
      <c r="S168" s="133"/>
      <c r="T168" s="191"/>
      <c r="U168" s="192"/>
      <c r="V168" s="191"/>
      <c r="W168" s="192"/>
      <c r="X168" s="334"/>
      <c r="Y168" s="192"/>
      <c r="Z168" s="392">
        <f t="shared" si="8"/>
        <v>0</v>
      </c>
      <c r="AA168" s="393">
        <f t="shared" si="9"/>
        <v>0</v>
      </c>
      <c r="AB168" s="191"/>
      <c r="AC168" s="192"/>
      <c r="AD168" s="191"/>
      <c r="AE168" s="192"/>
      <c r="AF168" s="192"/>
      <c r="AG168" s="192"/>
      <c r="AH168" s="396">
        <f t="shared" si="10"/>
        <v>0</v>
      </c>
      <c r="AI168" s="64" t="str">
        <f>IF('Sch2a-Imp Price by ECM'!C169="Yes", 0, 'Sch2a-Imp Price by ECM'!L169)</f>
        <v/>
      </c>
      <c r="AJ168" s="225" t="str">
        <f>IF('Sch2a-Imp Price by ECM'!C169="Yes",0, IF(AI168="","",AI168/AH168))</f>
        <v/>
      </c>
      <c r="AK168" s="1" t="str">
        <f>IF('Sch2a-Imp Price by ECM'!M169="","",'Sch2a-Imp Price by ECM'!M169)</f>
        <v/>
      </c>
    </row>
    <row r="169" spans="1:37" ht="16.5" thickBot="1">
      <c r="A169" s="40" t="str">
        <f>IF('Sch2a-Imp Price by ECM'!B170="","",'Sch2a-Imp Price by ECM'!B170)</f>
        <v/>
      </c>
      <c r="B169" s="76" t="str">
        <f>IF('Sch2a-Imp Price by ECM'!D170="","",'Sch2a-Imp Price by ECM'!D170)</f>
        <v/>
      </c>
      <c r="C169" s="197" t="str">
        <f>IF('Sch2a-Imp Price by ECM'!G170="","",'Sch2a-Imp Price by ECM'!G170)</f>
        <v/>
      </c>
      <c r="D169" s="132"/>
      <c r="E169" s="190"/>
      <c r="F169" s="190"/>
      <c r="G169" s="190"/>
      <c r="H169" s="190"/>
      <c r="I169" s="134"/>
      <c r="J169" s="190"/>
      <c r="K169" s="190"/>
      <c r="L169" s="133"/>
      <c r="M169" s="133"/>
      <c r="N169" s="133"/>
      <c r="O169" s="127"/>
      <c r="P169" s="190"/>
      <c r="Q169" s="133"/>
      <c r="R169" s="191"/>
      <c r="S169" s="133"/>
      <c r="T169" s="191"/>
      <c r="U169" s="192"/>
      <c r="V169" s="191"/>
      <c r="W169" s="192"/>
      <c r="X169" s="334"/>
      <c r="Y169" s="192"/>
      <c r="Z169" s="392">
        <f t="shared" si="8"/>
        <v>0</v>
      </c>
      <c r="AA169" s="393">
        <f t="shared" si="9"/>
        <v>0</v>
      </c>
      <c r="AB169" s="191"/>
      <c r="AC169" s="192"/>
      <c r="AD169" s="191"/>
      <c r="AE169" s="192"/>
      <c r="AF169" s="192"/>
      <c r="AG169" s="192"/>
      <c r="AH169" s="396">
        <f t="shared" si="10"/>
        <v>0</v>
      </c>
      <c r="AI169" s="64" t="str">
        <f>IF('Sch2a-Imp Price by ECM'!C170="Yes", 0, 'Sch2a-Imp Price by ECM'!L170)</f>
        <v/>
      </c>
      <c r="AJ169" s="225" t="str">
        <f>IF('Sch2a-Imp Price by ECM'!C170="Yes",0, IF(AI169="","",AI169/AH169))</f>
        <v/>
      </c>
      <c r="AK169" s="1" t="str">
        <f>IF('Sch2a-Imp Price by ECM'!M170="","",'Sch2a-Imp Price by ECM'!M170)</f>
        <v/>
      </c>
    </row>
    <row r="170" spans="1:37" ht="16.5" thickBot="1">
      <c r="A170" s="40" t="str">
        <f>IF('Sch2a-Imp Price by ECM'!B171="","",'Sch2a-Imp Price by ECM'!B171)</f>
        <v/>
      </c>
      <c r="B170" s="76" t="str">
        <f>IF('Sch2a-Imp Price by ECM'!D171="","",'Sch2a-Imp Price by ECM'!D171)</f>
        <v/>
      </c>
      <c r="C170" s="197" t="str">
        <f>IF('Sch2a-Imp Price by ECM'!G171="","",'Sch2a-Imp Price by ECM'!G171)</f>
        <v/>
      </c>
      <c r="D170" s="132"/>
      <c r="E170" s="190"/>
      <c r="F170" s="190"/>
      <c r="G170" s="190"/>
      <c r="H170" s="190"/>
      <c r="I170" s="134"/>
      <c r="J170" s="190"/>
      <c r="K170" s="190"/>
      <c r="L170" s="133"/>
      <c r="M170" s="133"/>
      <c r="N170" s="133"/>
      <c r="O170" s="127"/>
      <c r="P170" s="190"/>
      <c r="Q170" s="133"/>
      <c r="R170" s="191"/>
      <c r="S170" s="133"/>
      <c r="T170" s="191"/>
      <c r="U170" s="192"/>
      <c r="V170" s="191"/>
      <c r="W170" s="192"/>
      <c r="X170" s="334"/>
      <c r="Y170" s="192"/>
      <c r="Z170" s="392">
        <f t="shared" si="8"/>
        <v>0</v>
      </c>
      <c r="AA170" s="393">
        <f t="shared" si="9"/>
        <v>0</v>
      </c>
      <c r="AB170" s="191"/>
      <c r="AC170" s="192"/>
      <c r="AD170" s="191"/>
      <c r="AE170" s="192"/>
      <c r="AF170" s="192"/>
      <c r="AG170" s="192"/>
      <c r="AH170" s="396">
        <f t="shared" si="10"/>
        <v>0</v>
      </c>
      <c r="AI170" s="64" t="str">
        <f>IF('Sch2a-Imp Price by ECM'!C171="Yes", 0, 'Sch2a-Imp Price by ECM'!L171)</f>
        <v/>
      </c>
      <c r="AJ170" s="225" t="str">
        <f>IF('Sch2a-Imp Price by ECM'!C171="Yes",0, IF(AI170="","",AI170/AH170))</f>
        <v/>
      </c>
      <c r="AK170" s="1" t="str">
        <f>IF('Sch2a-Imp Price by ECM'!M171="","",'Sch2a-Imp Price by ECM'!M171)</f>
        <v/>
      </c>
    </row>
    <row r="171" spans="1:37" ht="16.5" thickBot="1">
      <c r="A171" s="40" t="str">
        <f>IF('Sch2a-Imp Price by ECM'!B172="","",'Sch2a-Imp Price by ECM'!B172)</f>
        <v/>
      </c>
      <c r="B171" s="76" t="str">
        <f>IF('Sch2a-Imp Price by ECM'!D172="","",'Sch2a-Imp Price by ECM'!D172)</f>
        <v/>
      </c>
      <c r="C171" s="197" t="str">
        <f>IF('Sch2a-Imp Price by ECM'!G172="","",'Sch2a-Imp Price by ECM'!G172)</f>
        <v/>
      </c>
      <c r="D171" s="132"/>
      <c r="E171" s="190"/>
      <c r="F171" s="190"/>
      <c r="G171" s="190"/>
      <c r="H171" s="190"/>
      <c r="I171" s="134"/>
      <c r="J171" s="190"/>
      <c r="K171" s="190"/>
      <c r="L171" s="133"/>
      <c r="M171" s="133"/>
      <c r="N171" s="133"/>
      <c r="O171" s="127"/>
      <c r="P171" s="190"/>
      <c r="Q171" s="133"/>
      <c r="R171" s="191"/>
      <c r="S171" s="133"/>
      <c r="T171" s="191"/>
      <c r="U171" s="192"/>
      <c r="V171" s="191"/>
      <c r="W171" s="192"/>
      <c r="X171" s="334"/>
      <c r="Y171" s="192"/>
      <c r="Z171" s="392">
        <f t="shared" si="8"/>
        <v>0</v>
      </c>
      <c r="AA171" s="393">
        <f t="shared" si="9"/>
        <v>0</v>
      </c>
      <c r="AB171" s="191"/>
      <c r="AC171" s="192"/>
      <c r="AD171" s="191"/>
      <c r="AE171" s="192"/>
      <c r="AF171" s="192"/>
      <c r="AG171" s="192"/>
      <c r="AH171" s="396">
        <f t="shared" si="10"/>
        <v>0</v>
      </c>
      <c r="AI171" s="64" t="str">
        <f>IF('Sch2a-Imp Price by ECM'!C172="Yes", 0, 'Sch2a-Imp Price by ECM'!L172)</f>
        <v/>
      </c>
      <c r="AJ171" s="225" t="str">
        <f>IF('Sch2a-Imp Price by ECM'!C172="Yes",0, IF(AI171="","",AI171/AH171))</f>
        <v/>
      </c>
      <c r="AK171" s="1" t="str">
        <f>IF('Sch2a-Imp Price by ECM'!M172="","",'Sch2a-Imp Price by ECM'!M172)</f>
        <v/>
      </c>
    </row>
    <row r="172" spans="1:37" ht="16.5" thickBot="1">
      <c r="A172" s="40" t="str">
        <f>IF('Sch2a-Imp Price by ECM'!B173="","",'Sch2a-Imp Price by ECM'!B173)</f>
        <v/>
      </c>
      <c r="B172" s="76" t="str">
        <f>IF('Sch2a-Imp Price by ECM'!D173="","",'Sch2a-Imp Price by ECM'!D173)</f>
        <v/>
      </c>
      <c r="C172" s="197" t="str">
        <f>IF('Sch2a-Imp Price by ECM'!G173="","",'Sch2a-Imp Price by ECM'!G173)</f>
        <v/>
      </c>
      <c r="D172" s="132"/>
      <c r="E172" s="190"/>
      <c r="F172" s="190"/>
      <c r="G172" s="190"/>
      <c r="H172" s="190"/>
      <c r="I172" s="134"/>
      <c r="J172" s="190"/>
      <c r="K172" s="190"/>
      <c r="L172" s="133"/>
      <c r="M172" s="133"/>
      <c r="N172" s="133"/>
      <c r="O172" s="127"/>
      <c r="P172" s="190"/>
      <c r="Q172" s="133"/>
      <c r="R172" s="191"/>
      <c r="S172" s="133"/>
      <c r="T172" s="191"/>
      <c r="U172" s="192"/>
      <c r="V172" s="191"/>
      <c r="W172" s="192"/>
      <c r="X172" s="334"/>
      <c r="Y172" s="192"/>
      <c r="Z172" s="392">
        <f t="shared" si="8"/>
        <v>0</v>
      </c>
      <c r="AA172" s="393">
        <f t="shared" si="9"/>
        <v>0</v>
      </c>
      <c r="AB172" s="191"/>
      <c r="AC172" s="192"/>
      <c r="AD172" s="191"/>
      <c r="AE172" s="192"/>
      <c r="AF172" s="192"/>
      <c r="AG172" s="192"/>
      <c r="AH172" s="396">
        <f t="shared" si="10"/>
        <v>0</v>
      </c>
      <c r="AI172" s="64" t="str">
        <f>IF('Sch2a-Imp Price by ECM'!C173="Yes", 0, 'Sch2a-Imp Price by ECM'!L173)</f>
        <v/>
      </c>
      <c r="AJ172" s="225" t="str">
        <f>IF('Sch2a-Imp Price by ECM'!C173="Yes",0, IF(AI172="","",AI172/AH172))</f>
        <v/>
      </c>
      <c r="AK172" s="1" t="str">
        <f>IF('Sch2a-Imp Price by ECM'!M173="","",'Sch2a-Imp Price by ECM'!M173)</f>
        <v/>
      </c>
    </row>
    <row r="173" spans="1:37" ht="16.5" thickBot="1">
      <c r="A173" s="40" t="str">
        <f>IF('Sch2a-Imp Price by ECM'!B174="","",'Sch2a-Imp Price by ECM'!B174)</f>
        <v/>
      </c>
      <c r="B173" s="76" t="str">
        <f>IF('Sch2a-Imp Price by ECM'!D174="","",'Sch2a-Imp Price by ECM'!D174)</f>
        <v/>
      </c>
      <c r="C173" s="197" t="str">
        <f>IF('Sch2a-Imp Price by ECM'!G174="","",'Sch2a-Imp Price by ECM'!G174)</f>
        <v/>
      </c>
      <c r="D173" s="132"/>
      <c r="E173" s="190"/>
      <c r="F173" s="190"/>
      <c r="G173" s="190"/>
      <c r="H173" s="190"/>
      <c r="I173" s="134"/>
      <c r="J173" s="190"/>
      <c r="K173" s="190"/>
      <c r="L173" s="133"/>
      <c r="M173" s="133"/>
      <c r="N173" s="133"/>
      <c r="O173" s="127"/>
      <c r="P173" s="190"/>
      <c r="Q173" s="133"/>
      <c r="R173" s="191"/>
      <c r="S173" s="133"/>
      <c r="T173" s="191"/>
      <c r="U173" s="192"/>
      <c r="V173" s="191"/>
      <c r="W173" s="192"/>
      <c r="X173" s="334"/>
      <c r="Y173" s="192"/>
      <c r="Z173" s="392">
        <f t="shared" si="8"/>
        <v>0</v>
      </c>
      <c r="AA173" s="393">
        <f t="shared" si="9"/>
        <v>0</v>
      </c>
      <c r="AB173" s="191"/>
      <c r="AC173" s="192"/>
      <c r="AD173" s="191"/>
      <c r="AE173" s="192"/>
      <c r="AF173" s="192"/>
      <c r="AG173" s="192"/>
      <c r="AH173" s="396">
        <f t="shared" si="10"/>
        <v>0</v>
      </c>
      <c r="AI173" s="64" t="str">
        <f>IF('Sch2a-Imp Price by ECM'!C174="Yes", 0, 'Sch2a-Imp Price by ECM'!L174)</f>
        <v/>
      </c>
      <c r="AJ173" s="225" t="str">
        <f>IF('Sch2a-Imp Price by ECM'!C174="Yes",0, IF(AI173="","",AI173/AH173))</f>
        <v/>
      </c>
      <c r="AK173" s="1" t="str">
        <f>IF('Sch2a-Imp Price by ECM'!M174="","",'Sch2a-Imp Price by ECM'!M174)</f>
        <v/>
      </c>
    </row>
    <row r="174" spans="1:37" ht="16.5" thickBot="1">
      <c r="A174" s="40" t="str">
        <f>IF('Sch2a-Imp Price by ECM'!B175="","",'Sch2a-Imp Price by ECM'!B175)</f>
        <v/>
      </c>
      <c r="B174" s="76" t="str">
        <f>IF('Sch2a-Imp Price by ECM'!D175="","",'Sch2a-Imp Price by ECM'!D175)</f>
        <v/>
      </c>
      <c r="C174" s="197" t="str">
        <f>IF('Sch2a-Imp Price by ECM'!G175="","",'Sch2a-Imp Price by ECM'!G175)</f>
        <v/>
      </c>
      <c r="D174" s="132"/>
      <c r="E174" s="190"/>
      <c r="F174" s="190"/>
      <c r="G174" s="190"/>
      <c r="H174" s="190"/>
      <c r="I174" s="134"/>
      <c r="J174" s="190"/>
      <c r="K174" s="190"/>
      <c r="L174" s="133"/>
      <c r="M174" s="133"/>
      <c r="N174" s="133"/>
      <c r="O174" s="127"/>
      <c r="P174" s="190"/>
      <c r="Q174" s="133"/>
      <c r="R174" s="191"/>
      <c r="S174" s="133"/>
      <c r="T174" s="191"/>
      <c r="U174" s="192"/>
      <c r="V174" s="191"/>
      <c r="W174" s="192"/>
      <c r="X174" s="334"/>
      <c r="Y174" s="192"/>
      <c r="Z174" s="392">
        <f t="shared" si="8"/>
        <v>0</v>
      </c>
      <c r="AA174" s="393">
        <f t="shared" si="9"/>
        <v>0</v>
      </c>
      <c r="AB174" s="191"/>
      <c r="AC174" s="192"/>
      <c r="AD174" s="191"/>
      <c r="AE174" s="192"/>
      <c r="AF174" s="192"/>
      <c r="AG174" s="192"/>
      <c r="AH174" s="396">
        <f t="shared" si="10"/>
        <v>0</v>
      </c>
      <c r="AI174" s="64" t="str">
        <f>IF('Sch2a-Imp Price by ECM'!C175="Yes", 0, 'Sch2a-Imp Price by ECM'!L175)</f>
        <v/>
      </c>
      <c r="AJ174" s="225" t="str">
        <f>IF('Sch2a-Imp Price by ECM'!C175="Yes",0, IF(AI174="","",AI174/AH174))</f>
        <v/>
      </c>
      <c r="AK174" s="1" t="str">
        <f>IF('Sch2a-Imp Price by ECM'!M175="","",'Sch2a-Imp Price by ECM'!M175)</f>
        <v/>
      </c>
    </row>
    <row r="175" spans="1:37" ht="16.5" thickBot="1">
      <c r="A175" s="40" t="str">
        <f>IF('Sch2a-Imp Price by ECM'!B176="","",'Sch2a-Imp Price by ECM'!B176)</f>
        <v/>
      </c>
      <c r="B175" s="76" t="str">
        <f>IF('Sch2a-Imp Price by ECM'!D176="","",'Sch2a-Imp Price by ECM'!D176)</f>
        <v/>
      </c>
      <c r="C175" s="197" t="str">
        <f>IF('Sch2a-Imp Price by ECM'!G176="","",'Sch2a-Imp Price by ECM'!G176)</f>
        <v/>
      </c>
      <c r="D175" s="132"/>
      <c r="E175" s="190"/>
      <c r="F175" s="190"/>
      <c r="G175" s="190"/>
      <c r="H175" s="190"/>
      <c r="I175" s="134"/>
      <c r="J175" s="190"/>
      <c r="K175" s="190"/>
      <c r="L175" s="133"/>
      <c r="M175" s="133"/>
      <c r="N175" s="133"/>
      <c r="O175" s="127"/>
      <c r="P175" s="190"/>
      <c r="Q175" s="133"/>
      <c r="R175" s="191"/>
      <c r="S175" s="133"/>
      <c r="T175" s="191"/>
      <c r="U175" s="192"/>
      <c r="V175" s="191"/>
      <c r="W175" s="192"/>
      <c r="X175" s="334"/>
      <c r="Y175" s="192"/>
      <c r="Z175" s="392">
        <f t="shared" si="8"/>
        <v>0</v>
      </c>
      <c r="AA175" s="393">
        <f t="shared" si="9"/>
        <v>0</v>
      </c>
      <c r="AB175" s="191"/>
      <c r="AC175" s="192"/>
      <c r="AD175" s="191"/>
      <c r="AE175" s="192"/>
      <c r="AF175" s="192"/>
      <c r="AG175" s="192"/>
      <c r="AH175" s="396">
        <f t="shared" si="10"/>
        <v>0</v>
      </c>
      <c r="AI175" s="64" t="str">
        <f>IF('Sch2a-Imp Price by ECM'!C176="Yes", 0, 'Sch2a-Imp Price by ECM'!L176)</f>
        <v/>
      </c>
      <c r="AJ175" s="225" t="str">
        <f>IF('Sch2a-Imp Price by ECM'!C176="Yes",0, IF(AI175="","",AI175/AH175))</f>
        <v/>
      </c>
      <c r="AK175" s="1" t="str">
        <f>IF('Sch2a-Imp Price by ECM'!M176="","",'Sch2a-Imp Price by ECM'!M176)</f>
        <v/>
      </c>
    </row>
    <row r="176" spans="1:37" ht="16.5" thickBot="1">
      <c r="A176" s="40" t="str">
        <f>IF('Sch2a-Imp Price by ECM'!B177="","",'Sch2a-Imp Price by ECM'!B177)</f>
        <v/>
      </c>
      <c r="B176" s="76" t="str">
        <f>IF('Sch2a-Imp Price by ECM'!D177="","",'Sch2a-Imp Price by ECM'!D177)</f>
        <v/>
      </c>
      <c r="C176" s="197" t="str">
        <f>IF('Sch2a-Imp Price by ECM'!G177="","",'Sch2a-Imp Price by ECM'!G177)</f>
        <v/>
      </c>
      <c r="D176" s="132"/>
      <c r="E176" s="190"/>
      <c r="F176" s="190"/>
      <c r="G176" s="190"/>
      <c r="H176" s="190"/>
      <c r="I176" s="134"/>
      <c r="J176" s="190"/>
      <c r="K176" s="190"/>
      <c r="L176" s="133"/>
      <c r="M176" s="133"/>
      <c r="N176" s="133"/>
      <c r="O176" s="127"/>
      <c r="P176" s="190"/>
      <c r="Q176" s="133"/>
      <c r="R176" s="191"/>
      <c r="S176" s="133"/>
      <c r="T176" s="191"/>
      <c r="U176" s="192"/>
      <c r="V176" s="191"/>
      <c r="W176" s="192"/>
      <c r="X176" s="334"/>
      <c r="Y176" s="192"/>
      <c r="Z176" s="392">
        <f t="shared" si="8"/>
        <v>0</v>
      </c>
      <c r="AA176" s="393">
        <f t="shared" si="9"/>
        <v>0</v>
      </c>
      <c r="AB176" s="191"/>
      <c r="AC176" s="192"/>
      <c r="AD176" s="191"/>
      <c r="AE176" s="192"/>
      <c r="AF176" s="192"/>
      <c r="AG176" s="192"/>
      <c r="AH176" s="396">
        <f t="shared" si="10"/>
        <v>0</v>
      </c>
      <c r="AI176" s="64" t="str">
        <f>IF('Sch2a-Imp Price by ECM'!C177="Yes", 0, 'Sch2a-Imp Price by ECM'!L177)</f>
        <v/>
      </c>
      <c r="AJ176" s="225" t="str">
        <f>IF('Sch2a-Imp Price by ECM'!C177="Yes",0, IF(AI176="","",AI176/AH176))</f>
        <v/>
      </c>
      <c r="AK176" s="1" t="str">
        <f>IF('Sch2a-Imp Price by ECM'!M177="","",'Sch2a-Imp Price by ECM'!M177)</f>
        <v/>
      </c>
    </row>
    <row r="177" spans="1:37" ht="16.5" thickBot="1">
      <c r="A177" s="40" t="str">
        <f>IF('Sch2a-Imp Price by ECM'!B178="","",'Sch2a-Imp Price by ECM'!B178)</f>
        <v/>
      </c>
      <c r="B177" s="76" t="str">
        <f>IF('Sch2a-Imp Price by ECM'!D178="","",'Sch2a-Imp Price by ECM'!D178)</f>
        <v/>
      </c>
      <c r="C177" s="197" t="str">
        <f>IF('Sch2a-Imp Price by ECM'!G178="","",'Sch2a-Imp Price by ECM'!G178)</f>
        <v/>
      </c>
      <c r="D177" s="132"/>
      <c r="E177" s="190"/>
      <c r="F177" s="190"/>
      <c r="G177" s="190"/>
      <c r="H177" s="190"/>
      <c r="I177" s="134"/>
      <c r="J177" s="190"/>
      <c r="K177" s="190"/>
      <c r="L177" s="133"/>
      <c r="M177" s="133"/>
      <c r="N177" s="133"/>
      <c r="O177" s="134"/>
      <c r="P177" s="190"/>
      <c r="Q177" s="133"/>
      <c r="R177" s="191"/>
      <c r="S177" s="133"/>
      <c r="T177" s="191"/>
      <c r="U177" s="192"/>
      <c r="V177" s="191"/>
      <c r="W177" s="192"/>
      <c r="X177" s="334"/>
      <c r="Y177" s="192"/>
      <c r="Z177" s="392">
        <f t="shared" si="8"/>
        <v>0</v>
      </c>
      <c r="AA177" s="393">
        <f t="shared" si="9"/>
        <v>0</v>
      </c>
      <c r="AB177" s="191"/>
      <c r="AC177" s="192"/>
      <c r="AD177" s="191"/>
      <c r="AE177" s="192"/>
      <c r="AF177" s="192"/>
      <c r="AG177" s="192"/>
      <c r="AH177" s="396">
        <f t="shared" si="10"/>
        <v>0</v>
      </c>
      <c r="AI177" s="64" t="str">
        <f>IF('Sch2a-Imp Price by ECM'!C178="Yes", 0, 'Sch2a-Imp Price by ECM'!L178)</f>
        <v/>
      </c>
      <c r="AJ177" s="225" t="str">
        <f>IF('Sch2a-Imp Price by ECM'!C178="Yes",0, IF(AI177="","",AI177/AH177))</f>
        <v/>
      </c>
      <c r="AK177" s="1" t="str">
        <f>IF('Sch2a-Imp Price by ECM'!M178="","",'Sch2a-Imp Price by ECM'!M178)</f>
        <v/>
      </c>
    </row>
    <row r="178" spans="1:37" ht="16.5" thickBot="1">
      <c r="A178" s="40" t="str">
        <f>IF('Sch2a-Imp Price by ECM'!B179="","",'Sch2a-Imp Price by ECM'!B179)</f>
        <v/>
      </c>
      <c r="B178" s="76" t="str">
        <f>IF('Sch2a-Imp Price by ECM'!D179="","",'Sch2a-Imp Price by ECM'!D179)</f>
        <v/>
      </c>
      <c r="C178" s="197" t="str">
        <f>IF('Sch2a-Imp Price by ECM'!G179="","",'Sch2a-Imp Price by ECM'!G179)</f>
        <v/>
      </c>
      <c r="D178" s="132"/>
      <c r="E178" s="190"/>
      <c r="F178" s="190"/>
      <c r="G178" s="190"/>
      <c r="H178" s="190"/>
      <c r="I178" s="134"/>
      <c r="J178" s="190"/>
      <c r="K178" s="190"/>
      <c r="L178" s="133"/>
      <c r="M178" s="133"/>
      <c r="N178" s="133"/>
      <c r="O178" s="134"/>
      <c r="P178" s="190"/>
      <c r="Q178" s="133"/>
      <c r="R178" s="191"/>
      <c r="S178" s="133"/>
      <c r="T178" s="191"/>
      <c r="U178" s="192"/>
      <c r="V178" s="191"/>
      <c r="W178" s="192"/>
      <c r="X178" s="334"/>
      <c r="Y178" s="192"/>
      <c r="Z178" s="392">
        <f t="shared" si="8"/>
        <v>0</v>
      </c>
      <c r="AA178" s="393">
        <f t="shared" si="9"/>
        <v>0</v>
      </c>
      <c r="AB178" s="191"/>
      <c r="AC178" s="192"/>
      <c r="AD178" s="191"/>
      <c r="AE178" s="192"/>
      <c r="AF178" s="192"/>
      <c r="AG178" s="192"/>
      <c r="AH178" s="396">
        <f t="shared" si="10"/>
        <v>0</v>
      </c>
      <c r="AI178" s="64" t="str">
        <f>IF('Sch2a-Imp Price by ECM'!C179="Yes", 0, 'Sch2a-Imp Price by ECM'!L179)</f>
        <v/>
      </c>
      <c r="AJ178" s="225" t="str">
        <f>IF('Sch2a-Imp Price by ECM'!C179="Yes",0, IF(AI178="","",AI178/AH178))</f>
        <v/>
      </c>
      <c r="AK178" s="1" t="str">
        <f>IF('Sch2a-Imp Price by ECM'!M179="","",'Sch2a-Imp Price by ECM'!M179)</f>
        <v/>
      </c>
    </row>
    <row r="179" spans="1:37" ht="16.5" thickBot="1">
      <c r="A179" s="40" t="str">
        <f>IF('Sch2a-Imp Price by ECM'!B180="","",'Sch2a-Imp Price by ECM'!B180)</f>
        <v/>
      </c>
      <c r="B179" s="76" t="str">
        <f>IF('Sch2a-Imp Price by ECM'!D180="","",'Sch2a-Imp Price by ECM'!D180)</f>
        <v/>
      </c>
      <c r="C179" s="197" t="str">
        <f>IF('Sch2a-Imp Price by ECM'!G180="","",'Sch2a-Imp Price by ECM'!G180)</f>
        <v/>
      </c>
      <c r="D179" s="132"/>
      <c r="E179" s="190"/>
      <c r="F179" s="190"/>
      <c r="G179" s="190"/>
      <c r="H179" s="190"/>
      <c r="I179" s="134"/>
      <c r="J179" s="190"/>
      <c r="K179" s="190"/>
      <c r="L179" s="133"/>
      <c r="M179" s="133"/>
      <c r="N179" s="133"/>
      <c r="O179" s="134"/>
      <c r="P179" s="190"/>
      <c r="Q179" s="133"/>
      <c r="R179" s="191"/>
      <c r="S179" s="133"/>
      <c r="T179" s="191"/>
      <c r="U179" s="192"/>
      <c r="V179" s="191"/>
      <c r="W179" s="192"/>
      <c r="X179" s="334"/>
      <c r="Y179" s="192"/>
      <c r="Z179" s="392">
        <f t="shared" si="8"/>
        <v>0</v>
      </c>
      <c r="AA179" s="393">
        <f t="shared" si="9"/>
        <v>0</v>
      </c>
      <c r="AB179" s="191"/>
      <c r="AC179" s="192"/>
      <c r="AD179" s="191"/>
      <c r="AE179" s="192"/>
      <c r="AF179" s="192"/>
      <c r="AG179" s="192"/>
      <c r="AH179" s="396">
        <f t="shared" si="10"/>
        <v>0</v>
      </c>
      <c r="AI179" s="64" t="str">
        <f>IF('Sch2a-Imp Price by ECM'!C180="Yes", 0, 'Sch2a-Imp Price by ECM'!L180)</f>
        <v/>
      </c>
      <c r="AJ179" s="225" t="str">
        <f>IF('Sch2a-Imp Price by ECM'!C180="Yes",0, IF(AI179="","",AI179/AH179))</f>
        <v/>
      </c>
      <c r="AK179" s="1" t="str">
        <f>IF('Sch2a-Imp Price by ECM'!M180="","",'Sch2a-Imp Price by ECM'!M180)</f>
        <v/>
      </c>
    </row>
    <row r="180" spans="1:37" ht="16.5" thickBot="1">
      <c r="A180" s="40" t="str">
        <f>IF('Sch2a-Imp Price by ECM'!B181="","",'Sch2a-Imp Price by ECM'!B181)</f>
        <v/>
      </c>
      <c r="B180" s="76" t="str">
        <f>IF('Sch2a-Imp Price by ECM'!D181="","",'Sch2a-Imp Price by ECM'!D181)</f>
        <v/>
      </c>
      <c r="C180" s="197" t="str">
        <f>IF('Sch2a-Imp Price by ECM'!G181="","",'Sch2a-Imp Price by ECM'!G181)</f>
        <v/>
      </c>
      <c r="D180" s="132"/>
      <c r="E180" s="190"/>
      <c r="F180" s="190"/>
      <c r="G180" s="190"/>
      <c r="H180" s="190"/>
      <c r="I180" s="134"/>
      <c r="J180" s="190"/>
      <c r="K180" s="190"/>
      <c r="L180" s="133"/>
      <c r="M180" s="133"/>
      <c r="N180" s="133"/>
      <c r="O180" s="134"/>
      <c r="P180" s="190"/>
      <c r="Q180" s="133"/>
      <c r="R180" s="191"/>
      <c r="S180" s="133"/>
      <c r="T180" s="191"/>
      <c r="U180" s="192"/>
      <c r="V180" s="191"/>
      <c r="W180" s="192"/>
      <c r="X180" s="334"/>
      <c r="Y180" s="192"/>
      <c r="Z180" s="392">
        <f t="shared" si="8"/>
        <v>0</v>
      </c>
      <c r="AA180" s="393">
        <f t="shared" si="9"/>
        <v>0</v>
      </c>
      <c r="AB180" s="191"/>
      <c r="AC180" s="192"/>
      <c r="AD180" s="191"/>
      <c r="AE180" s="192"/>
      <c r="AF180" s="192"/>
      <c r="AG180" s="192"/>
      <c r="AH180" s="396">
        <f t="shared" si="10"/>
        <v>0</v>
      </c>
      <c r="AI180" s="64" t="str">
        <f>IF('Sch2a-Imp Price by ECM'!C181="Yes", 0, 'Sch2a-Imp Price by ECM'!L181)</f>
        <v/>
      </c>
      <c r="AJ180" s="225" t="str">
        <f>IF('Sch2a-Imp Price by ECM'!C181="Yes",0, IF(AI180="","",AI180/AH180))</f>
        <v/>
      </c>
      <c r="AK180" s="1" t="str">
        <f>IF('Sch2a-Imp Price by ECM'!M181="","",'Sch2a-Imp Price by ECM'!M181)</f>
        <v/>
      </c>
    </row>
    <row r="181" spans="1:37" ht="18" customHeight="1" thickBot="1">
      <c r="A181" s="40" t="str">
        <f>IF('Sch2a-Imp Price by ECM'!B182="","",'Sch2a-Imp Price by ECM'!B182)</f>
        <v/>
      </c>
      <c r="B181" s="76" t="str">
        <f>IF('Sch2a-Imp Price by ECM'!D182="","",'Sch2a-Imp Price by ECM'!D182)</f>
        <v/>
      </c>
      <c r="C181" s="197" t="str">
        <f>IF('Sch2a-Imp Price by ECM'!G182="","",'Sch2a-Imp Price by ECM'!G182)</f>
        <v/>
      </c>
      <c r="D181" s="132"/>
      <c r="E181" s="190"/>
      <c r="F181" s="190"/>
      <c r="G181" s="190"/>
      <c r="H181" s="190"/>
      <c r="I181" s="134"/>
      <c r="J181" s="190"/>
      <c r="K181" s="190"/>
      <c r="L181" s="133"/>
      <c r="M181" s="133"/>
      <c r="N181" s="133"/>
      <c r="O181" s="134"/>
      <c r="P181" s="190"/>
      <c r="Q181" s="133"/>
      <c r="R181" s="191"/>
      <c r="S181" s="133"/>
      <c r="T181" s="191"/>
      <c r="U181" s="192"/>
      <c r="V181" s="191"/>
      <c r="W181" s="192"/>
      <c r="X181" s="334"/>
      <c r="Y181" s="192"/>
      <c r="Z181" s="392">
        <f t="shared" si="8"/>
        <v>0</v>
      </c>
      <c r="AA181" s="393">
        <f t="shared" si="9"/>
        <v>0</v>
      </c>
      <c r="AB181" s="191"/>
      <c r="AC181" s="192"/>
      <c r="AD181" s="191"/>
      <c r="AE181" s="192"/>
      <c r="AF181" s="192"/>
      <c r="AG181" s="192"/>
      <c r="AH181" s="396">
        <f t="shared" si="10"/>
        <v>0</v>
      </c>
      <c r="AI181" s="64" t="str">
        <f>IF('Sch2a-Imp Price by ECM'!C182="Yes", 0, 'Sch2a-Imp Price by ECM'!L182)</f>
        <v/>
      </c>
      <c r="AJ181" s="225" t="str">
        <f>IF('Sch2a-Imp Price by ECM'!C182="Yes",0, IF(AI181="","",AI181/AH181))</f>
        <v/>
      </c>
      <c r="AK181" s="1" t="str">
        <f>IF('Sch2a-Imp Price by ECM'!M182="","",'Sch2a-Imp Price by ECM'!M182)</f>
        <v/>
      </c>
    </row>
    <row r="182" spans="1:37" ht="16.5" thickBot="1">
      <c r="A182" s="40" t="str">
        <f>IF('Sch2a-Imp Price by ECM'!B183="","",'Sch2a-Imp Price by ECM'!B183)</f>
        <v/>
      </c>
      <c r="B182" s="76" t="str">
        <f>IF('Sch2a-Imp Price by ECM'!D183="","",'Sch2a-Imp Price by ECM'!D183)</f>
        <v/>
      </c>
      <c r="C182" s="197" t="str">
        <f>IF('Sch2a-Imp Price by ECM'!G183="","",'Sch2a-Imp Price by ECM'!G183)</f>
        <v/>
      </c>
      <c r="D182" s="132"/>
      <c r="E182" s="190"/>
      <c r="F182" s="190"/>
      <c r="G182" s="190"/>
      <c r="H182" s="190"/>
      <c r="I182" s="134"/>
      <c r="J182" s="190"/>
      <c r="K182" s="190"/>
      <c r="L182" s="133"/>
      <c r="M182" s="133"/>
      <c r="N182" s="133"/>
      <c r="O182" s="134"/>
      <c r="P182" s="190"/>
      <c r="Q182" s="133"/>
      <c r="R182" s="191"/>
      <c r="S182" s="133"/>
      <c r="T182" s="191"/>
      <c r="U182" s="192"/>
      <c r="V182" s="191"/>
      <c r="W182" s="192"/>
      <c r="X182" s="334"/>
      <c r="Y182" s="192"/>
      <c r="Z182" s="392">
        <f t="shared" si="8"/>
        <v>0</v>
      </c>
      <c r="AA182" s="393">
        <f t="shared" si="9"/>
        <v>0</v>
      </c>
      <c r="AB182" s="191"/>
      <c r="AC182" s="192"/>
      <c r="AD182" s="191"/>
      <c r="AE182" s="192"/>
      <c r="AF182" s="192"/>
      <c r="AG182" s="192"/>
      <c r="AH182" s="396">
        <f t="shared" si="10"/>
        <v>0</v>
      </c>
      <c r="AI182" s="64" t="str">
        <f>IF('Sch2a-Imp Price by ECM'!C183="Yes", 0, 'Sch2a-Imp Price by ECM'!L183)</f>
        <v/>
      </c>
      <c r="AJ182" s="225" t="str">
        <f>IF('Sch2a-Imp Price by ECM'!C183="Yes",0, IF(AI182="","",AI182/AH182))</f>
        <v/>
      </c>
      <c r="AK182" s="1" t="str">
        <f>IF('Sch2a-Imp Price by ECM'!M183="","",'Sch2a-Imp Price by ECM'!M183)</f>
        <v/>
      </c>
    </row>
    <row r="183" spans="1:37" ht="16.5" thickBot="1">
      <c r="A183" s="40" t="str">
        <f>IF('Sch2a-Imp Price by ECM'!B184="","",'Sch2a-Imp Price by ECM'!B184)</f>
        <v/>
      </c>
      <c r="B183" s="76" t="str">
        <f>IF('Sch2a-Imp Price by ECM'!D184="","",'Sch2a-Imp Price by ECM'!D184)</f>
        <v/>
      </c>
      <c r="C183" s="197" t="str">
        <f>IF('Sch2a-Imp Price by ECM'!G184="","",'Sch2a-Imp Price by ECM'!G184)</f>
        <v/>
      </c>
      <c r="D183" s="132"/>
      <c r="E183" s="190"/>
      <c r="F183" s="190"/>
      <c r="G183" s="190"/>
      <c r="H183" s="190"/>
      <c r="I183" s="134"/>
      <c r="J183" s="190"/>
      <c r="K183" s="190"/>
      <c r="L183" s="133"/>
      <c r="M183" s="133"/>
      <c r="N183" s="133"/>
      <c r="O183" s="134"/>
      <c r="P183" s="190"/>
      <c r="Q183" s="133"/>
      <c r="R183" s="191"/>
      <c r="S183" s="133"/>
      <c r="T183" s="191"/>
      <c r="U183" s="192"/>
      <c r="V183" s="191"/>
      <c r="W183" s="192"/>
      <c r="X183" s="334"/>
      <c r="Y183" s="192"/>
      <c r="Z183" s="392">
        <f t="shared" si="8"/>
        <v>0</v>
      </c>
      <c r="AA183" s="393">
        <f t="shared" si="9"/>
        <v>0</v>
      </c>
      <c r="AB183" s="191"/>
      <c r="AC183" s="192"/>
      <c r="AD183" s="191"/>
      <c r="AE183" s="192"/>
      <c r="AF183" s="192"/>
      <c r="AG183" s="192"/>
      <c r="AH183" s="396">
        <f t="shared" si="10"/>
        <v>0</v>
      </c>
      <c r="AI183" s="64" t="str">
        <f>IF('Sch2a-Imp Price by ECM'!C184="Yes", 0, 'Sch2a-Imp Price by ECM'!L184)</f>
        <v/>
      </c>
      <c r="AJ183" s="225" t="str">
        <f>IF('Sch2a-Imp Price by ECM'!C184="Yes",0, IF(AI183="","",AI183/AH183))</f>
        <v/>
      </c>
      <c r="AK183" s="1" t="str">
        <f>IF('Sch2a-Imp Price by ECM'!M184="","",'Sch2a-Imp Price by ECM'!M184)</f>
        <v/>
      </c>
    </row>
    <row r="184" spans="1:37" ht="16.5" thickBot="1">
      <c r="A184" s="40" t="str">
        <f>IF('Sch2a-Imp Price by ECM'!B185="","",'Sch2a-Imp Price by ECM'!B185)</f>
        <v/>
      </c>
      <c r="B184" s="76" t="str">
        <f>IF('Sch2a-Imp Price by ECM'!D185="","",'Sch2a-Imp Price by ECM'!D185)</f>
        <v/>
      </c>
      <c r="C184" s="197" t="str">
        <f>IF('Sch2a-Imp Price by ECM'!G185="","",'Sch2a-Imp Price by ECM'!G185)</f>
        <v/>
      </c>
      <c r="D184" s="132"/>
      <c r="E184" s="190"/>
      <c r="F184" s="190"/>
      <c r="G184" s="190"/>
      <c r="H184" s="190"/>
      <c r="I184" s="134"/>
      <c r="J184" s="190"/>
      <c r="K184" s="190"/>
      <c r="L184" s="133"/>
      <c r="M184" s="133"/>
      <c r="N184" s="133"/>
      <c r="O184" s="127"/>
      <c r="P184" s="190"/>
      <c r="Q184" s="133"/>
      <c r="R184" s="191"/>
      <c r="S184" s="133"/>
      <c r="T184" s="191"/>
      <c r="U184" s="192"/>
      <c r="V184" s="191"/>
      <c r="W184" s="192"/>
      <c r="X184" s="334"/>
      <c r="Y184" s="192"/>
      <c r="Z184" s="392">
        <f t="shared" si="8"/>
        <v>0</v>
      </c>
      <c r="AA184" s="393">
        <f t="shared" si="9"/>
        <v>0</v>
      </c>
      <c r="AB184" s="191"/>
      <c r="AC184" s="192"/>
      <c r="AD184" s="191"/>
      <c r="AE184" s="192"/>
      <c r="AF184" s="192"/>
      <c r="AG184" s="192"/>
      <c r="AH184" s="396">
        <f t="shared" si="10"/>
        <v>0</v>
      </c>
      <c r="AI184" s="64" t="str">
        <f>IF('Sch2a-Imp Price by ECM'!C185="Yes", 0, 'Sch2a-Imp Price by ECM'!L185)</f>
        <v/>
      </c>
      <c r="AJ184" s="225" t="str">
        <f>IF('Sch2a-Imp Price by ECM'!C185="Yes",0, IF(AI184="","",AI184/AH184))</f>
        <v/>
      </c>
      <c r="AK184" s="1" t="str">
        <f>IF('Sch2a-Imp Price by ECM'!M185="","",'Sch2a-Imp Price by ECM'!M185)</f>
        <v/>
      </c>
    </row>
    <row r="185" spans="1:37" ht="16.5" thickBot="1">
      <c r="A185" s="40" t="str">
        <f>IF('Sch2a-Imp Price by ECM'!B186="","",'Sch2a-Imp Price by ECM'!B186)</f>
        <v/>
      </c>
      <c r="B185" s="76" t="str">
        <f>IF('Sch2a-Imp Price by ECM'!D186="","",'Sch2a-Imp Price by ECM'!D186)</f>
        <v/>
      </c>
      <c r="C185" s="197" t="str">
        <f>IF('Sch2a-Imp Price by ECM'!G186="","",'Sch2a-Imp Price by ECM'!G186)</f>
        <v/>
      </c>
      <c r="D185" s="132"/>
      <c r="E185" s="190"/>
      <c r="F185" s="190"/>
      <c r="G185" s="190"/>
      <c r="H185" s="190"/>
      <c r="I185" s="134"/>
      <c r="J185" s="190"/>
      <c r="K185" s="190"/>
      <c r="L185" s="133"/>
      <c r="M185" s="133"/>
      <c r="N185" s="133"/>
      <c r="O185" s="127"/>
      <c r="P185" s="190"/>
      <c r="Q185" s="133"/>
      <c r="R185" s="191"/>
      <c r="S185" s="133"/>
      <c r="T185" s="191"/>
      <c r="U185" s="192"/>
      <c r="V185" s="191"/>
      <c r="W185" s="192"/>
      <c r="X185" s="334"/>
      <c r="Y185" s="192"/>
      <c r="Z185" s="392">
        <f t="shared" si="8"/>
        <v>0</v>
      </c>
      <c r="AA185" s="393">
        <f t="shared" si="9"/>
        <v>0</v>
      </c>
      <c r="AB185" s="191"/>
      <c r="AC185" s="192"/>
      <c r="AD185" s="191"/>
      <c r="AE185" s="192"/>
      <c r="AF185" s="192"/>
      <c r="AG185" s="192"/>
      <c r="AH185" s="396">
        <f t="shared" si="10"/>
        <v>0</v>
      </c>
      <c r="AI185" s="64" t="str">
        <f>IF('Sch2a-Imp Price by ECM'!C186="Yes", 0, 'Sch2a-Imp Price by ECM'!L186)</f>
        <v/>
      </c>
      <c r="AJ185" s="225" t="str">
        <f>IF('Sch2a-Imp Price by ECM'!C186="Yes",0, IF(AI185="","",AI185/AH185))</f>
        <v/>
      </c>
      <c r="AK185" s="1" t="str">
        <f>IF('Sch2a-Imp Price by ECM'!M186="","",'Sch2a-Imp Price by ECM'!M186)</f>
        <v/>
      </c>
    </row>
    <row r="186" spans="1:37" ht="16.5" thickBot="1">
      <c r="A186" s="40" t="str">
        <f>IF('Sch2a-Imp Price by ECM'!B187="","",'Sch2a-Imp Price by ECM'!B187)</f>
        <v/>
      </c>
      <c r="B186" s="76" t="str">
        <f>IF('Sch2a-Imp Price by ECM'!D187="","",'Sch2a-Imp Price by ECM'!D187)</f>
        <v/>
      </c>
      <c r="C186" s="197" t="str">
        <f>IF('Sch2a-Imp Price by ECM'!G187="","",'Sch2a-Imp Price by ECM'!G187)</f>
        <v/>
      </c>
      <c r="D186" s="132"/>
      <c r="E186" s="190"/>
      <c r="F186" s="190"/>
      <c r="G186" s="190"/>
      <c r="H186" s="190"/>
      <c r="I186" s="134"/>
      <c r="J186" s="190"/>
      <c r="K186" s="190"/>
      <c r="L186" s="133"/>
      <c r="M186" s="133"/>
      <c r="N186" s="133"/>
      <c r="O186" s="127"/>
      <c r="P186" s="190"/>
      <c r="Q186" s="133"/>
      <c r="R186" s="191"/>
      <c r="S186" s="133"/>
      <c r="T186" s="191"/>
      <c r="U186" s="192"/>
      <c r="V186" s="191"/>
      <c r="W186" s="192"/>
      <c r="X186" s="334"/>
      <c r="Y186" s="192"/>
      <c r="Z186" s="392">
        <f t="shared" si="8"/>
        <v>0</v>
      </c>
      <c r="AA186" s="393">
        <f t="shared" si="9"/>
        <v>0</v>
      </c>
      <c r="AB186" s="191"/>
      <c r="AC186" s="192"/>
      <c r="AD186" s="191"/>
      <c r="AE186" s="192"/>
      <c r="AF186" s="192"/>
      <c r="AG186" s="192"/>
      <c r="AH186" s="396">
        <f t="shared" si="10"/>
        <v>0</v>
      </c>
      <c r="AI186" s="64" t="str">
        <f>IF('Sch2a-Imp Price by ECM'!C187="Yes", 0, 'Sch2a-Imp Price by ECM'!L187)</f>
        <v/>
      </c>
      <c r="AJ186" s="225" t="str">
        <f>IF('Sch2a-Imp Price by ECM'!C187="Yes",0, IF(AI186="","",AI186/AH186))</f>
        <v/>
      </c>
      <c r="AK186" s="1" t="str">
        <f>IF('Sch2a-Imp Price by ECM'!M187="","",'Sch2a-Imp Price by ECM'!M187)</f>
        <v/>
      </c>
    </row>
    <row r="187" spans="1:37" ht="16.5" thickBot="1">
      <c r="A187" s="40" t="str">
        <f>IF('Sch2a-Imp Price by ECM'!B188="","",'Sch2a-Imp Price by ECM'!B188)</f>
        <v/>
      </c>
      <c r="B187" s="76" t="str">
        <f>IF('Sch2a-Imp Price by ECM'!D188="","",'Sch2a-Imp Price by ECM'!D188)</f>
        <v/>
      </c>
      <c r="C187" s="197" t="str">
        <f>IF('Sch2a-Imp Price by ECM'!G188="","",'Sch2a-Imp Price by ECM'!G188)</f>
        <v/>
      </c>
      <c r="D187" s="132"/>
      <c r="E187" s="190"/>
      <c r="F187" s="190"/>
      <c r="G187" s="190"/>
      <c r="H187" s="190"/>
      <c r="I187" s="134"/>
      <c r="J187" s="190"/>
      <c r="K187" s="190"/>
      <c r="L187" s="133"/>
      <c r="M187" s="133"/>
      <c r="N187" s="133"/>
      <c r="O187" s="127"/>
      <c r="P187" s="190"/>
      <c r="Q187" s="133"/>
      <c r="R187" s="191"/>
      <c r="S187" s="133"/>
      <c r="T187" s="191"/>
      <c r="U187" s="192"/>
      <c r="V187" s="191"/>
      <c r="W187" s="192"/>
      <c r="X187" s="334"/>
      <c r="Y187" s="192"/>
      <c r="Z187" s="392">
        <f t="shared" si="8"/>
        <v>0</v>
      </c>
      <c r="AA187" s="393">
        <f t="shared" si="9"/>
        <v>0</v>
      </c>
      <c r="AB187" s="191"/>
      <c r="AC187" s="192"/>
      <c r="AD187" s="191"/>
      <c r="AE187" s="192"/>
      <c r="AF187" s="192"/>
      <c r="AG187" s="192"/>
      <c r="AH187" s="396">
        <f t="shared" si="10"/>
        <v>0</v>
      </c>
      <c r="AI187" s="64" t="str">
        <f>IF('Sch2a-Imp Price by ECM'!C188="Yes", 0, 'Sch2a-Imp Price by ECM'!L188)</f>
        <v/>
      </c>
      <c r="AJ187" s="225" t="str">
        <f>IF('Sch2a-Imp Price by ECM'!C188="Yes",0, IF(AI187="","",AI187/AH187))</f>
        <v/>
      </c>
      <c r="AK187" s="1" t="str">
        <f>IF('Sch2a-Imp Price by ECM'!M188="","",'Sch2a-Imp Price by ECM'!M188)</f>
        <v/>
      </c>
    </row>
    <row r="188" spans="1:37" ht="16.5" thickBot="1">
      <c r="A188" s="40" t="str">
        <f>IF('Sch2a-Imp Price by ECM'!B189="","",'Sch2a-Imp Price by ECM'!B189)</f>
        <v/>
      </c>
      <c r="B188" s="76" t="str">
        <f>IF('Sch2a-Imp Price by ECM'!D189="","",'Sch2a-Imp Price by ECM'!D189)</f>
        <v/>
      </c>
      <c r="C188" s="197" t="str">
        <f>IF('Sch2a-Imp Price by ECM'!G189="","",'Sch2a-Imp Price by ECM'!G189)</f>
        <v/>
      </c>
      <c r="D188" s="132"/>
      <c r="E188" s="190"/>
      <c r="F188" s="190"/>
      <c r="G188" s="190"/>
      <c r="H188" s="190"/>
      <c r="I188" s="134"/>
      <c r="J188" s="190"/>
      <c r="K188" s="190"/>
      <c r="L188" s="133"/>
      <c r="M188" s="133"/>
      <c r="N188" s="133"/>
      <c r="O188" s="127"/>
      <c r="P188" s="190"/>
      <c r="Q188" s="133"/>
      <c r="R188" s="191"/>
      <c r="S188" s="133"/>
      <c r="T188" s="191"/>
      <c r="U188" s="192"/>
      <c r="V188" s="191"/>
      <c r="W188" s="192"/>
      <c r="X188" s="334"/>
      <c r="Y188" s="192"/>
      <c r="Z188" s="392">
        <f t="shared" si="8"/>
        <v>0</v>
      </c>
      <c r="AA188" s="393">
        <f t="shared" si="9"/>
        <v>0</v>
      </c>
      <c r="AB188" s="191"/>
      <c r="AC188" s="192"/>
      <c r="AD188" s="191"/>
      <c r="AE188" s="192"/>
      <c r="AF188" s="192"/>
      <c r="AG188" s="192"/>
      <c r="AH188" s="396">
        <f t="shared" si="10"/>
        <v>0</v>
      </c>
      <c r="AI188" s="64" t="str">
        <f>IF('Sch2a-Imp Price by ECM'!C189="Yes", 0, 'Sch2a-Imp Price by ECM'!L189)</f>
        <v/>
      </c>
      <c r="AJ188" s="225" t="str">
        <f>IF('Sch2a-Imp Price by ECM'!C189="Yes",0, IF(AI188="","",AI188/AH188))</f>
        <v/>
      </c>
      <c r="AK188" s="1" t="str">
        <f>IF('Sch2a-Imp Price by ECM'!M189="","",'Sch2a-Imp Price by ECM'!M189)</f>
        <v/>
      </c>
    </row>
    <row r="189" spans="1:37" ht="16.5" thickBot="1">
      <c r="A189" s="40" t="str">
        <f>IF('Sch2a-Imp Price by ECM'!B190="","",'Sch2a-Imp Price by ECM'!B190)</f>
        <v/>
      </c>
      <c r="B189" s="76" t="str">
        <f>IF('Sch2a-Imp Price by ECM'!D190="","",'Sch2a-Imp Price by ECM'!D190)</f>
        <v/>
      </c>
      <c r="C189" s="197" t="str">
        <f>IF('Sch2a-Imp Price by ECM'!G190="","",'Sch2a-Imp Price by ECM'!G190)</f>
        <v/>
      </c>
      <c r="D189" s="132"/>
      <c r="E189" s="190"/>
      <c r="F189" s="190"/>
      <c r="G189" s="190"/>
      <c r="H189" s="190"/>
      <c r="I189" s="134"/>
      <c r="J189" s="190"/>
      <c r="K189" s="190"/>
      <c r="L189" s="133"/>
      <c r="M189" s="133"/>
      <c r="N189" s="133"/>
      <c r="O189" s="127"/>
      <c r="P189" s="190"/>
      <c r="Q189" s="133"/>
      <c r="R189" s="191"/>
      <c r="S189" s="133"/>
      <c r="T189" s="191"/>
      <c r="U189" s="192"/>
      <c r="V189" s="191"/>
      <c r="W189" s="192"/>
      <c r="X189" s="334"/>
      <c r="Y189" s="192"/>
      <c r="Z189" s="392">
        <f t="shared" si="8"/>
        <v>0</v>
      </c>
      <c r="AA189" s="393">
        <f t="shared" si="9"/>
        <v>0</v>
      </c>
      <c r="AB189" s="191"/>
      <c r="AC189" s="192"/>
      <c r="AD189" s="191"/>
      <c r="AE189" s="192"/>
      <c r="AF189" s="192"/>
      <c r="AG189" s="192"/>
      <c r="AH189" s="396">
        <f t="shared" si="10"/>
        <v>0</v>
      </c>
      <c r="AI189" s="64" t="str">
        <f>IF('Sch2a-Imp Price by ECM'!C190="Yes", 0, 'Sch2a-Imp Price by ECM'!L190)</f>
        <v/>
      </c>
      <c r="AJ189" s="225" t="str">
        <f>IF('Sch2a-Imp Price by ECM'!C190="Yes",0, IF(AI189="","",AI189/AH189))</f>
        <v/>
      </c>
      <c r="AK189" s="1" t="str">
        <f>IF('Sch2a-Imp Price by ECM'!M190="","",'Sch2a-Imp Price by ECM'!M190)</f>
        <v/>
      </c>
    </row>
    <row r="190" spans="1:37" ht="16.5" thickBot="1">
      <c r="A190" s="40" t="str">
        <f>IF('Sch2a-Imp Price by ECM'!B191="","",'Sch2a-Imp Price by ECM'!B191)</f>
        <v/>
      </c>
      <c r="B190" s="76" t="str">
        <f>IF('Sch2a-Imp Price by ECM'!D191="","",'Sch2a-Imp Price by ECM'!D191)</f>
        <v/>
      </c>
      <c r="C190" s="197" t="str">
        <f>IF('Sch2a-Imp Price by ECM'!G191="","",'Sch2a-Imp Price by ECM'!G191)</f>
        <v/>
      </c>
      <c r="D190" s="132"/>
      <c r="E190" s="190"/>
      <c r="F190" s="190"/>
      <c r="G190" s="190"/>
      <c r="H190" s="190"/>
      <c r="I190" s="134"/>
      <c r="J190" s="190"/>
      <c r="K190" s="190"/>
      <c r="L190" s="133"/>
      <c r="M190" s="133"/>
      <c r="N190" s="133"/>
      <c r="O190" s="127"/>
      <c r="P190" s="190"/>
      <c r="Q190" s="133"/>
      <c r="R190" s="191"/>
      <c r="S190" s="133"/>
      <c r="T190" s="191"/>
      <c r="U190" s="192"/>
      <c r="V190" s="191"/>
      <c r="W190" s="192"/>
      <c r="X190" s="334"/>
      <c r="Y190" s="192"/>
      <c r="Z190" s="392">
        <f t="shared" si="8"/>
        <v>0</v>
      </c>
      <c r="AA190" s="393">
        <f t="shared" si="9"/>
        <v>0</v>
      </c>
      <c r="AB190" s="191"/>
      <c r="AC190" s="192"/>
      <c r="AD190" s="191"/>
      <c r="AE190" s="192"/>
      <c r="AF190" s="192"/>
      <c r="AG190" s="192"/>
      <c r="AH190" s="396">
        <f t="shared" si="10"/>
        <v>0</v>
      </c>
      <c r="AI190" s="64" t="str">
        <f>IF('Sch2a-Imp Price by ECM'!C191="Yes", 0, 'Sch2a-Imp Price by ECM'!L191)</f>
        <v/>
      </c>
      <c r="AJ190" s="225" t="str">
        <f>IF('Sch2a-Imp Price by ECM'!C191="Yes",0, IF(AI190="","",AI190/AH190))</f>
        <v/>
      </c>
      <c r="AK190" s="1" t="str">
        <f>IF('Sch2a-Imp Price by ECM'!M191="","",'Sch2a-Imp Price by ECM'!M191)</f>
        <v/>
      </c>
    </row>
    <row r="191" spans="1:37" ht="16.5" thickBot="1">
      <c r="A191" s="40" t="str">
        <f>IF('Sch2a-Imp Price by ECM'!B192="","",'Sch2a-Imp Price by ECM'!B192)</f>
        <v/>
      </c>
      <c r="B191" s="76" t="str">
        <f>IF('Sch2a-Imp Price by ECM'!D192="","",'Sch2a-Imp Price by ECM'!D192)</f>
        <v/>
      </c>
      <c r="C191" s="197" t="str">
        <f>IF('Sch2a-Imp Price by ECM'!G192="","",'Sch2a-Imp Price by ECM'!G192)</f>
        <v/>
      </c>
      <c r="D191" s="132"/>
      <c r="E191" s="190"/>
      <c r="F191" s="190"/>
      <c r="G191" s="190"/>
      <c r="H191" s="190"/>
      <c r="I191" s="134"/>
      <c r="J191" s="190"/>
      <c r="K191" s="190"/>
      <c r="L191" s="133"/>
      <c r="M191" s="133"/>
      <c r="N191" s="133"/>
      <c r="O191" s="127"/>
      <c r="P191" s="190"/>
      <c r="Q191" s="133"/>
      <c r="R191" s="191"/>
      <c r="S191" s="133"/>
      <c r="T191" s="191"/>
      <c r="U191" s="192"/>
      <c r="V191" s="191"/>
      <c r="W191" s="192"/>
      <c r="X191" s="334"/>
      <c r="Y191" s="192"/>
      <c r="Z191" s="392">
        <f t="shared" si="8"/>
        <v>0</v>
      </c>
      <c r="AA191" s="393">
        <f t="shared" si="9"/>
        <v>0</v>
      </c>
      <c r="AB191" s="191"/>
      <c r="AC191" s="192"/>
      <c r="AD191" s="191"/>
      <c r="AE191" s="192"/>
      <c r="AF191" s="192"/>
      <c r="AG191" s="192"/>
      <c r="AH191" s="396">
        <f t="shared" si="10"/>
        <v>0</v>
      </c>
      <c r="AI191" s="64" t="str">
        <f>IF('Sch2a-Imp Price by ECM'!C192="Yes", 0, 'Sch2a-Imp Price by ECM'!L192)</f>
        <v/>
      </c>
      <c r="AJ191" s="225" t="str">
        <f>IF('Sch2a-Imp Price by ECM'!C192="Yes",0, IF(AI191="","",AI191/AH191))</f>
        <v/>
      </c>
      <c r="AK191" s="1" t="str">
        <f>IF('Sch2a-Imp Price by ECM'!M192="","",'Sch2a-Imp Price by ECM'!M192)</f>
        <v/>
      </c>
    </row>
    <row r="192" spans="1:37" ht="16.5" thickBot="1">
      <c r="A192" s="40" t="str">
        <f>IF('Sch2a-Imp Price by ECM'!B193="","",'Sch2a-Imp Price by ECM'!B193)</f>
        <v/>
      </c>
      <c r="B192" s="76" t="str">
        <f>IF('Sch2a-Imp Price by ECM'!D193="","",'Sch2a-Imp Price by ECM'!D193)</f>
        <v/>
      </c>
      <c r="C192" s="197" t="str">
        <f>IF('Sch2a-Imp Price by ECM'!G193="","",'Sch2a-Imp Price by ECM'!G193)</f>
        <v/>
      </c>
      <c r="D192" s="132"/>
      <c r="E192" s="190"/>
      <c r="F192" s="190"/>
      <c r="G192" s="190"/>
      <c r="H192" s="190"/>
      <c r="I192" s="134"/>
      <c r="J192" s="190"/>
      <c r="K192" s="190"/>
      <c r="L192" s="133"/>
      <c r="M192" s="133"/>
      <c r="N192" s="133"/>
      <c r="O192" s="127"/>
      <c r="P192" s="190"/>
      <c r="Q192" s="133"/>
      <c r="R192" s="191"/>
      <c r="S192" s="133"/>
      <c r="T192" s="191"/>
      <c r="U192" s="192"/>
      <c r="V192" s="191"/>
      <c r="W192" s="192"/>
      <c r="X192" s="334"/>
      <c r="Y192" s="192"/>
      <c r="Z192" s="392">
        <f t="shared" si="8"/>
        <v>0</v>
      </c>
      <c r="AA192" s="393">
        <f t="shared" si="9"/>
        <v>0</v>
      </c>
      <c r="AB192" s="191"/>
      <c r="AC192" s="192"/>
      <c r="AD192" s="191"/>
      <c r="AE192" s="192"/>
      <c r="AF192" s="192"/>
      <c r="AG192" s="192"/>
      <c r="AH192" s="396">
        <f t="shared" si="10"/>
        <v>0</v>
      </c>
      <c r="AI192" s="64" t="str">
        <f>IF('Sch2a-Imp Price by ECM'!C193="Yes", 0, 'Sch2a-Imp Price by ECM'!L193)</f>
        <v/>
      </c>
      <c r="AJ192" s="225" t="str">
        <f>IF('Sch2a-Imp Price by ECM'!C193="Yes",0, IF(AI192="","",AI192/AH192))</f>
        <v/>
      </c>
      <c r="AK192" s="1" t="str">
        <f>IF('Sch2a-Imp Price by ECM'!M193="","",'Sch2a-Imp Price by ECM'!M193)</f>
        <v/>
      </c>
    </row>
    <row r="193" spans="1:37" ht="16.5" thickBot="1">
      <c r="A193" s="40" t="str">
        <f>IF('Sch2a-Imp Price by ECM'!B194="","",'Sch2a-Imp Price by ECM'!B194)</f>
        <v/>
      </c>
      <c r="B193" s="76" t="str">
        <f>IF('Sch2a-Imp Price by ECM'!D194="","",'Sch2a-Imp Price by ECM'!D194)</f>
        <v/>
      </c>
      <c r="C193" s="197" t="str">
        <f>IF('Sch2a-Imp Price by ECM'!G194="","",'Sch2a-Imp Price by ECM'!G194)</f>
        <v/>
      </c>
      <c r="D193" s="132"/>
      <c r="E193" s="190"/>
      <c r="F193" s="190"/>
      <c r="G193" s="190"/>
      <c r="H193" s="190"/>
      <c r="I193" s="134"/>
      <c r="J193" s="190"/>
      <c r="K193" s="190"/>
      <c r="L193" s="133"/>
      <c r="M193" s="133"/>
      <c r="N193" s="133"/>
      <c r="O193" s="127"/>
      <c r="P193" s="190"/>
      <c r="Q193" s="133"/>
      <c r="R193" s="191"/>
      <c r="S193" s="133"/>
      <c r="T193" s="191"/>
      <c r="U193" s="192"/>
      <c r="V193" s="191"/>
      <c r="W193" s="192"/>
      <c r="X193" s="334"/>
      <c r="Y193" s="192"/>
      <c r="Z193" s="392">
        <f t="shared" si="8"/>
        <v>0</v>
      </c>
      <c r="AA193" s="393">
        <f t="shared" si="9"/>
        <v>0</v>
      </c>
      <c r="AB193" s="191"/>
      <c r="AC193" s="192"/>
      <c r="AD193" s="191"/>
      <c r="AE193" s="192"/>
      <c r="AF193" s="192"/>
      <c r="AG193" s="192"/>
      <c r="AH193" s="396">
        <f t="shared" si="10"/>
        <v>0</v>
      </c>
      <c r="AI193" s="64" t="str">
        <f>IF('Sch2a-Imp Price by ECM'!C194="Yes", 0, 'Sch2a-Imp Price by ECM'!L194)</f>
        <v/>
      </c>
      <c r="AJ193" s="225" t="str">
        <f>IF('Sch2a-Imp Price by ECM'!C194="Yes",0, IF(AI193="","",AI193/AH193))</f>
        <v/>
      </c>
      <c r="AK193" s="1" t="str">
        <f>IF('Sch2a-Imp Price by ECM'!M194="","",'Sch2a-Imp Price by ECM'!M194)</f>
        <v/>
      </c>
    </row>
    <row r="194" spans="1:37" ht="16.5" thickBot="1">
      <c r="A194" s="40" t="str">
        <f>IF('Sch2a-Imp Price by ECM'!B195="","",'Sch2a-Imp Price by ECM'!B195)</f>
        <v/>
      </c>
      <c r="B194" s="76" t="str">
        <f>IF('Sch2a-Imp Price by ECM'!D195="","",'Sch2a-Imp Price by ECM'!D195)</f>
        <v/>
      </c>
      <c r="C194" s="197" t="str">
        <f>IF('Sch2a-Imp Price by ECM'!G195="","",'Sch2a-Imp Price by ECM'!G195)</f>
        <v/>
      </c>
      <c r="D194" s="132"/>
      <c r="E194" s="190"/>
      <c r="F194" s="190"/>
      <c r="G194" s="190"/>
      <c r="H194" s="190"/>
      <c r="I194" s="134"/>
      <c r="J194" s="190"/>
      <c r="K194" s="190"/>
      <c r="L194" s="133"/>
      <c r="M194" s="133"/>
      <c r="N194" s="133"/>
      <c r="O194" s="127"/>
      <c r="P194" s="190"/>
      <c r="Q194" s="133"/>
      <c r="R194" s="191"/>
      <c r="S194" s="133"/>
      <c r="T194" s="191"/>
      <c r="U194" s="192"/>
      <c r="V194" s="191"/>
      <c r="W194" s="192"/>
      <c r="X194" s="334"/>
      <c r="Y194" s="192"/>
      <c r="Z194" s="392">
        <f t="shared" si="8"/>
        <v>0</v>
      </c>
      <c r="AA194" s="393">
        <f t="shared" si="9"/>
        <v>0</v>
      </c>
      <c r="AB194" s="191"/>
      <c r="AC194" s="192"/>
      <c r="AD194" s="191"/>
      <c r="AE194" s="192"/>
      <c r="AF194" s="192"/>
      <c r="AG194" s="192"/>
      <c r="AH194" s="396">
        <f t="shared" si="10"/>
        <v>0</v>
      </c>
      <c r="AI194" s="64" t="str">
        <f>IF('Sch2a-Imp Price by ECM'!C195="Yes", 0, 'Sch2a-Imp Price by ECM'!L195)</f>
        <v/>
      </c>
      <c r="AJ194" s="225" t="str">
        <f>IF('Sch2a-Imp Price by ECM'!C195="Yes",0, IF(AI194="","",AI194/AH194))</f>
        <v/>
      </c>
      <c r="AK194" s="1" t="str">
        <f>IF('Sch2a-Imp Price by ECM'!M195="","",'Sch2a-Imp Price by ECM'!M195)</f>
        <v/>
      </c>
    </row>
    <row r="195" spans="1:37" ht="16.5" thickBot="1">
      <c r="A195" s="40" t="str">
        <f>IF('Sch2a-Imp Price by ECM'!B196="","",'Sch2a-Imp Price by ECM'!B196)</f>
        <v/>
      </c>
      <c r="B195" s="76" t="str">
        <f>IF('Sch2a-Imp Price by ECM'!D196="","",'Sch2a-Imp Price by ECM'!D196)</f>
        <v/>
      </c>
      <c r="C195" s="197" t="str">
        <f>IF('Sch2a-Imp Price by ECM'!G196="","",'Sch2a-Imp Price by ECM'!G196)</f>
        <v/>
      </c>
      <c r="D195" s="132"/>
      <c r="E195" s="190"/>
      <c r="F195" s="190"/>
      <c r="G195" s="190"/>
      <c r="H195" s="190"/>
      <c r="I195" s="134"/>
      <c r="J195" s="190"/>
      <c r="K195" s="190"/>
      <c r="L195" s="133"/>
      <c r="M195" s="133"/>
      <c r="N195" s="133"/>
      <c r="O195" s="127"/>
      <c r="P195" s="190"/>
      <c r="Q195" s="133"/>
      <c r="R195" s="191"/>
      <c r="S195" s="133"/>
      <c r="T195" s="191"/>
      <c r="U195" s="192"/>
      <c r="V195" s="191"/>
      <c r="W195" s="192"/>
      <c r="X195" s="334"/>
      <c r="Y195" s="192"/>
      <c r="Z195" s="392">
        <f t="shared" si="8"/>
        <v>0</v>
      </c>
      <c r="AA195" s="393">
        <f t="shared" si="9"/>
        <v>0</v>
      </c>
      <c r="AB195" s="191"/>
      <c r="AC195" s="192"/>
      <c r="AD195" s="191"/>
      <c r="AE195" s="192"/>
      <c r="AF195" s="192"/>
      <c r="AG195" s="192"/>
      <c r="AH195" s="396">
        <f t="shared" si="10"/>
        <v>0</v>
      </c>
      <c r="AI195" s="64" t="str">
        <f>IF('Sch2a-Imp Price by ECM'!C196="Yes", 0, 'Sch2a-Imp Price by ECM'!L196)</f>
        <v/>
      </c>
      <c r="AJ195" s="225" t="str">
        <f>IF('Sch2a-Imp Price by ECM'!C196="Yes",0, IF(AI195="","",AI195/AH195))</f>
        <v/>
      </c>
      <c r="AK195" s="1" t="str">
        <f>IF('Sch2a-Imp Price by ECM'!M196="","",'Sch2a-Imp Price by ECM'!M196)</f>
        <v/>
      </c>
    </row>
    <row r="196" spans="1:37" ht="16.5" thickBot="1">
      <c r="A196" s="40" t="str">
        <f>IF('Sch2a-Imp Price by ECM'!B197="","",'Sch2a-Imp Price by ECM'!B197)</f>
        <v/>
      </c>
      <c r="B196" s="76" t="str">
        <f>IF('Sch2a-Imp Price by ECM'!D197="","",'Sch2a-Imp Price by ECM'!D197)</f>
        <v/>
      </c>
      <c r="C196" s="197" t="str">
        <f>IF('Sch2a-Imp Price by ECM'!G197="","",'Sch2a-Imp Price by ECM'!G197)</f>
        <v/>
      </c>
      <c r="D196" s="132"/>
      <c r="E196" s="190"/>
      <c r="F196" s="190"/>
      <c r="G196" s="190"/>
      <c r="H196" s="190"/>
      <c r="I196" s="134"/>
      <c r="J196" s="190"/>
      <c r="K196" s="190"/>
      <c r="L196" s="133"/>
      <c r="M196" s="133"/>
      <c r="N196" s="133"/>
      <c r="O196" s="127"/>
      <c r="P196" s="190"/>
      <c r="Q196" s="133"/>
      <c r="R196" s="191"/>
      <c r="S196" s="133"/>
      <c r="T196" s="191"/>
      <c r="U196" s="192"/>
      <c r="V196" s="191"/>
      <c r="W196" s="192"/>
      <c r="X196" s="334"/>
      <c r="Y196" s="192"/>
      <c r="Z196" s="392">
        <f t="shared" si="8"/>
        <v>0</v>
      </c>
      <c r="AA196" s="393">
        <f t="shared" si="9"/>
        <v>0</v>
      </c>
      <c r="AB196" s="191"/>
      <c r="AC196" s="192"/>
      <c r="AD196" s="191"/>
      <c r="AE196" s="192"/>
      <c r="AF196" s="192"/>
      <c r="AG196" s="192"/>
      <c r="AH196" s="396">
        <f t="shared" si="10"/>
        <v>0</v>
      </c>
      <c r="AI196" s="64" t="str">
        <f>IF('Sch2a-Imp Price by ECM'!C197="Yes", 0, 'Sch2a-Imp Price by ECM'!L197)</f>
        <v/>
      </c>
      <c r="AJ196" s="225" t="str">
        <f>IF('Sch2a-Imp Price by ECM'!C197="Yes",0, IF(AI196="","",AI196/AH196))</f>
        <v/>
      </c>
      <c r="AK196" s="1" t="str">
        <f>IF('Sch2a-Imp Price by ECM'!M197="","",'Sch2a-Imp Price by ECM'!M197)</f>
        <v/>
      </c>
    </row>
    <row r="197" spans="1:37" ht="16.5" thickBot="1">
      <c r="A197" s="40" t="str">
        <f>IF('Sch2a-Imp Price by ECM'!B198="","",'Sch2a-Imp Price by ECM'!B198)</f>
        <v/>
      </c>
      <c r="B197" s="76" t="str">
        <f>IF('Sch2a-Imp Price by ECM'!D198="","",'Sch2a-Imp Price by ECM'!D198)</f>
        <v/>
      </c>
      <c r="C197" s="197" t="str">
        <f>IF('Sch2a-Imp Price by ECM'!G198="","",'Sch2a-Imp Price by ECM'!G198)</f>
        <v/>
      </c>
      <c r="D197" s="132"/>
      <c r="E197" s="190"/>
      <c r="F197" s="190"/>
      <c r="G197" s="190"/>
      <c r="H197" s="190"/>
      <c r="I197" s="134"/>
      <c r="J197" s="190"/>
      <c r="K197" s="190"/>
      <c r="L197" s="133"/>
      <c r="M197" s="133"/>
      <c r="N197" s="133"/>
      <c r="O197" s="127"/>
      <c r="P197" s="190"/>
      <c r="Q197" s="133"/>
      <c r="R197" s="191"/>
      <c r="S197" s="133"/>
      <c r="T197" s="191"/>
      <c r="U197" s="192"/>
      <c r="V197" s="191"/>
      <c r="W197" s="192"/>
      <c r="X197" s="334"/>
      <c r="Y197" s="192"/>
      <c r="Z197" s="392">
        <f t="shared" si="8"/>
        <v>0</v>
      </c>
      <c r="AA197" s="393">
        <f t="shared" si="9"/>
        <v>0</v>
      </c>
      <c r="AB197" s="191"/>
      <c r="AC197" s="192"/>
      <c r="AD197" s="191"/>
      <c r="AE197" s="192"/>
      <c r="AF197" s="192"/>
      <c r="AG197" s="192"/>
      <c r="AH197" s="396">
        <f t="shared" si="10"/>
        <v>0</v>
      </c>
      <c r="AI197" s="64" t="str">
        <f>IF('Sch2a-Imp Price by ECM'!C198="Yes", 0, 'Sch2a-Imp Price by ECM'!L198)</f>
        <v/>
      </c>
      <c r="AJ197" s="225" t="str">
        <f>IF('Sch2a-Imp Price by ECM'!C198="Yes",0, IF(AI197="","",AI197/AH197))</f>
        <v/>
      </c>
      <c r="AK197" s="1" t="str">
        <f>IF('Sch2a-Imp Price by ECM'!M198="","",'Sch2a-Imp Price by ECM'!M198)</f>
        <v/>
      </c>
    </row>
    <row r="198" spans="1:37" ht="16.5" thickBot="1">
      <c r="A198" s="40" t="str">
        <f>IF('Sch2a-Imp Price by ECM'!B199="","",'Sch2a-Imp Price by ECM'!B199)</f>
        <v/>
      </c>
      <c r="B198" s="76" t="str">
        <f>IF('Sch2a-Imp Price by ECM'!D199="","",'Sch2a-Imp Price by ECM'!D199)</f>
        <v/>
      </c>
      <c r="C198" s="197" t="str">
        <f>IF('Sch2a-Imp Price by ECM'!G199="","",'Sch2a-Imp Price by ECM'!G199)</f>
        <v/>
      </c>
      <c r="D198" s="132"/>
      <c r="E198" s="190"/>
      <c r="F198" s="190"/>
      <c r="G198" s="190"/>
      <c r="H198" s="190"/>
      <c r="I198" s="134"/>
      <c r="J198" s="190"/>
      <c r="K198" s="190"/>
      <c r="L198" s="133"/>
      <c r="M198" s="133"/>
      <c r="N198" s="133"/>
      <c r="O198" s="134"/>
      <c r="P198" s="190"/>
      <c r="Q198" s="133"/>
      <c r="R198" s="191"/>
      <c r="S198" s="133"/>
      <c r="T198" s="191"/>
      <c r="U198" s="192"/>
      <c r="V198" s="191"/>
      <c r="W198" s="192"/>
      <c r="X198" s="334"/>
      <c r="Y198" s="192"/>
      <c r="Z198" s="392">
        <f t="shared" si="8"/>
        <v>0</v>
      </c>
      <c r="AA198" s="393">
        <f t="shared" si="9"/>
        <v>0</v>
      </c>
      <c r="AB198" s="191"/>
      <c r="AC198" s="192"/>
      <c r="AD198" s="191"/>
      <c r="AE198" s="192"/>
      <c r="AF198" s="192"/>
      <c r="AG198" s="192"/>
      <c r="AH198" s="396">
        <f t="shared" si="10"/>
        <v>0</v>
      </c>
      <c r="AI198" s="64" t="str">
        <f>IF('Sch2a-Imp Price by ECM'!C199="Yes", 0, 'Sch2a-Imp Price by ECM'!L199)</f>
        <v/>
      </c>
      <c r="AJ198" s="225" t="str">
        <f>IF('Sch2a-Imp Price by ECM'!C199="Yes",0, IF(AI198="","",AI198/AH198))</f>
        <v/>
      </c>
      <c r="AK198" s="1" t="str">
        <f>IF('Sch2a-Imp Price by ECM'!M199="","",'Sch2a-Imp Price by ECM'!M199)</f>
        <v/>
      </c>
    </row>
    <row r="199" spans="1:37" ht="16.5" thickBot="1">
      <c r="A199" s="40" t="str">
        <f>IF('Sch2a-Imp Price by ECM'!B200="","",'Sch2a-Imp Price by ECM'!B200)</f>
        <v/>
      </c>
      <c r="B199" s="76" t="str">
        <f>IF('Sch2a-Imp Price by ECM'!D200="","",'Sch2a-Imp Price by ECM'!D200)</f>
        <v/>
      </c>
      <c r="C199" s="197" t="str">
        <f>IF('Sch2a-Imp Price by ECM'!G200="","",'Sch2a-Imp Price by ECM'!G200)</f>
        <v/>
      </c>
      <c r="D199" s="132"/>
      <c r="E199" s="190"/>
      <c r="F199" s="190"/>
      <c r="G199" s="190"/>
      <c r="H199" s="190"/>
      <c r="I199" s="134"/>
      <c r="J199" s="190"/>
      <c r="K199" s="190"/>
      <c r="L199" s="133"/>
      <c r="M199" s="133"/>
      <c r="N199" s="133"/>
      <c r="O199" s="134"/>
      <c r="P199" s="190"/>
      <c r="Q199" s="133"/>
      <c r="R199" s="191"/>
      <c r="S199" s="133"/>
      <c r="T199" s="191"/>
      <c r="U199" s="192"/>
      <c r="V199" s="191"/>
      <c r="W199" s="192"/>
      <c r="X199" s="334"/>
      <c r="Y199" s="192"/>
      <c r="Z199" s="392">
        <f t="shared" si="8"/>
        <v>0</v>
      </c>
      <c r="AA199" s="393">
        <f t="shared" si="9"/>
        <v>0</v>
      </c>
      <c r="AB199" s="191"/>
      <c r="AC199" s="192"/>
      <c r="AD199" s="191"/>
      <c r="AE199" s="192"/>
      <c r="AF199" s="192"/>
      <c r="AG199" s="192"/>
      <c r="AH199" s="396">
        <f t="shared" si="10"/>
        <v>0</v>
      </c>
      <c r="AI199" s="64" t="str">
        <f>IF('Sch2a-Imp Price by ECM'!C200="Yes", 0, 'Sch2a-Imp Price by ECM'!L200)</f>
        <v/>
      </c>
      <c r="AJ199" s="225" t="str">
        <f>IF('Sch2a-Imp Price by ECM'!C200="Yes",0, IF(AI199="","",AI199/AH199))</f>
        <v/>
      </c>
      <c r="AK199" s="1" t="str">
        <f>IF('Sch2a-Imp Price by ECM'!M200="","",'Sch2a-Imp Price by ECM'!M200)</f>
        <v/>
      </c>
    </row>
    <row r="200" spans="1:37" ht="16.5" thickBot="1">
      <c r="A200" s="40" t="str">
        <f>IF('Sch2a-Imp Price by ECM'!B201="","",'Sch2a-Imp Price by ECM'!B201)</f>
        <v/>
      </c>
      <c r="B200" s="76" t="str">
        <f>IF('Sch2a-Imp Price by ECM'!D201="","",'Sch2a-Imp Price by ECM'!D201)</f>
        <v/>
      </c>
      <c r="C200" s="197" t="str">
        <f>IF('Sch2a-Imp Price by ECM'!G201="","",'Sch2a-Imp Price by ECM'!G201)</f>
        <v/>
      </c>
      <c r="D200" s="132"/>
      <c r="E200" s="190"/>
      <c r="F200" s="190"/>
      <c r="G200" s="190"/>
      <c r="H200" s="190"/>
      <c r="I200" s="134"/>
      <c r="J200" s="190"/>
      <c r="K200" s="190"/>
      <c r="L200" s="133"/>
      <c r="M200" s="133"/>
      <c r="N200" s="133"/>
      <c r="O200" s="134"/>
      <c r="P200" s="190"/>
      <c r="Q200" s="133"/>
      <c r="R200" s="191"/>
      <c r="S200" s="133"/>
      <c r="T200" s="191"/>
      <c r="U200" s="192"/>
      <c r="V200" s="191"/>
      <c r="W200" s="192"/>
      <c r="X200" s="334"/>
      <c r="Y200" s="192"/>
      <c r="Z200" s="392">
        <f t="shared" si="8"/>
        <v>0</v>
      </c>
      <c r="AA200" s="393">
        <f t="shared" si="9"/>
        <v>0</v>
      </c>
      <c r="AB200" s="191"/>
      <c r="AC200" s="192"/>
      <c r="AD200" s="191"/>
      <c r="AE200" s="192"/>
      <c r="AF200" s="192"/>
      <c r="AG200" s="192"/>
      <c r="AH200" s="396">
        <f t="shared" si="10"/>
        <v>0</v>
      </c>
      <c r="AI200" s="64" t="str">
        <f>IF('Sch2a-Imp Price by ECM'!C201="Yes", 0, 'Sch2a-Imp Price by ECM'!L201)</f>
        <v/>
      </c>
      <c r="AJ200" s="225" t="str">
        <f>IF('Sch2a-Imp Price by ECM'!C201="Yes",0, IF(AI200="","",AI200/AH200))</f>
        <v/>
      </c>
      <c r="AK200" s="1" t="str">
        <f>IF('Sch2a-Imp Price by ECM'!M201="","",'Sch2a-Imp Price by ECM'!M201)</f>
        <v/>
      </c>
    </row>
    <row r="201" spans="1:37" ht="16.5" thickBot="1">
      <c r="A201" s="40" t="str">
        <f>IF('Sch2a-Imp Price by ECM'!B202="","",'Sch2a-Imp Price by ECM'!B202)</f>
        <v/>
      </c>
      <c r="B201" s="76" t="str">
        <f>IF('Sch2a-Imp Price by ECM'!D202="","",'Sch2a-Imp Price by ECM'!D202)</f>
        <v/>
      </c>
      <c r="C201" s="197" t="str">
        <f>IF('Sch2a-Imp Price by ECM'!G202="","",'Sch2a-Imp Price by ECM'!G202)</f>
        <v/>
      </c>
      <c r="D201" s="132"/>
      <c r="E201" s="190"/>
      <c r="F201" s="190"/>
      <c r="G201" s="190"/>
      <c r="H201" s="190"/>
      <c r="I201" s="134"/>
      <c r="J201" s="190"/>
      <c r="K201" s="190"/>
      <c r="L201" s="133"/>
      <c r="M201" s="133"/>
      <c r="N201" s="133"/>
      <c r="O201" s="134"/>
      <c r="P201" s="190"/>
      <c r="Q201" s="133"/>
      <c r="R201" s="191"/>
      <c r="S201" s="133"/>
      <c r="T201" s="191"/>
      <c r="U201" s="192"/>
      <c r="V201" s="191"/>
      <c r="W201" s="192"/>
      <c r="X201" s="334"/>
      <c r="Y201" s="192"/>
      <c r="Z201" s="392">
        <f t="shared" ref="Z201:Z257" si="11">(P201*3412/10^6)+T201+V201+X201</f>
        <v>0</v>
      </c>
      <c r="AA201" s="393">
        <f t="shared" ref="AA201:AA257" si="12">Q201+S201+W201+Y201+U201</f>
        <v>0</v>
      </c>
      <c r="AB201" s="191"/>
      <c r="AC201" s="192"/>
      <c r="AD201" s="191"/>
      <c r="AE201" s="192"/>
      <c r="AF201" s="192"/>
      <c r="AG201" s="192"/>
      <c r="AH201" s="396">
        <f t="shared" ref="AH201:AH257" si="13">AA201+AC201+AE201+AF201+AG201</f>
        <v>0</v>
      </c>
      <c r="AI201" s="64" t="str">
        <f>IF('Sch2a-Imp Price by ECM'!C202="Yes", 0, 'Sch2a-Imp Price by ECM'!L202)</f>
        <v/>
      </c>
      <c r="AJ201" s="225" t="str">
        <f>IF('Sch2a-Imp Price by ECM'!C202="Yes",0, IF(AI201="","",AI201/AH201))</f>
        <v/>
      </c>
      <c r="AK201" s="1" t="str">
        <f>IF('Sch2a-Imp Price by ECM'!M202="","",'Sch2a-Imp Price by ECM'!M202)</f>
        <v/>
      </c>
    </row>
    <row r="202" spans="1:37" ht="18" customHeight="1" thickBot="1">
      <c r="A202" s="40" t="str">
        <f>IF('Sch2a-Imp Price by ECM'!B203="","",'Sch2a-Imp Price by ECM'!B203)</f>
        <v/>
      </c>
      <c r="B202" s="76" t="str">
        <f>IF('Sch2a-Imp Price by ECM'!D203="","",'Sch2a-Imp Price by ECM'!D203)</f>
        <v/>
      </c>
      <c r="C202" s="197" t="str">
        <f>IF('Sch2a-Imp Price by ECM'!G203="","",'Sch2a-Imp Price by ECM'!G203)</f>
        <v/>
      </c>
      <c r="D202" s="132"/>
      <c r="E202" s="190"/>
      <c r="F202" s="190"/>
      <c r="G202" s="190"/>
      <c r="H202" s="190"/>
      <c r="I202" s="134"/>
      <c r="J202" s="190"/>
      <c r="K202" s="190"/>
      <c r="L202" s="133"/>
      <c r="M202" s="133"/>
      <c r="N202" s="133"/>
      <c r="O202" s="134"/>
      <c r="P202" s="190"/>
      <c r="Q202" s="133"/>
      <c r="R202" s="191"/>
      <c r="S202" s="133"/>
      <c r="T202" s="191"/>
      <c r="U202" s="192"/>
      <c r="V202" s="191"/>
      <c r="W202" s="192"/>
      <c r="X202" s="334"/>
      <c r="Y202" s="192"/>
      <c r="Z202" s="392">
        <f t="shared" si="11"/>
        <v>0</v>
      </c>
      <c r="AA202" s="393">
        <f t="shared" si="12"/>
        <v>0</v>
      </c>
      <c r="AB202" s="191"/>
      <c r="AC202" s="192"/>
      <c r="AD202" s="191"/>
      <c r="AE202" s="192"/>
      <c r="AF202" s="192"/>
      <c r="AG202" s="192"/>
      <c r="AH202" s="396">
        <f t="shared" si="13"/>
        <v>0</v>
      </c>
      <c r="AI202" s="64" t="str">
        <f>IF('Sch2a-Imp Price by ECM'!C203="Yes", 0, 'Sch2a-Imp Price by ECM'!L203)</f>
        <v/>
      </c>
      <c r="AJ202" s="225" t="str">
        <f>IF('Sch2a-Imp Price by ECM'!C203="Yes",0, IF(AI202="","",AI202/AH202))</f>
        <v/>
      </c>
      <c r="AK202" s="1" t="str">
        <f>IF('Sch2a-Imp Price by ECM'!M203="","",'Sch2a-Imp Price by ECM'!M203)</f>
        <v/>
      </c>
    </row>
    <row r="203" spans="1:37" ht="16.5" thickBot="1">
      <c r="A203" s="40" t="str">
        <f>IF('Sch2a-Imp Price by ECM'!B204="","",'Sch2a-Imp Price by ECM'!B204)</f>
        <v/>
      </c>
      <c r="B203" s="76" t="str">
        <f>IF('Sch2a-Imp Price by ECM'!D204="","",'Sch2a-Imp Price by ECM'!D204)</f>
        <v/>
      </c>
      <c r="C203" s="197" t="str">
        <f>IF('Sch2a-Imp Price by ECM'!G204="","",'Sch2a-Imp Price by ECM'!G204)</f>
        <v/>
      </c>
      <c r="D203" s="132"/>
      <c r="E203" s="190"/>
      <c r="F203" s="190"/>
      <c r="G203" s="190"/>
      <c r="H203" s="190"/>
      <c r="I203" s="134"/>
      <c r="J203" s="190"/>
      <c r="K203" s="190"/>
      <c r="L203" s="133"/>
      <c r="M203" s="133"/>
      <c r="N203" s="133"/>
      <c r="O203" s="134"/>
      <c r="P203" s="190"/>
      <c r="Q203" s="133"/>
      <c r="R203" s="191"/>
      <c r="S203" s="133"/>
      <c r="T203" s="191"/>
      <c r="U203" s="192"/>
      <c r="V203" s="191"/>
      <c r="W203" s="192"/>
      <c r="X203" s="334"/>
      <c r="Y203" s="192"/>
      <c r="Z203" s="392">
        <f t="shared" si="11"/>
        <v>0</v>
      </c>
      <c r="AA203" s="393">
        <f t="shared" si="12"/>
        <v>0</v>
      </c>
      <c r="AB203" s="191"/>
      <c r="AC203" s="192"/>
      <c r="AD203" s="191"/>
      <c r="AE203" s="192"/>
      <c r="AF203" s="192"/>
      <c r="AG203" s="192"/>
      <c r="AH203" s="396">
        <f t="shared" si="13"/>
        <v>0</v>
      </c>
      <c r="AI203" s="64" t="str">
        <f>IF('Sch2a-Imp Price by ECM'!C204="Yes", 0, 'Sch2a-Imp Price by ECM'!L204)</f>
        <v/>
      </c>
      <c r="AJ203" s="225" t="str">
        <f>IF('Sch2a-Imp Price by ECM'!C204="Yes",0, IF(AI203="","",AI203/AH203))</f>
        <v/>
      </c>
      <c r="AK203" s="1" t="str">
        <f>IF('Sch2a-Imp Price by ECM'!M204="","",'Sch2a-Imp Price by ECM'!M204)</f>
        <v/>
      </c>
    </row>
    <row r="204" spans="1:37" ht="16.5" thickBot="1">
      <c r="A204" s="40" t="str">
        <f>IF('Sch2a-Imp Price by ECM'!B205="","",'Sch2a-Imp Price by ECM'!B205)</f>
        <v/>
      </c>
      <c r="B204" s="76" t="str">
        <f>IF('Sch2a-Imp Price by ECM'!D205="","",'Sch2a-Imp Price by ECM'!D205)</f>
        <v/>
      </c>
      <c r="C204" s="197" t="str">
        <f>IF('Sch2a-Imp Price by ECM'!G205="","",'Sch2a-Imp Price by ECM'!G205)</f>
        <v/>
      </c>
      <c r="D204" s="132"/>
      <c r="E204" s="190"/>
      <c r="F204" s="190"/>
      <c r="G204" s="190"/>
      <c r="H204" s="190"/>
      <c r="I204" s="134"/>
      <c r="J204" s="190"/>
      <c r="K204" s="190"/>
      <c r="L204" s="133"/>
      <c r="M204" s="133"/>
      <c r="N204" s="133"/>
      <c r="O204" s="134"/>
      <c r="P204" s="190"/>
      <c r="Q204" s="133"/>
      <c r="R204" s="191"/>
      <c r="S204" s="133"/>
      <c r="T204" s="191"/>
      <c r="U204" s="192"/>
      <c r="V204" s="191"/>
      <c r="W204" s="192"/>
      <c r="X204" s="334"/>
      <c r="Y204" s="192"/>
      <c r="Z204" s="392">
        <f t="shared" si="11"/>
        <v>0</v>
      </c>
      <c r="AA204" s="393">
        <f t="shared" si="12"/>
        <v>0</v>
      </c>
      <c r="AB204" s="191"/>
      <c r="AC204" s="192"/>
      <c r="AD204" s="191"/>
      <c r="AE204" s="192"/>
      <c r="AF204" s="192"/>
      <c r="AG204" s="192"/>
      <c r="AH204" s="396">
        <f t="shared" si="13"/>
        <v>0</v>
      </c>
      <c r="AI204" s="64" t="str">
        <f>IF('Sch2a-Imp Price by ECM'!C205="Yes", 0, 'Sch2a-Imp Price by ECM'!L205)</f>
        <v/>
      </c>
      <c r="AJ204" s="225" t="str">
        <f>IF('Sch2a-Imp Price by ECM'!C205="Yes",0, IF(AI204="","",AI204/AH204))</f>
        <v/>
      </c>
      <c r="AK204" s="1" t="str">
        <f>IF('Sch2a-Imp Price by ECM'!M205="","",'Sch2a-Imp Price by ECM'!M205)</f>
        <v/>
      </c>
    </row>
    <row r="205" spans="1:37" ht="16.5" thickBot="1">
      <c r="A205" s="40" t="str">
        <f>IF('Sch2a-Imp Price by ECM'!B206="","",'Sch2a-Imp Price by ECM'!B206)</f>
        <v/>
      </c>
      <c r="B205" s="76" t="str">
        <f>IF('Sch2a-Imp Price by ECM'!D206="","",'Sch2a-Imp Price by ECM'!D206)</f>
        <v/>
      </c>
      <c r="C205" s="197" t="str">
        <f>IF('Sch2a-Imp Price by ECM'!G206="","",'Sch2a-Imp Price by ECM'!G206)</f>
        <v/>
      </c>
      <c r="D205" s="132"/>
      <c r="E205" s="190"/>
      <c r="F205" s="190"/>
      <c r="G205" s="190"/>
      <c r="H205" s="190"/>
      <c r="I205" s="134"/>
      <c r="J205" s="190"/>
      <c r="K205" s="190"/>
      <c r="L205" s="133"/>
      <c r="M205" s="133"/>
      <c r="N205" s="133"/>
      <c r="O205" s="127"/>
      <c r="P205" s="190"/>
      <c r="Q205" s="133"/>
      <c r="R205" s="191"/>
      <c r="S205" s="133"/>
      <c r="T205" s="191"/>
      <c r="U205" s="192"/>
      <c r="V205" s="191"/>
      <c r="W205" s="192"/>
      <c r="X205" s="334"/>
      <c r="Y205" s="192"/>
      <c r="Z205" s="392">
        <f t="shared" si="11"/>
        <v>0</v>
      </c>
      <c r="AA205" s="393">
        <f t="shared" si="12"/>
        <v>0</v>
      </c>
      <c r="AB205" s="191"/>
      <c r="AC205" s="192"/>
      <c r="AD205" s="191"/>
      <c r="AE205" s="192"/>
      <c r="AF205" s="192"/>
      <c r="AG205" s="192"/>
      <c r="AH205" s="396">
        <f t="shared" si="13"/>
        <v>0</v>
      </c>
      <c r="AI205" s="64" t="str">
        <f>IF('Sch2a-Imp Price by ECM'!C206="Yes", 0, 'Sch2a-Imp Price by ECM'!L206)</f>
        <v/>
      </c>
      <c r="AJ205" s="225" t="str">
        <f>IF('Sch2a-Imp Price by ECM'!C206="Yes",0, IF(AI205="","",AI205/AH205))</f>
        <v/>
      </c>
      <c r="AK205" s="1" t="str">
        <f>IF('Sch2a-Imp Price by ECM'!M206="","",'Sch2a-Imp Price by ECM'!M206)</f>
        <v/>
      </c>
    </row>
    <row r="206" spans="1:37" ht="16.5" thickBot="1">
      <c r="A206" s="40" t="str">
        <f>IF('Sch2a-Imp Price by ECM'!B207="","",'Sch2a-Imp Price by ECM'!B207)</f>
        <v/>
      </c>
      <c r="B206" s="76" t="str">
        <f>IF('Sch2a-Imp Price by ECM'!D207="","",'Sch2a-Imp Price by ECM'!D207)</f>
        <v/>
      </c>
      <c r="C206" s="197" t="str">
        <f>IF('Sch2a-Imp Price by ECM'!G207="","",'Sch2a-Imp Price by ECM'!G207)</f>
        <v/>
      </c>
      <c r="D206" s="132"/>
      <c r="E206" s="190"/>
      <c r="F206" s="190"/>
      <c r="G206" s="190"/>
      <c r="H206" s="190"/>
      <c r="I206" s="134"/>
      <c r="J206" s="190"/>
      <c r="K206" s="190"/>
      <c r="L206" s="133"/>
      <c r="M206" s="133"/>
      <c r="N206" s="133"/>
      <c r="O206" s="127"/>
      <c r="P206" s="190"/>
      <c r="Q206" s="133"/>
      <c r="R206" s="191"/>
      <c r="S206" s="133"/>
      <c r="T206" s="191"/>
      <c r="U206" s="192"/>
      <c r="V206" s="191"/>
      <c r="W206" s="192"/>
      <c r="X206" s="334"/>
      <c r="Y206" s="192"/>
      <c r="Z206" s="392">
        <f t="shared" si="11"/>
        <v>0</v>
      </c>
      <c r="AA206" s="393">
        <f t="shared" si="12"/>
        <v>0</v>
      </c>
      <c r="AB206" s="191"/>
      <c r="AC206" s="192"/>
      <c r="AD206" s="191"/>
      <c r="AE206" s="192"/>
      <c r="AF206" s="192"/>
      <c r="AG206" s="192"/>
      <c r="AH206" s="396">
        <f t="shared" si="13"/>
        <v>0</v>
      </c>
      <c r="AI206" s="64" t="str">
        <f>IF('Sch2a-Imp Price by ECM'!C207="Yes", 0, 'Sch2a-Imp Price by ECM'!L207)</f>
        <v/>
      </c>
      <c r="AJ206" s="225" t="str">
        <f>IF('Sch2a-Imp Price by ECM'!C207="Yes",0, IF(AI206="","",AI206/AH206))</f>
        <v/>
      </c>
      <c r="AK206" s="1" t="str">
        <f>IF('Sch2a-Imp Price by ECM'!M207="","",'Sch2a-Imp Price by ECM'!M207)</f>
        <v/>
      </c>
    </row>
    <row r="207" spans="1:37" ht="16.5" thickBot="1">
      <c r="A207" s="40" t="str">
        <f>IF('Sch2a-Imp Price by ECM'!B208="","",'Sch2a-Imp Price by ECM'!B208)</f>
        <v/>
      </c>
      <c r="B207" s="76" t="str">
        <f>IF('Sch2a-Imp Price by ECM'!D208="","",'Sch2a-Imp Price by ECM'!D208)</f>
        <v/>
      </c>
      <c r="C207" s="197" t="str">
        <f>IF('Sch2a-Imp Price by ECM'!G208="","",'Sch2a-Imp Price by ECM'!G208)</f>
        <v/>
      </c>
      <c r="D207" s="132"/>
      <c r="E207" s="190"/>
      <c r="F207" s="190"/>
      <c r="G207" s="190"/>
      <c r="H207" s="190"/>
      <c r="I207" s="134"/>
      <c r="J207" s="190"/>
      <c r="K207" s="190"/>
      <c r="L207" s="133"/>
      <c r="M207" s="133"/>
      <c r="N207" s="133"/>
      <c r="O207" s="127"/>
      <c r="P207" s="190"/>
      <c r="Q207" s="133"/>
      <c r="R207" s="191"/>
      <c r="S207" s="133"/>
      <c r="T207" s="191"/>
      <c r="U207" s="192"/>
      <c r="V207" s="191"/>
      <c r="W207" s="192"/>
      <c r="X207" s="334"/>
      <c r="Y207" s="192"/>
      <c r="Z207" s="392">
        <f t="shared" si="11"/>
        <v>0</v>
      </c>
      <c r="AA207" s="393">
        <f t="shared" si="12"/>
        <v>0</v>
      </c>
      <c r="AB207" s="191"/>
      <c r="AC207" s="192"/>
      <c r="AD207" s="191"/>
      <c r="AE207" s="192"/>
      <c r="AF207" s="192"/>
      <c r="AG207" s="192"/>
      <c r="AH207" s="396">
        <f t="shared" si="13"/>
        <v>0</v>
      </c>
      <c r="AI207" s="64" t="str">
        <f>IF('Sch2a-Imp Price by ECM'!C208="Yes", 0, 'Sch2a-Imp Price by ECM'!L208)</f>
        <v/>
      </c>
      <c r="AJ207" s="225" t="str">
        <f>IF('Sch2a-Imp Price by ECM'!C208="Yes",0, IF(AI207="","",AI207/AH207))</f>
        <v/>
      </c>
      <c r="AK207" s="1" t="str">
        <f>IF('Sch2a-Imp Price by ECM'!M208="","",'Sch2a-Imp Price by ECM'!M208)</f>
        <v/>
      </c>
    </row>
    <row r="208" spans="1:37" ht="16.5" thickBot="1">
      <c r="A208" s="40" t="str">
        <f>IF('Sch2a-Imp Price by ECM'!B209="","",'Sch2a-Imp Price by ECM'!B209)</f>
        <v/>
      </c>
      <c r="B208" s="76" t="str">
        <f>IF('Sch2a-Imp Price by ECM'!D209="","",'Sch2a-Imp Price by ECM'!D209)</f>
        <v/>
      </c>
      <c r="C208" s="197" t="str">
        <f>IF('Sch2a-Imp Price by ECM'!G209="","",'Sch2a-Imp Price by ECM'!G209)</f>
        <v/>
      </c>
      <c r="D208" s="132"/>
      <c r="E208" s="190"/>
      <c r="F208" s="190"/>
      <c r="G208" s="190"/>
      <c r="H208" s="190"/>
      <c r="I208" s="134"/>
      <c r="J208" s="190"/>
      <c r="K208" s="190"/>
      <c r="L208" s="133"/>
      <c r="M208" s="133"/>
      <c r="N208" s="133"/>
      <c r="O208" s="127"/>
      <c r="P208" s="190"/>
      <c r="Q208" s="133"/>
      <c r="R208" s="191"/>
      <c r="S208" s="133"/>
      <c r="T208" s="191"/>
      <c r="U208" s="192"/>
      <c r="V208" s="191"/>
      <c r="W208" s="192"/>
      <c r="X208" s="334"/>
      <c r="Y208" s="192"/>
      <c r="Z208" s="392">
        <f t="shared" si="11"/>
        <v>0</v>
      </c>
      <c r="AA208" s="393">
        <f t="shared" si="12"/>
        <v>0</v>
      </c>
      <c r="AB208" s="191"/>
      <c r="AC208" s="192"/>
      <c r="AD208" s="191"/>
      <c r="AE208" s="192"/>
      <c r="AF208" s="192"/>
      <c r="AG208" s="192"/>
      <c r="AH208" s="396">
        <f t="shared" si="13"/>
        <v>0</v>
      </c>
      <c r="AI208" s="64" t="str">
        <f>IF('Sch2a-Imp Price by ECM'!C209="Yes", 0, 'Sch2a-Imp Price by ECM'!L209)</f>
        <v/>
      </c>
      <c r="AJ208" s="225" t="str">
        <f>IF('Sch2a-Imp Price by ECM'!C209="Yes",0, IF(AI208="","",AI208/AH208))</f>
        <v/>
      </c>
      <c r="AK208" s="1" t="str">
        <f>IF('Sch2a-Imp Price by ECM'!M209="","",'Sch2a-Imp Price by ECM'!M209)</f>
        <v/>
      </c>
    </row>
    <row r="209" spans="1:37" ht="16.5" thickBot="1">
      <c r="A209" s="40" t="str">
        <f>IF('Sch2a-Imp Price by ECM'!B210="","",'Sch2a-Imp Price by ECM'!B210)</f>
        <v/>
      </c>
      <c r="B209" s="76" t="str">
        <f>IF('Sch2a-Imp Price by ECM'!D210="","",'Sch2a-Imp Price by ECM'!D210)</f>
        <v/>
      </c>
      <c r="C209" s="197" t="str">
        <f>IF('Sch2a-Imp Price by ECM'!G210="","",'Sch2a-Imp Price by ECM'!G210)</f>
        <v/>
      </c>
      <c r="D209" s="132"/>
      <c r="E209" s="190"/>
      <c r="F209" s="190"/>
      <c r="G209" s="190"/>
      <c r="H209" s="190"/>
      <c r="I209" s="134"/>
      <c r="J209" s="190"/>
      <c r="K209" s="190"/>
      <c r="L209" s="133"/>
      <c r="M209" s="133"/>
      <c r="N209" s="133"/>
      <c r="O209" s="127"/>
      <c r="P209" s="190"/>
      <c r="Q209" s="133"/>
      <c r="R209" s="191"/>
      <c r="S209" s="133"/>
      <c r="T209" s="191"/>
      <c r="U209" s="192"/>
      <c r="V209" s="191"/>
      <c r="W209" s="192"/>
      <c r="X209" s="334"/>
      <c r="Y209" s="192"/>
      <c r="Z209" s="392">
        <f t="shared" si="11"/>
        <v>0</v>
      </c>
      <c r="AA209" s="393">
        <f t="shared" si="12"/>
        <v>0</v>
      </c>
      <c r="AB209" s="191"/>
      <c r="AC209" s="192"/>
      <c r="AD209" s="191"/>
      <c r="AE209" s="192"/>
      <c r="AF209" s="192"/>
      <c r="AG209" s="192"/>
      <c r="AH209" s="396">
        <f t="shared" si="13"/>
        <v>0</v>
      </c>
      <c r="AI209" s="64" t="str">
        <f>IF('Sch2a-Imp Price by ECM'!C210="Yes", 0, 'Sch2a-Imp Price by ECM'!L210)</f>
        <v/>
      </c>
      <c r="AJ209" s="225" t="str">
        <f>IF('Sch2a-Imp Price by ECM'!C210="Yes",0, IF(AI209="","",AI209/AH209))</f>
        <v/>
      </c>
      <c r="AK209" s="1" t="str">
        <f>IF('Sch2a-Imp Price by ECM'!M210="","",'Sch2a-Imp Price by ECM'!M210)</f>
        <v/>
      </c>
    </row>
    <row r="210" spans="1:37" ht="16.5" thickBot="1">
      <c r="A210" s="40" t="str">
        <f>IF('Sch2a-Imp Price by ECM'!B211="","",'Sch2a-Imp Price by ECM'!B211)</f>
        <v/>
      </c>
      <c r="B210" s="76" t="str">
        <f>IF('Sch2a-Imp Price by ECM'!D211="","",'Sch2a-Imp Price by ECM'!D211)</f>
        <v/>
      </c>
      <c r="C210" s="197" t="str">
        <f>IF('Sch2a-Imp Price by ECM'!G211="","",'Sch2a-Imp Price by ECM'!G211)</f>
        <v/>
      </c>
      <c r="D210" s="132"/>
      <c r="E210" s="190"/>
      <c r="F210" s="190"/>
      <c r="G210" s="190"/>
      <c r="H210" s="190"/>
      <c r="I210" s="134"/>
      <c r="J210" s="190"/>
      <c r="K210" s="190"/>
      <c r="L210" s="133"/>
      <c r="M210" s="133"/>
      <c r="N210" s="133"/>
      <c r="O210" s="127"/>
      <c r="P210" s="190"/>
      <c r="Q210" s="133"/>
      <c r="R210" s="191"/>
      <c r="S210" s="133"/>
      <c r="T210" s="191"/>
      <c r="U210" s="192"/>
      <c r="V210" s="191"/>
      <c r="W210" s="192"/>
      <c r="X210" s="334"/>
      <c r="Y210" s="192"/>
      <c r="Z210" s="392">
        <f t="shared" si="11"/>
        <v>0</v>
      </c>
      <c r="AA210" s="393">
        <f t="shared" si="12"/>
        <v>0</v>
      </c>
      <c r="AB210" s="191"/>
      <c r="AC210" s="192"/>
      <c r="AD210" s="191"/>
      <c r="AE210" s="192"/>
      <c r="AF210" s="192"/>
      <c r="AG210" s="192"/>
      <c r="AH210" s="396">
        <f t="shared" si="13"/>
        <v>0</v>
      </c>
      <c r="AI210" s="64" t="str">
        <f>IF('Sch2a-Imp Price by ECM'!C211="Yes", 0, 'Sch2a-Imp Price by ECM'!L211)</f>
        <v/>
      </c>
      <c r="AJ210" s="225" t="str">
        <f>IF('Sch2a-Imp Price by ECM'!C211="Yes",0, IF(AI210="","",AI210/AH210))</f>
        <v/>
      </c>
      <c r="AK210" s="1" t="str">
        <f>IF('Sch2a-Imp Price by ECM'!M211="","",'Sch2a-Imp Price by ECM'!M211)</f>
        <v/>
      </c>
    </row>
    <row r="211" spans="1:37" ht="16.5" thickBot="1">
      <c r="A211" s="40" t="str">
        <f>IF('Sch2a-Imp Price by ECM'!B212="","",'Sch2a-Imp Price by ECM'!B212)</f>
        <v/>
      </c>
      <c r="B211" s="76" t="str">
        <f>IF('Sch2a-Imp Price by ECM'!D212="","",'Sch2a-Imp Price by ECM'!D212)</f>
        <v/>
      </c>
      <c r="C211" s="197" t="str">
        <f>IF('Sch2a-Imp Price by ECM'!G212="","",'Sch2a-Imp Price by ECM'!G212)</f>
        <v/>
      </c>
      <c r="D211" s="132"/>
      <c r="E211" s="190"/>
      <c r="F211" s="190"/>
      <c r="G211" s="190"/>
      <c r="H211" s="190"/>
      <c r="I211" s="134"/>
      <c r="J211" s="190"/>
      <c r="K211" s="190"/>
      <c r="L211" s="133"/>
      <c r="M211" s="133"/>
      <c r="N211" s="133"/>
      <c r="O211" s="127"/>
      <c r="P211" s="190"/>
      <c r="Q211" s="133"/>
      <c r="R211" s="191"/>
      <c r="S211" s="133"/>
      <c r="T211" s="191"/>
      <c r="U211" s="192"/>
      <c r="V211" s="191"/>
      <c r="W211" s="192"/>
      <c r="X211" s="334"/>
      <c r="Y211" s="192"/>
      <c r="Z211" s="392">
        <f t="shared" si="11"/>
        <v>0</v>
      </c>
      <c r="AA211" s="393">
        <f t="shared" si="12"/>
        <v>0</v>
      </c>
      <c r="AB211" s="191"/>
      <c r="AC211" s="192"/>
      <c r="AD211" s="191"/>
      <c r="AE211" s="192"/>
      <c r="AF211" s="192"/>
      <c r="AG211" s="192"/>
      <c r="AH211" s="396">
        <f t="shared" si="13"/>
        <v>0</v>
      </c>
      <c r="AI211" s="64" t="str">
        <f>IF('Sch2a-Imp Price by ECM'!C212="Yes", 0, 'Sch2a-Imp Price by ECM'!L212)</f>
        <v/>
      </c>
      <c r="AJ211" s="225" t="str">
        <f>IF('Sch2a-Imp Price by ECM'!C212="Yes",0, IF(AI211="","",AI211/AH211))</f>
        <v/>
      </c>
      <c r="AK211" s="1" t="str">
        <f>IF('Sch2a-Imp Price by ECM'!M212="","",'Sch2a-Imp Price by ECM'!M212)</f>
        <v/>
      </c>
    </row>
    <row r="212" spans="1:37" ht="16.5" thickBot="1">
      <c r="A212" s="40" t="str">
        <f>IF('Sch2a-Imp Price by ECM'!B213="","",'Sch2a-Imp Price by ECM'!B213)</f>
        <v/>
      </c>
      <c r="B212" s="76" t="str">
        <f>IF('Sch2a-Imp Price by ECM'!D213="","",'Sch2a-Imp Price by ECM'!D213)</f>
        <v/>
      </c>
      <c r="C212" s="197" t="str">
        <f>IF('Sch2a-Imp Price by ECM'!G213="","",'Sch2a-Imp Price by ECM'!G213)</f>
        <v/>
      </c>
      <c r="D212" s="132"/>
      <c r="E212" s="190"/>
      <c r="F212" s="190"/>
      <c r="G212" s="190"/>
      <c r="H212" s="190"/>
      <c r="I212" s="134"/>
      <c r="J212" s="190"/>
      <c r="K212" s="190"/>
      <c r="L212" s="133"/>
      <c r="M212" s="133"/>
      <c r="N212" s="133"/>
      <c r="O212" s="127"/>
      <c r="P212" s="190"/>
      <c r="Q212" s="133"/>
      <c r="R212" s="191"/>
      <c r="S212" s="133"/>
      <c r="T212" s="191"/>
      <c r="U212" s="192"/>
      <c r="V212" s="191"/>
      <c r="W212" s="192"/>
      <c r="X212" s="334"/>
      <c r="Y212" s="192"/>
      <c r="Z212" s="392">
        <f t="shared" si="11"/>
        <v>0</v>
      </c>
      <c r="AA212" s="393">
        <f t="shared" si="12"/>
        <v>0</v>
      </c>
      <c r="AB212" s="191"/>
      <c r="AC212" s="192"/>
      <c r="AD212" s="191"/>
      <c r="AE212" s="192"/>
      <c r="AF212" s="192"/>
      <c r="AG212" s="192"/>
      <c r="AH212" s="396">
        <f t="shared" si="13"/>
        <v>0</v>
      </c>
      <c r="AI212" s="64" t="str">
        <f>IF('Sch2a-Imp Price by ECM'!C213="Yes", 0, 'Sch2a-Imp Price by ECM'!L213)</f>
        <v/>
      </c>
      <c r="AJ212" s="225" t="str">
        <f>IF('Sch2a-Imp Price by ECM'!C213="Yes",0, IF(AI212="","",AI212/AH212))</f>
        <v/>
      </c>
      <c r="AK212" s="1" t="str">
        <f>IF('Sch2a-Imp Price by ECM'!M213="","",'Sch2a-Imp Price by ECM'!M213)</f>
        <v/>
      </c>
    </row>
    <row r="213" spans="1:37" ht="16.5" thickBot="1">
      <c r="A213" s="40" t="str">
        <f>IF('Sch2a-Imp Price by ECM'!B214="","",'Sch2a-Imp Price by ECM'!B214)</f>
        <v/>
      </c>
      <c r="B213" s="76" t="str">
        <f>IF('Sch2a-Imp Price by ECM'!D214="","",'Sch2a-Imp Price by ECM'!D214)</f>
        <v/>
      </c>
      <c r="C213" s="197" t="str">
        <f>IF('Sch2a-Imp Price by ECM'!G214="","",'Sch2a-Imp Price by ECM'!G214)</f>
        <v/>
      </c>
      <c r="D213" s="132"/>
      <c r="E213" s="190"/>
      <c r="F213" s="190"/>
      <c r="G213" s="190"/>
      <c r="H213" s="190"/>
      <c r="I213" s="134"/>
      <c r="J213" s="190"/>
      <c r="K213" s="190"/>
      <c r="L213" s="133"/>
      <c r="M213" s="133"/>
      <c r="N213" s="133"/>
      <c r="O213" s="127"/>
      <c r="P213" s="190"/>
      <c r="Q213" s="133"/>
      <c r="R213" s="191"/>
      <c r="S213" s="133"/>
      <c r="T213" s="191"/>
      <c r="U213" s="192"/>
      <c r="V213" s="191"/>
      <c r="W213" s="192"/>
      <c r="X213" s="334"/>
      <c r="Y213" s="192"/>
      <c r="Z213" s="392">
        <f t="shared" si="11"/>
        <v>0</v>
      </c>
      <c r="AA213" s="393">
        <f t="shared" si="12"/>
        <v>0</v>
      </c>
      <c r="AB213" s="191"/>
      <c r="AC213" s="192"/>
      <c r="AD213" s="191"/>
      <c r="AE213" s="192"/>
      <c r="AF213" s="192"/>
      <c r="AG213" s="192"/>
      <c r="AH213" s="396">
        <f t="shared" si="13"/>
        <v>0</v>
      </c>
      <c r="AI213" s="64" t="str">
        <f>IF('Sch2a-Imp Price by ECM'!C214="Yes", 0, 'Sch2a-Imp Price by ECM'!L214)</f>
        <v/>
      </c>
      <c r="AJ213" s="225" t="str">
        <f>IF('Sch2a-Imp Price by ECM'!C214="Yes",0, IF(AI213="","",AI213/AH213))</f>
        <v/>
      </c>
      <c r="AK213" s="1" t="str">
        <f>IF('Sch2a-Imp Price by ECM'!M214="","",'Sch2a-Imp Price by ECM'!M214)</f>
        <v/>
      </c>
    </row>
    <row r="214" spans="1:37" ht="16.5" thickBot="1">
      <c r="A214" s="40" t="str">
        <f>IF('Sch2a-Imp Price by ECM'!B215="","",'Sch2a-Imp Price by ECM'!B215)</f>
        <v/>
      </c>
      <c r="B214" s="76" t="str">
        <f>IF('Sch2a-Imp Price by ECM'!D215="","",'Sch2a-Imp Price by ECM'!D215)</f>
        <v/>
      </c>
      <c r="C214" s="197" t="str">
        <f>IF('Sch2a-Imp Price by ECM'!G215="","",'Sch2a-Imp Price by ECM'!G215)</f>
        <v/>
      </c>
      <c r="D214" s="132"/>
      <c r="E214" s="190"/>
      <c r="F214" s="190"/>
      <c r="G214" s="190"/>
      <c r="H214" s="190"/>
      <c r="I214" s="134"/>
      <c r="J214" s="190"/>
      <c r="K214" s="190"/>
      <c r="L214" s="133"/>
      <c r="M214" s="133"/>
      <c r="N214" s="133"/>
      <c r="O214" s="127"/>
      <c r="P214" s="190"/>
      <c r="Q214" s="133"/>
      <c r="R214" s="191"/>
      <c r="S214" s="133"/>
      <c r="T214" s="191"/>
      <c r="U214" s="192"/>
      <c r="V214" s="191"/>
      <c r="W214" s="192"/>
      <c r="X214" s="334"/>
      <c r="Y214" s="192"/>
      <c r="Z214" s="392">
        <f t="shared" si="11"/>
        <v>0</v>
      </c>
      <c r="AA214" s="393">
        <f t="shared" si="12"/>
        <v>0</v>
      </c>
      <c r="AB214" s="191"/>
      <c r="AC214" s="192"/>
      <c r="AD214" s="191"/>
      <c r="AE214" s="192"/>
      <c r="AF214" s="192"/>
      <c r="AG214" s="192"/>
      <c r="AH214" s="396">
        <f t="shared" si="13"/>
        <v>0</v>
      </c>
      <c r="AI214" s="64" t="str">
        <f>IF('Sch2a-Imp Price by ECM'!C215="Yes", 0, 'Sch2a-Imp Price by ECM'!L215)</f>
        <v/>
      </c>
      <c r="AJ214" s="225" t="str">
        <f>IF('Sch2a-Imp Price by ECM'!C215="Yes",0, IF(AI214="","",AI214/AH214))</f>
        <v/>
      </c>
      <c r="AK214" s="1" t="str">
        <f>IF('Sch2a-Imp Price by ECM'!M215="","",'Sch2a-Imp Price by ECM'!M215)</f>
        <v/>
      </c>
    </row>
    <row r="215" spans="1:37" ht="16.5" thickBot="1">
      <c r="A215" s="40" t="str">
        <f>IF('Sch2a-Imp Price by ECM'!B216="","",'Sch2a-Imp Price by ECM'!B216)</f>
        <v/>
      </c>
      <c r="B215" s="76" t="str">
        <f>IF('Sch2a-Imp Price by ECM'!D216="","",'Sch2a-Imp Price by ECM'!D216)</f>
        <v/>
      </c>
      <c r="C215" s="197" t="str">
        <f>IF('Sch2a-Imp Price by ECM'!G216="","",'Sch2a-Imp Price by ECM'!G216)</f>
        <v/>
      </c>
      <c r="D215" s="132"/>
      <c r="E215" s="190"/>
      <c r="F215" s="190"/>
      <c r="G215" s="190"/>
      <c r="H215" s="190"/>
      <c r="I215" s="134"/>
      <c r="J215" s="190"/>
      <c r="K215" s="190"/>
      <c r="L215" s="133"/>
      <c r="M215" s="133"/>
      <c r="N215" s="133"/>
      <c r="O215" s="127"/>
      <c r="P215" s="190"/>
      <c r="Q215" s="133"/>
      <c r="R215" s="191"/>
      <c r="S215" s="133"/>
      <c r="T215" s="191"/>
      <c r="U215" s="192"/>
      <c r="V215" s="191"/>
      <c r="W215" s="192"/>
      <c r="X215" s="334"/>
      <c r="Y215" s="192"/>
      <c r="Z215" s="392">
        <f t="shared" si="11"/>
        <v>0</v>
      </c>
      <c r="AA215" s="393">
        <f t="shared" si="12"/>
        <v>0</v>
      </c>
      <c r="AB215" s="191"/>
      <c r="AC215" s="192"/>
      <c r="AD215" s="191"/>
      <c r="AE215" s="192"/>
      <c r="AF215" s="192"/>
      <c r="AG215" s="192"/>
      <c r="AH215" s="396">
        <f t="shared" si="13"/>
        <v>0</v>
      </c>
      <c r="AI215" s="64" t="str">
        <f>IF('Sch2a-Imp Price by ECM'!C216="Yes", 0, 'Sch2a-Imp Price by ECM'!L216)</f>
        <v/>
      </c>
      <c r="AJ215" s="225" t="str">
        <f>IF('Sch2a-Imp Price by ECM'!C216="Yes",0, IF(AI215="","",AI215/AH215))</f>
        <v/>
      </c>
      <c r="AK215" s="1" t="str">
        <f>IF('Sch2a-Imp Price by ECM'!M216="","",'Sch2a-Imp Price by ECM'!M216)</f>
        <v/>
      </c>
    </row>
    <row r="216" spans="1:37" ht="16.5" thickBot="1">
      <c r="A216" s="40" t="str">
        <f>IF('Sch2a-Imp Price by ECM'!B217="","",'Sch2a-Imp Price by ECM'!B217)</f>
        <v/>
      </c>
      <c r="B216" s="76" t="str">
        <f>IF('Sch2a-Imp Price by ECM'!D217="","",'Sch2a-Imp Price by ECM'!D217)</f>
        <v/>
      </c>
      <c r="C216" s="197" t="str">
        <f>IF('Sch2a-Imp Price by ECM'!G217="","",'Sch2a-Imp Price by ECM'!G217)</f>
        <v/>
      </c>
      <c r="D216" s="132"/>
      <c r="E216" s="190"/>
      <c r="F216" s="190"/>
      <c r="G216" s="190"/>
      <c r="H216" s="190"/>
      <c r="I216" s="134"/>
      <c r="J216" s="190"/>
      <c r="K216" s="190"/>
      <c r="L216" s="133"/>
      <c r="M216" s="133"/>
      <c r="N216" s="133"/>
      <c r="O216" s="127"/>
      <c r="P216" s="190"/>
      <c r="Q216" s="133"/>
      <c r="R216" s="191"/>
      <c r="S216" s="133"/>
      <c r="T216" s="191"/>
      <c r="U216" s="192"/>
      <c r="V216" s="191"/>
      <c r="W216" s="192"/>
      <c r="X216" s="334"/>
      <c r="Y216" s="192"/>
      <c r="Z216" s="392">
        <f t="shared" si="11"/>
        <v>0</v>
      </c>
      <c r="AA216" s="393">
        <f t="shared" si="12"/>
        <v>0</v>
      </c>
      <c r="AB216" s="191"/>
      <c r="AC216" s="192"/>
      <c r="AD216" s="191"/>
      <c r="AE216" s="192"/>
      <c r="AF216" s="192"/>
      <c r="AG216" s="192"/>
      <c r="AH216" s="396">
        <f t="shared" si="13"/>
        <v>0</v>
      </c>
      <c r="AI216" s="64" t="str">
        <f>IF('Sch2a-Imp Price by ECM'!C217="Yes", 0, 'Sch2a-Imp Price by ECM'!L217)</f>
        <v/>
      </c>
      <c r="AJ216" s="225" t="str">
        <f>IF('Sch2a-Imp Price by ECM'!C217="Yes",0, IF(AI216="","",AI216/AH216))</f>
        <v/>
      </c>
      <c r="AK216" s="1" t="str">
        <f>IF('Sch2a-Imp Price by ECM'!M217="","",'Sch2a-Imp Price by ECM'!M217)</f>
        <v/>
      </c>
    </row>
    <row r="217" spans="1:37" ht="16.5" thickBot="1">
      <c r="A217" s="40" t="str">
        <f>IF('Sch2a-Imp Price by ECM'!B218="","",'Sch2a-Imp Price by ECM'!B218)</f>
        <v/>
      </c>
      <c r="B217" s="76" t="str">
        <f>IF('Sch2a-Imp Price by ECM'!D218="","",'Sch2a-Imp Price by ECM'!D218)</f>
        <v/>
      </c>
      <c r="C217" s="197" t="str">
        <f>IF('Sch2a-Imp Price by ECM'!G218="","",'Sch2a-Imp Price by ECM'!G218)</f>
        <v/>
      </c>
      <c r="D217" s="132"/>
      <c r="E217" s="190"/>
      <c r="F217" s="190"/>
      <c r="G217" s="190"/>
      <c r="H217" s="190"/>
      <c r="I217" s="134"/>
      <c r="J217" s="190"/>
      <c r="K217" s="190"/>
      <c r="L217" s="133"/>
      <c r="M217" s="133"/>
      <c r="N217" s="133"/>
      <c r="O217" s="127"/>
      <c r="P217" s="190"/>
      <c r="Q217" s="133"/>
      <c r="R217" s="191"/>
      <c r="S217" s="133"/>
      <c r="T217" s="191"/>
      <c r="U217" s="192"/>
      <c r="V217" s="191"/>
      <c r="W217" s="192"/>
      <c r="X217" s="334"/>
      <c r="Y217" s="192"/>
      <c r="Z217" s="392">
        <f t="shared" si="11"/>
        <v>0</v>
      </c>
      <c r="AA217" s="393">
        <f t="shared" si="12"/>
        <v>0</v>
      </c>
      <c r="AB217" s="191"/>
      <c r="AC217" s="192"/>
      <c r="AD217" s="191"/>
      <c r="AE217" s="192"/>
      <c r="AF217" s="192"/>
      <c r="AG217" s="192"/>
      <c r="AH217" s="396">
        <f t="shared" si="13"/>
        <v>0</v>
      </c>
      <c r="AI217" s="64" t="str">
        <f>IF('Sch2a-Imp Price by ECM'!C218="Yes", 0, 'Sch2a-Imp Price by ECM'!L218)</f>
        <v/>
      </c>
      <c r="AJ217" s="225" t="str">
        <f>IF('Sch2a-Imp Price by ECM'!C218="Yes",0, IF(AI217="","",AI217/AH217))</f>
        <v/>
      </c>
      <c r="AK217" s="1" t="str">
        <f>IF('Sch2a-Imp Price by ECM'!M218="","",'Sch2a-Imp Price by ECM'!M218)</f>
        <v/>
      </c>
    </row>
    <row r="218" spans="1:37" ht="16.5" thickBot="1">
      <c r="A218" s="40" t="str">
        <f>IF('Sch2a-Imp Price by ECM'!B219="","",'Sch2a-Imp Price by ECM'!B219)</f>
        <v/>
      </c>
      <c r="B218" s="76" t="str">
        <f>IF('Sch2a-Imp Price by ECM'!D219="","",'Sch2a-Imp Price by ECM'!D219)</f>
        <v/>
      </c>
      <c r="C218" s="197" t="str">
        <f>IF('Sch2a-Imp Price by ECM'!G219="","",'Sch2a-Imp Price by ECM'!G219)</f>
        <v/>
      </c>
      <c r="D218" s="132"/>
      <c r="E218" s="190"/>
      <c r="F218" s="190"/>
      <c r="G218" s="190"/>
      <c r="H218" s="190"/>
      <c r="I218" s="134"/>
      <c r="J218" s="190"/>
      <c r="K218" s="190"/>
      <c r="L218" s="133"/>
      <c r="M218" s="133"/>
      <c r="N218" s="133"/>
      <c r="O218" s="127"/>
      <c r="P218" s="190"/>
      <c r="Q218" s="133"/>
      <c r="R218" s="191"/>
      <c r="S218" s="133"/>
      <c r="T218" s="191"/>
      <c r="U218" s="192"/>
      <c r="V218" s="191"/>
      <c r="W218" s="192"/>
      <c r="X218" s="334"/>
      <c r="Y218" s="192"/>
      <c r="Z218" s="392">
        <f t="shared" si="11"/>
        <v>0</v>
      </c>
      <c r="AA218" s="393">
        <f t="shared" si="12"/>
        <v>0</v>
      </c>
      <c r="AB218" s="191"/>
      <c r="AC218" s="192"/>
      <c r="AD218" s="191"/>
      <c r="AE218" s="192"/>
      <c r="AF218" s="192"/>
      <c r="AG218" s="192"/>
      <c r="AH218" s="396">
        <f t="shared" si="13"/>
        <v>0</v>
      </c>
      <c r="AI218" s="64" t="str">
        <f>IF('Sch2a-Imp Price by ECM'!C219="Yes", 0, 'Sch2a-Imp Price by ECM'!L219)</f>
        <v/>
      </c>
      <c r="AJ218" s="225" t="str">
        <f>IF('Sch2a-Imp Price by ECM'!C219="Yes",0, IF(AI218="","",AI218/AH218))</f>
        <v/>
      </c>
      <c r="AK218" s="1" t="str">
        <f>IF('Sch2a-Imp Price by ECM'!M219="","",'Sch2a-Imp Price by ECM'!M219)</f>
        <v/>
      </c>
    </row>
    <row r="219" spans="1:37" ht="16.5" thickBot="1">
      <c r="A219" s="40" t="str">
        <f>IF('Sch2a-Imp Price by ECM'!B220="","",'Sch2a-Imp Price by ECM'!B220)</f>
        <v/>
      </c>
      <c r="B219" s="76" t="str">
        <f>IF('Sch2a-Imp Price by ECM'!D220="","",'Sch2a-Imp Price by ECM'!D220)</f>
        <v/>
      </c>
      <c r="C219" s="197" t="str">
        <f>IF('Sch2a-Imp Price by ECM'!G220="","",'Sch2a-Imp Price by ECM'!G220)</f>
        <v/>
      </c>
      <c r="D219" s="132"/>
      <c r="E219" s="190"/>
      <c r="F219" s="190"/>
      <c r="G219" s="190"/>
      <c r="H219" s="190"/>
      <c r="I219" s="134"/>
      <c r="J219" s="190"/>
      <c r="K219" s="190"/>
      <c r="L219" s="133"/>
      <c r="M219" s="133"/>
      <c r="N219" s="133"/>
      <c r="O219" s="134"/>
      <c r="P219" s="190"/>
      <c r="Q219" s="133"/>
      <c r="R219" s="191"/>
      <c r="S219" s="133"/>
      <c r="T219" s="191"/>
      <c r="U219" s="192"/>
      <c r="V219" s="191"/>
      <c r="W219" s="192"/>
      <c r="X219" s="334"/>
      <c r="Y219" s="192"/>
      <c r="Z219" s="392">
        <f t="shared" si="11"/>
        <v>0</v>
      </c>
      <c r="AA219" s="393">
        <f t="shared" si="12"/>
        <v>0</v>
      </c>
      <c r="AB219" s="191"/>
      <c r="AC219" s="192"/>
      <c r="AD219" s="191"/>
      <c r="AE219" s="192"/>
      <c r="AF219" s="192"/>
      <c r="AG219" s="192"/>
      <c r="AH219" s="396">
        <f t="shared" si="13"/>
        <v>0</v>
      </c>
      <c r="AI219" s="64" t="str">
        <f>IF('Sch2a-Imp Price by ECM'!C220="Yes", 0, 'Sch2a-Imp Price by ECM'!L220)</f>
        <v/>
      </c>
      <c r="AJ219" s="225" t="str">
        <f>IF('Sch2a-Imp Price by ECM'!C220="Yes",0, IF(AI219="","",AI219/AH219))</f>
        <v/>
      </c>
      <c r="AK219" s="1" t="str">
        <f>IF('Sch2a-Imp Price by ECM'!M220="","",'Sch2a-Imp Price by ECM'!M220)</f>
        <v/>
      </c>
    </row>
    <row r="220" spans="1:37" ht="16.5" thickBot="1">
      <c r="A220" s="40" t="str">
        <f>IF('Sch2a-Imp Price by ECM'!B221="","",'Sch2a-Imp Price by ECM'!B221)</f>
        <v/>
      </c>
      <c r="B220" s="76" t="str">
        <f>IF('Sch2a-Imp Price by ECM'!D221="","",'Sch2a-Imp Price by ECM'!D221)</f>
        <v/>
      </c>
      <c r="C220" s="197" t="str">
        <f>IF('Sch2a-Imp Price by ECM'!G221="","",'Sch2a-Imp Price by ECM'!G221)</f>
        <v/>
      </c>
      <c r="D220" s="132"/>
      <c r="E220" s="190"/>
      <c r="F220" s="190"/>
      <c r="G220" s="190"/>
      <c r="H220" s="190"/>
      <c r="I220" s="134"/>
      <c r="J220" s="190"/>
      <c r="K220" s="190"/>
      <c r="L220" s="133"/>
      <c r="M220" s="133"/>
      <c r="N220" s="133"/>
      <c r="O220" s="134"/>
      <c r="P220" s="190"/>
      <c r="Q220" s="133"/>
      <c r="R220" s="191"/>
      <c r="S220" s="133"/>
      <c r="T220" s="191"/>
      <c r="U220" s="192"/>
      <c r="V220" s="191"/>
      <c r="W220" s="192"/>
      <c r="X220" s="334"/>
      <c r="Y220" s="192"/>
      <c r="Z220" s="392">
        <f t="shared" si="11"/>
        <v>0</v>
      </c>
      <c r="AA220" s="393">
        <f t="shared" si="12"/>
        <v>0</v>
      </c>
      <c r="AB220" s="191"/>
      <c r="AC220" s="192"/>
      <c r="AD220" s="191"/>
      <c r="AE220" s="192"/>
      <c r="AF220" s="192"/>
      <c r="AG220" s="192"/>
      <c r="AH220" s="396">
        <f t="shared" si="13"/>
        <v>0</v>
      </c>
      <c r="AI220" s="64" t="str">
        <f>IF('Sch2a-Imp Price by ECM'!C221="Yes", 0, 'Sch2a-Imp Price by ECM'!L221)</f>
        <v/>
      </c>
      <c r="AJ220" s="225" t="str">
        <f>IF('Sch2a-Imp Price by ECM'!C221="Yes",0, IF(AI220="","",AI220/AH220))</f>
        <v/>
      </c>
      <c r="AK220" s="1" t="str">
        <f>IF('Sch2a-Imp Price by ECM'!M221="","",'Sch2a-Imp Price by ECM'!M221)</f>
        <v/>
      </c>
    </row>
    <row r="221" spans="1:37" ht="16.5" thickBot="1">
      <c r="A221" s="40" t="str">
        <f>IF('Sch2a-Imp Price by ECM'!B222="","",'Sch2a-Imp Price by ECM'!B222)</f>
        <v/>
      </c>
      <c r="B221" s="76" t="str">
        <f>IF('Sch2a-Imp Price by ECM'!D222="","",'Sch2a-Imp Price by ECM'!D222)</f>
        <v/>
      </c>
      <c r="C221" s="197" t="str">
        <f>IF('Sch2a-Imp Price by ECM'!G222="","",'Sch2a-Imp Price by ECM'!G222)</f>
        <v/>
      </c>
      <c r="D221" s="132"/>
      <c r="E221" s="190"/>
      <c r="F221" s="190"/>
      <c r="G221" s="190"/>
      <c r="H221" s="190"/>
      <c r="I221" s="134"/>
      <c r="J221" s="190"/>
      <c r="K221" s="190"/>
      <c r="L221" s="133"/>
      <c r="M221" s="133"/>
      <c r="N221" s="133"/>
      <c r="O221" s="134"/>
      <c r="P221" s="190"/>
      <c r="Q221" s="133"/>
      <c r="R221" s="191"/>
      <c r="S221" s="133"/>
      <c r="T221" s="191"/>
      <c r="U221" s="192"/>
      <c r="V221" s="191"/>
      <c r="W221" s="192"/>
      <c r="X221" s="334"/>
      <c r="Y221" s="192"/>
      <c r="Z221" s="392">
        <f t="shared" si="11"/>
        <v>0</v>
      </c>
      <c r="AA221" s="393">
        <f t="shared" si="12"/>
        <v>0</v>
      </c>
      <c r="AB221" s="191"/>
      <c r="AC221" s="192"/>
      <c r="AD221" s="191"/>
      <c r="AE221" s="192"/>
      <c r="AF221" s="192"/>
      <c r="AG221" s="192"/>
      <c r="AH221" s="396">
        <f t="shared" si="13"/>
        <v>0</v>
      </c>
      <c r="AI221" s="64" t="str">
        <f>IF('Sch2a-Imp Price by ECM'!C222="Yes", 0, 'Sch2a-Imp Price by ECM'!L222)</f>
        <v/>
      </c>
      <c r="AJ221" s="225" t="str">
        <f>IF('Sch2a-Imp Price by ECM'!C222="Yes",0, IF(AI221="","",AI221/AH221))</f>
        <v/>
      </c>
      <c r="AK221" s="1" t="str">
        <f>IF('Sch2a-Imp Price by ECM'!M222="","",'Sch2a-Imp Price by ECM'!M222)</f>
        <v/>
      </c>
    </row>
    <row r="222" spans="1:37" ht="16.5" thickBot="1">
      <c r="A222" s="40" t="str">
        <f>IF('Sch2a-Imp Price by ECM'!B223="","",'Sch2a-Imp Price by ECM'!B223)</f>
        <v/>
      </c>
      <c r="B222" s="76" t="str">
        <f>IF('Sch2a-Imp Price by ECM'!D223="","",'Sch2a-Imp Price by ECM'!D223)</f>
        <v/>
      </c>
      <c r="C222" s="197" t="str">
        <f>IF('Sch2a-Imp Price by ECM'!G223="","",'Sch2a-Imp Price by ECM'!G223)</f>
        <v/>
      </c>
      <c r="D222" s="132"/>
      <c r="E222" s="190"/>
      <c r="F222" s="190"/>
      <c r="G222" s="190"/>
      <c r="H222" s="190"/>
      <c r="I222" s="134"/>
      <c r="J222" s="190"/>
      <c r="K222" s="190"/>
      <c r="L222" s="133"/>
      <c r="M222" s="133"/>
      <c r="N222" s="133"/>
      <c r="O222" s="134"/>
      <c r="P222" s="190"/>
      <c r="Q222" s="133"/>
      <c r="R222" s="191"/>
      <c r="S222" s="133"/>
      <c r="T222" s="191"/>
      <c r="U222" s="192"/>
      <c r="V222" s="191"/>
      <c r="W222" s="192"/>
      <c r="X222" s="334"/>
      <c r="Y222" s="192"/>
      <c r="Z222" s="392">
        <f t="shared" si="11"/>
        <v>0</v>
      </c>
      <c r="AA222" s="393">
        <f t="shared" si="12"/>
        <v>0</v>
      </c>
      <c r="AB222" s="191"/>
      <c r="AC222" s="192"/>
      <c r="AD222" s="191"/>
      <c r="AE222" s="192"/>
      <c r="AF222" s="192"/>
      <c r="AG222" s="192"/>
      <c r="AH222" s="396">
        <f t="shared" si="13"/>
        <v>0</v>
      </c>
      <c r="AI222" s="64" t="str">
        <f>IF('Sch2a-Imp Price by ECM'!C223="Yes", 0, 'Sch2a-Imp Price by ECM'!L223)</f>
        <v/>
      </c>
      <c r="AJ222" s="225" t="str">
        <f>IF('Sch2a-Imp Price by ECM'!C223="Yes",0, IF(AI222="","",AI222/AH222))</f>
        <v/>
      </c>
      <c r="AK222" s="1" t="str">
        <f>IF('Sch2a-Imp Price by ECM'!M223="","",'Sch2a-Imp Price by ECM'!M223)</f>
        <v/>
      </c>
    </row>
    <row r="223" spans="1:37" ht="18" customHeight="1" thickBot="1">
      <c r="A223" s="40" t="str">
        <f>IF('Sch2a-Imp Price by ECM'!B224="","",'Sch2a-Imp Price by ECM'!B224)</f>
        <v/>
      </c>
      <c r="B223" s="76" t="str">
        <f>IF('Sch2a-Imp Price by ECM'!D224="","",'Sch2a-Imp Price by ECM'!D224)</f>
        <v/>
      </c>
      <c r="C223" s="197" t="str">
        <f>IF('Sch2a-Imp Price by ECM'!G224="","",'Sch2a-Imp Price by ECM'!G224)</f>
        <v/>
      </c>
      <c r="D223" s="132"/>
      <c r="E223" s="190"/>
      <c r="F223" s="190"/>
      <c r="G223" s="190"/>
      <c r="H223" s="190"/>
      <c r="I223" s="134"/>
      <c r="J223" s="190"/>
      <c r="K223" s="190"/>
      <c r="L223" s="133"/>
      <c r="M223" s="133"/>
      <c r="N223" s="133"/>
      <c r="O223" s="134"/>
      <c r="P223" s="190"/>
      <c r="Q223" s="133"/>
      <c r="R223" s="191"/>
      <c r="S223" s="133"/>
      <c r="T223" s="191"/>
      <c r="U223" s="192"/>
      <c r="V223" s="191"/>
      <c r="W223" s="192"/>
      <c r="X223" s="334"/>
      <c r="Y223" s="192"/>
      <c r="Z223" s="392">
        <f t="shared" si="11"/>
        <v>0</v>
      </c>
      <c r="AA223" s="393">
        <f t="shared" si="12"/>
        <v>0</v>
      </c>
      <c r="AB223" s="191"/>
      <c r="AC223" s="192"/>
      <c r="AD223" s="191"/>
      <c r="AE223" s="192"/>
      <c r="AF223" s="192"/>
      <c r="AG223" s="192"/>
      <c r="AH223" s="396">
        <f t="shared" si="13"/>
        <v>0</v>
      </c>
      <c r="AI223" s="64" t="str">
        <f>IF('Sch2a-Imp Price by ECM'!C224="Yes", 0, 'Sch2a-Imp Price by ECM'!L224)</f>
        <v/>
      </c>
      <c r="AJ223" s="225" t="str">
        <f>IF('Sch2a-Imp Price by ECM'!C224="Yes",0, IF(AI223="","",AI223/AH223))</f>
        <v/>
      </c>
      <c r="AK223" s="1" t="str">
        <f>IF('Sch2a-Imp Price by ECM'!M224="","",'Sch2a-Imp Price by ECM'!M224)</f>
        <v/>
      </c>
    </row>
    <row r="224" spans="1:37" ht="16.5" thickBot="1">
      <c r="A224" s="40" t="str">
        <f>IF('Sch2a-Imp Price by ECM'!B225="","",'Sch2a-Imp Price by ECM'!B225)</f>
        <v/>
      </c>
      <c r="B224" s="76" t="str">
        <f>IF('Sch2a-Imp Price by ECM'!D225="","",'Sch2a-Imp Price by ECM'!D225)</f>
        <v/>
      </c>
      <c r="C224" s="197" t="str">
        <f>IF('Sch2a-Imp Price by ECM'!G225="","",'Sch2a-Imp Price by ECM'!G225)</f>
        <v/>
      </c>
      <c r="D224" s="132"/>
      <c r="E224" s="190"/>
      <c r="F224" s="190"/>
      <c r="G224" s="190"/>
      <c r="H224" s="190"/>
      <c r="I224" s="134"/>
      <c r="J224" s="190"/>
      <c r="K224" s="190"/>
      <c r="L224" s="133"/>
      <c r="M224" s="133"/>
      <c r="N224" s="133"/>
      <c r="O224" s="134"/>
      <c r="P224" s="190"/>
      <c r="Q224" s="133"/>
      <c r="R224" s="191"/>
      <c r="S224" s="133"/>
      <c r="T224" s="191"/>
      <c r="U224" s="192"/>
      <c r="V224" s="191"/>
      <c r="W224" s="192"/>
      <c r="X224" s="334"/>
      <c r="Y224" s="192"/>
      <c r="Z224" s="392">
        <f t="shared" si="11"/>
        <v>0</v>
      </c>
      <c r="AA224" s="393">
        <f t="shared" si="12"/>
        <v>0</v>
      </c>
      <c r="AB224" s="191"/>
      <c r="AC224" s="192"/>
      <c r="AD224" s="191"/>
      <c r="AE224" s="192"/>
      <c r="AF224" s="192"/>
      <c r="AG224" s="192"/>
      <c r="AH224" s="396">
        <f t="shared" si="13"/>
        <v>0</v>
      </c>
      <c r="AI224" s="64" t="str">
        <f>IF('Sch2a-Imp Price by ECM'!C225="Yes", 0, 'Sch2a-Imp Price by ECM'!L225)</f>
        <v/>
      </c>
      <c r="AJ224" s="225" t="str">
        <f>IF('Sch2a-Imp Price by ECM'!C225="Yes",0, IF(AI224="","",AI224/AH224))</f>
        <v/>
      </c>
      <c r="AK224" s="1" t="str">
        <f>IF('Sch2a-Imp Price by ECM'!M225="","",'Sch2a-Imp Price by ECM'!M225)</f>
        <v/>
      </c>
    </row>
    <row r="225" spans="1:37" ht="16.5" thickBot="1">
      <c r="A225" s="40" t="str">
        <f>IF('Sch2a-Imp Price by ECM'!B226="","",'Sch2a-Imp Price by ECM'!B226)</f>
        <v/>
      </c>
      <c r="B225" s="76" t="str">
        <f>IF('Sch2a-Imp Price by ECM'!D226="","",'Sch2a-Imp Price by ECM'!D226)</f>
        <v/>
      </c>
      <c r="C225" s="197" t="str">
        <f>IF('Sch2a-Imp Price by ECM'!G226="","",'Sch2a-Imp Price by ECM'!G226)</f>
        <v/>
      </c>
      <c r="D225" s="132"/>
      <c r="E225" s="190"/>
      <c r="F225" s="190"/>
      <c r="G225" s="190"/>
      <c r="H225" s="190"/>
      <c r="I225" s="134"/>
      <c r="J225" s="190"/>
      <c r="K225" s="190"/>
      <c r="L225" s="133"/>
      <c r="M225" s="133"/>
      <c r="N225" s="133"/>
      <c r="O225" s="134"/>
      <c r="P225" s="190"/>
      <c r="Q225" s="133"/>
      <c r="R225" s="191"/>
      <c r="S225" s="133"/>
      <c r="T225" s="191"/>
      <c r="U225" s="192"/>
      <c r="V225" s="191"/>
      <c r="W225" s="192"/>
      <c r="X225" s="334"/>
      <c r="Y225" s="192"/>
      <c r="Z225" s="392">
        <f t="shared" si="11"/>
        <v>0</v>
      </c>
      <c r="AA225" s="393">
        <f t="shared" si="12"/>
        <v>0</v>
      </c>
      <c r="AB225" s="191"/>
      <c r="AC225" s="192"/>
      <c r="AD225" s="191"/>
      <c r="AE225" s="192"/>
      <c r="AF225" s="192"/>
      <c r="AG225" s="192"/>
      <c r="AH225" s="396">
        <f t="shared" si="13"/>
        <v>0</v>
      </c>
      <c r="AI225" s="64" t="str">
        <f>IF('Sch2a-Imp Price by ECM'!C226="Yes", 0, 'Sch2a-Imp Price by ECM'!L226)</f>
        <v/>
      </c>
      <c r="AJ225" s="225" t="str">
        <f>IF('Sch2a-Imp Price by ECM'!C226="Yes",0, IF(AI225="","",AI225/AH225))</f>
        <v/>
      </c>
      <c r="AK225" s="1" t="str">
        <f>IF('Sch2a-Imp Price by ECM'!M226="","",'Sch2a-Imp Price by ECM'!M226)</f>
        <v/>
      </c>
    </row>
    <row r="226" spans="1:37" ht="16.5" thickBot="1">
      <c r="A226" s="40" t="str">
        <f>IF('Sch2a-Imp Price by ECM'!B227="","",'Sch2a-Imp Price by ECM'!B227)</f>
        <v/>
      </c>
      <c r="B226" s="76" t="str">
        <f>IF('Sch2a-Imp Price by ECM'!D227="","",'Sch2a-Imp Price by ECM'!D227)</f>
        <v/>
      </c>
      <c r="C226" s="197" t="str">
        <f>IF('Sch2a-Imp Price by ECM'!G227="","",'Sch2a-Imp Price by ECM'!G227)</f>
        <v/>
      </c>
      <c r="D226" s="132"/>
      <c r="E226" s="190"/>
      <c r="F226" s="190"/>
      <c r="G226" s="190"/>
      <c r="H226" s="190"/>
      <c r="I226" s="134"/>
      <c r="J226" s="190"/>
      <c r="K226" s="190"/>
      <c r="L226" s="133"/>
      <c r="M226" s="133"/>
      <c r="N226" s="133"/>
      <c r="O226" s="127"/>
      <c r="P226" s="190"/>
      <c r="Q226" s="133"/>
      <c r="R226" s="191"/>
      <c r="S226" s="133"/>
      <c r="T226" s="191"/>
      <c r="U226" s="192"/>
      <c r="V226" s="191"/>
      <c r="W226" s="192"/>
      <c r="X226" s="334"/>
      <c r="Y226" s="192"/>
      <c r="Z226" s="392">
        <f t="shared" si="11"/>
        <v>0</v>
      </c>
      <c r="AA226" s="393">
        <f t="shared" si="12"/>
        <v>0</v>
      </c>
      <c r="AB226" s="191"/>
      <c r="AC226" s="192"/>
      <c r="AD226" s="191"/>
      <c r="AE226" s="192"/>
      <c r="AF226" s="192"/>
      <c r="AG226" s="192"/>
      <c r="AH226" s="396">
        <f t="shared" si="13"/>
        <v>0</v>
      </c>
      <c r="AI226" s="64" t="str">
        <f>IF('Sch2a-Imp Price by ECM'!C227="Yes", 0, 'Sch2a-Imp Price by ECM'!L227)</f>
        <v/>
      </c>
      <c r="AJ226" s="225" t="str">
        <f>IF('Sch2a-Imp Price by ECM'!C227="Yes",0, IF(AI226="","",AI226/AH226))</f>
        <v/>
      </c>
      <c r="AK226" s="1" t="str">
        <f>IF('Sch2a-Imp Price by ECM'!M227="","",'Sch2a-Imp Price by ECM'!M227)</f>
        <v/>
      </c>
    </row>
    <row r="227" spans="1:37" ht="16.5" thickBot="1">
      <c r="A227" s="40" t="str">
        <f>IF('Sch2a-Imp Price by ECM'!B228="","",'Sch2a-Imp Price by ECM'!B228)</f>
        <v/>
      </c>
      <c r="B227" s="76" t="str">
        <f>IF('Sch2a-Imp Price by ECM'!D228="","",'Sch2a-Imp Price by ECM'!D228)</f>
        <v/>
      </c>
      <c r="C227" s="197" t="str">
        <f>IF('Sch2a-Imp Price by ECM'!G228="","",'Sch2a-Imp Price by ECM'!G228)</f>
        <v/>
      </c>
      <c r="D227" s="132"/>
      <c r="E227" s="190"/>
      <c r="F227" s="190"/>
      <c r="G227" s="190"/>
      <c r="H227" s="190"/>
      <c r="I227" s="134"/>
      <c r="J227" s="190"/>
      <c r="K227" s="190"/>
      <c r="L227" s="133"/>
      <c r="M227" s="133"/>
      <c r="N227" s="133"/>
      <c r="O227" s="127"/>
      <c r="P227" s="190"/>
      <c r="Q227" s="133"/>
      <c r="R227" s="191"/>
      <c r="S227" s="133"/>
      <c r="T227" s="191"/>
      <c r="U227" s="192"/>
      <c r="V227" s="191"/>
      <c r="W227" s="192"/>
      <c r="X227" s="334"/>
      <c r="Y227" s="192"/>
      <c r="Z227" s="392">
        <f t="shared" si="11"/>
        <v>0</v>
      </c>
      <c r="AA227" s="393">
        <f t="shared" si="12"/>
        <v>0</v>
      </c>
      <c r="AB227" s="191"/>
      <c r="AC227" s="192"/>
      <c r="AD227" s="191"/>
      <c r="AE227" s="192"/>
      <c r="AF227" s="192"/>
      <c r="AG227" s="192"/>
      <c r="AH227" s="396">
        <f t="shared" si="13"/>
        <v>0</v>
      </c>
      <c r="AI227" s="64" t="str">
        <f>IF('Sch2a-Imp Price by ECM'!C228="Yes", 0, 'Sch2a-Imp Price by ECM'!L228)</f>
        <v/>
      </c>
      <c r="AJ227" s="225" t="str">
        <f>IF('Sch2a-Imp Price by ECM'!C228="Yes",0, IF(AI227="","",AI227/AH227))</f>
        <v/>
      </c>
      <c r="AK227" s="1" t="str">
        <f>IF('Sch2a-Imp Price by ECM'!M228="","",'Sch2a-Imp Price by ECM'!M228)</f>
        <v/>
      </c>
    </row>
    <row r="228" spans="1:37" ht="16.5" thickBot="1">
      <c r="A228" s="40" t="str">
        <f>IF('Sch2a-Imp Price by ECM'!B229="","",'Sch2a-Imp Price by ECM'!B229)</f>
        <v/>
      </c>
      <c r="B228" s="76" t="str">
        <f>IF('Sch2a-Imp Price by ECM'!D229="","",'Sch2a-Imp Price by ECM'!D229)</f>
        <v/>
      </c>
      <c r="C228" s="197" t="str">
        <f>IF('Sch2a-Imp Price by ECM'!G229="","",'Sch2a-Imp Price by ECM'!G229)</f>
        <v/>
      </c>
      <c r="D228" s="132"/>
      <c r="E228" s="190"/>
      <c r="F228" s="190"/>
      <c r="G228" s="190"/>
      <c r="H228" s="190"/>
      <c r="I228" s="134"/>
      <c r="J228" s="190"/>
      <c r="K228" s="190"/>
      <c r="L228" s="133"/>
      <c r="M228" s="133"/>
      <c r="N228" s="133"/>
      <c r="O228" s="127"/>
      <c r="P228" s="190"/>
      <c r="Q228" s="133"/>
      <c r="R228" s="191"/>
      <c r="S228" s="133"/>
      <c r="T228" s="191"/>
      <c r="U228" s="192"/>
      <c r="V228" s="191"/>
      <c r="W228" s="192"/>
      <c r="X228" s="334"/>
      <c r="Y228" s="192"/>
      <c r="Z228" s="392">
        <f t="shared" si="11"/>
        <v>0</v>
      </c>
      <c r="AA228" s="393">
        <f t="shared" si="12"/>
        <v>0</v>
      </c>
      <c r="AB228" s="191"/>
      <c r="AC228" s="192"/>
      <c r="AD228" s="191"/>
      <c r="AE228" s="192"/>
      <c r="AF228" s="192"/>
      <c r="AG228" s="192"/>
      <c r="AH228" s="396">
        <f t="shared" si="13"/>
        <v>0</v>
      </c>
      <c r="AI228" s="64" t="str">
        <f>IF('Sch2a-Imp Price by ECM'!C229="Yes", 0, 'Sch2a-Imp Price by ECM'!L229)</f>
        <v/>
      </c>
      <c r="AJ228" s="225" t="str">
        <f>IF('Sch2a-Imp Price by ECM'!C229="Yes",0, IF(AI228="","",AI228/AH228))</f>
        <v/>
      </c>
      <c r="AK228" s="1" t="str">
        <f>IF('Sch2a-Imp Price by ECM'!M229="","",'Sch2a-Imp Price by ECM'!M229)</f>
        <v/>
      </c>
    </row>
    <row r="229" spans="1:37" ht="16.5" thickBot="1">
      <c r="A229" s="40" t="str">
        <f>IF('Sch2a-Imp Price by ECM'!B230="","",'Sch2a-Imp Price by ECM'!B230)</f>
        <v/>
      </c>
      <c r="B229" s="76" t="str">
        <f>IF('Sch2a-Imp Price by ECM'!D230="","",'Sch2a-Imp Price by ECM'!D230)</f>
        <v/>
      </c>
      <c r="C229" s="197" t="str">
        <f>IF('Sch2a-Imp Price by ECM'!G230="","",'Sch2a-Imp Price by ECM'!G230)</f>
        <v/>
      </c>
      <c r="D229" s="132"/>
      <c r="E229" s="190"/>
      <c r="F229" s="190"/>
      <c r="G229" s="190"/>
      <c r="H229" s="190"/>
      <c r="I229" s="134"/>
      <c r="J229" s="190"/>
      <c r="K229" s="190"/>
      <c r="L229" s="133"/>
      <c r="M229" s="133"/>
      <c r="N229" s="133"/>
      <c r="O229" s="127"/>
      <c r="P229" s="190"/>
      <c r="Q229" s="133"/>
      <c r="R229" s="191"/>
      <c r="S229" s="133"/>
      <c r="T229" s="191"/>
      <c r="U229" s="192"/>
      <c r="V229" s="191"/>
      <c r="W229" s="192"/>
      <c r="X229" s="334"/>
      <c r="Y229" s="192"/>
      <c r="Z229" s="392">
        <f t="shared" si="11"/>
        <v>0</v>
      </c>
      <c r="AA229" s="393">
        <f t="shared" si="12"/>
        <v>0</v>
      </c>
      <c r="AB229" s="191"/>
      <c r="AC229" s="192"/>
      <c r="AD229" s="191"/>
      <c r="AE229" s="192"/>
      <c r="AF229" s="192"/>
      <c r="AG229" s="192"/>
      <c r="AH229" s="396">
        <f t="shared" si="13"/>
        <v>0</v>
      </c>
      <c r="AI229" s="64" t="str">
        <f>IF('Sch2a-Imp Price by ECM'!C230="Yes", 0, 'Sch2a-Imp Price by ECM'!L230)</f>
        <v/>
      </c>
      <c r="AJ229" s="225" t="str">
        <f>IF('Sch2a-Imp Price by ECM'!C230="Yes",0, IF(AI229="","",AI229/AH229))</f>
        <v/>
      </c>
      <c r="AK229" s="1" t="str">
        <f>IF('Sch2a-Imp Price by ECM'!M230="","",'Sch2a-Imp Price by ECM'!M230)</f>
        <v/>
      </c>
    </row>
    <row r="230" spans="1:37" ht="16.5" thickBot="1">
      <c r="A230" s="40" t="str">
        <f>IF('Sch2a-Imp Price by ECM'!B231="","",'Sch2a-Imp Price by ECM'!B231)</f>
        <v/>
      </c>
      <c r="B230" s="76" t="str">
        <f>IF('Sch2a-Imp Price by ECM'!D231="","",'Sch2a-Imp Price by ECM'!D231)</f>
        <v/>
      </c>
      <c r="C230" s="197" t="str">
        <f>IF('Sch2a-Imp Price by ECM'!G231="","",'Sch2a-Imp Price by ECM'!G231)</f>
        <v/>
      </c>
      <c r="D230" s="132"/>
      <c r="E230" s="190"/>
      <c r="F230" s="190"/>
      <c r="G230" s="190"/>
      <c r="H230" s="190"/>
      <c r="I230" s="134"/>
      <c r="J230" s="190"/>
      <c r="K230" s="190"/>
      <c r="L230" s="133"/>
      <c r="M230" s="133"/>
      <c r="N230" s="133"/>
      <c r="O230" s="127"/>
      <c r="P230" s="190"/>
      <c r="Q230" s="133"/>
      <c r="R230" s="191"/>
      <c r="S230" s="133"/>
      <c r="T230" s="191"/>
      <c r="U230" s="192"/>
      <c r="V230" s="191"/>
      <c r="W230" s="192"/>
      <c r="X230" s="334"/>
      <c r="Y230" s="192"/>
      <c r="Z230" s="392">
        <f t="shared" si="11"/>
        <v>0</v>
      </c>
      <c r="AA230" s="393">
        <f t="shared" si="12"/>
        <v>0</v>
      </c>
      <c r="AB230" s="191"/>
      <c r="AC230" s="192"/>
      <c r="AD230" s="191"/>
      <c r="AE230" s="192"/>
      <c r="AF230" s="192"/>
      <c r="AG230" s="192"/>
      <c r="AH230" s="396">
        <f t="shared" si="13"/>
        <v>0</v>
      </c>
      <c r="AI230" s="64" t="str">
        <f>IF('Sch2a-Imp Price by ECM'!C231="Yes", 0, 'Sch2a-Imp Price by ECM'!L231)</f>
        <v/>
      </c>
      <c r="AJ230" s="225" t="str">
        <f>IF('Sch2a-Imp Price by ECM'!C231="Yes",0, IF(AI230="","",AI230/AH230))</f>
        <v/>
      </c>
      <c r="AK230" s="1" t="str">
        <f>IF('Sch2a-Imp Price by ECM'!M231="","",'Sch2a-Imp Price by ECM'!M231)</f>
        <v/>
      </c>
    </row>
    <row r="231" spans="1:37" ht="16.5" thickBot="1">
      <c r="A231" s="40" t="str">
        <f>IF('Sch2a-Imp Price by ECM'!B232="","",'Sch2a-Imp Price by ECM'!B232)</f>
        <v/>
      </c>
      <c r="B231" s="76" t="str">
        <f>IF('Sch2a-Imp Price by ECM'!D232="","",'Sch2a-Imp Price by ECM'!D232)</f>
        <v/>
      </c>
      <c r="C231" s="197" t="str">
        <f>IF('Sch2a-Imp Price by ECM'!G232="","",'Sch2a-Imp Price by ECM'!G232)</f>
        <v/>
      </c>
      <c r="D231" s="132"/>
      <c r="E231" s="190"/>
      <c r="F231" s="190"/>
      <c r="G231" s="190"/>
      <c r="H231" s="190"/>
      <c r="I231" s="134"/>
      <c r="J231" s="190"/>
      <c r="K231" s="190"/>
      <c r="L231" s="133"/>
      <c r="M231" s="133"/>
      <c r="N231" s="133"/>
      <c r="O231" s="127"/>
      <c r="P231" s="190"/>
      <c r="Q231" s="133"/>
      <c r="R231" s="191"/>
      <c r="S231" s="133"/>
      <c r="T231" s="191"/>
      <c r="U231" s="192"/>
      <c r="V231" s="191"/>
      <c r="W231" s="192"/>
      <c r="X231" s="334"/>
      <c r="Y231" s="192"/>
      <c r="Z231" s="392">
        <f t="shared" si="11"/>
        <v>0</v>
      </c>
      <c r="AA231" s="393">
        <f t="shared" si="12"/>
        <v>0</v>
      </c>
      <c r="AB231" s="191"/>
      <c r="AC231" s="192"/>
      <c r="AD231" s="191"/>
      <c r="AE231" s="192"/>
      <c r="AF231" s="192"/>
      <c r="AG231" s="192"/>
      <c r="AH231" s="396">
        <f t="shared" si="13"/>
        <v>0</v>
      </c>
      <c r="AI231" s="64" t="str">
        <f>IF('Sch2a-Imp Price by ECM'!C232="Yes", 0, 'Sch2a-Imp Price by ECM'!L232)</f>
        <v/>
      </c>
      <c r="AJ231" s="225" t="str">
        <f>IF('Sch2a-Imp Price by ECM'!C232="Yes",0, IF(AI231="","",AI231/AH231))</f>
        <v/>
      </c>
      <c r="AK231" s="1" t="str">
        <f>IF('Sch2a-Imp Price by ECM'!M232="","",'Sch2a-Imp Price by ECM'!M232)</f>
        <v/>
      </c>
    </row>
    <row r="232" spans="1:37" ht="16.5" thickBot="1">
      <c r="A232" s="40" t="str">
        <f>IF('Sch2a-Imp Price by ECM'!B233="","",'Sch2a-Imp Price by ECM'!B233)</f>
        <v/>
      </c>
      <c r="B232" s="76" t="str">
        <f>IF('Sch2a-Imp Price by ECM'!D233="","",'Sch2a-Imp Price by ECM'!D233)</f>
        <v/>
      </c>
      <c r="C232" s="197" t="str">
        <f>IF('Sch2a-Imp Price by ECM'!G233="","",'Sch2a-Imp Price by ECM'!G233)</f>
        <v/>
      </c>
      <c r="D232" s="132"/>
      <c r="E232" s="190"/>
      <c r="F232" s="190"/>
      <c r="G232" s="190"/>
      <c r="H232" s="190"/>
      <c r="I232" s="134"/>
      <c r="J232" s="190"/>
      <c r="K232" s="190"/>
      <c r="L232" s="133"/>
      <c r="M232" s="133"/>
      <c r="N232" s="133"/>
      <c r="O232" s="127"/>
      <c r="P232" s="190"/>
      <c r="Q232" s="133"/>
      <c r="R232" s="191"/>
      <c r="S232" s="133"/>
      <c r="T232" s="191"/>
      <c r="U232" s="192"/>
      <c r="V232" s="191"/>
      <c r="W232" s="192"/>
      <c r="X232" s="334"/>
      <c r="Y232" s="192"/>
      <c r="Z232" s="392">
        <f t="shared" si="11"/>
        <v>0</v>
      </c>
      <c r="AA232" s="393">
        <f t="shared" si="12"/>
        <v>0</v>
      </c>
      <c r="AB232" s="191"/>
      <c r="AC232" s="192"/>
      <c r="AD232" s="191"/>
      <c r="AE232" s="192"/>
      <c r="AF232" s="192"/>
      <c r="AG232" s="192"/>
      <c r="AH232" s="396">
        <f t="shared" si="13"/>
        <v>0</v>
      </c>
      <c r="AI232" s="64" t="str">
        <f>IF('Sch2a-Imp Price by ECM'!C233="Yes", 0, 'Sch2a-Imp Price by ECM'!L233)</f>
        <v/>
      </c>
      <c r="AJ232" s="225" t="str">
        <f>IF('Sch2a-Imp Price by ECM'!C233="Yes",0, IF(AI232="","",AI232/AH232))</f>
        <v/>
      </c>
      <c r="AK232" s="1" t="str">
        <f>IF('Sch2a-Imp Price by ECM'!M233="","",'Sch2a-Imp Price by ECM'!M233)</f>
        <v/>
      </c>
    </row>
    <row r="233" spans="1:37" ht="16.5" thickBot="1">
      <c r="A233" s="40" t="str">
        <f>IF('Sch2a-Imp Price by ECM'!B234="","",'Sch2a-Imp Price by ECM'!B234)</f>
        <v/>
      </c>
      <c r="B233" s="76" t="str">
        <f>IF('Sch2a-Imp Price by ECM'!D234="","",'Sch2a-Imp Price by ECM'!D234)</f>
        <v/>
      </c>
      <c r="C233" s="197" t="str">
        <f>IF('Sch2a-Imp Price by ECM'!G234="","",'Sch2a-Imp Price by ECM'!G234)</f>
        <v/>
      </c>
      <c r="D233" s="132"/>
      <c r="E233" s="190"/>
      <c r="F233" s="190"/>
      <c r="G233" s="190"/>
      <c r="H233" s="190"/>
      <c r="I233" s="134"/>
      <c r="J233" s="190"/>
      <c r="K233" s="190"/>
      <c r="L233" s="133"/>
      <c r="M233" s="133"/>
      <c r="N233" s="133"/>
      <c r="O233" s="127"/>
      <c r="P233" s="190"/>
      <c r="Q233" s="133"/>
      <c r="R233" s="191"/>
      <c r="S233" s="133"/>
      <c r="T233" s="191"/>
      <c r="U233" s="192"/>
      <c r="V233" s="191"/>
      <c r="W233" s="192"/>
      <c r="X233" s="334"/>
      <c r="Y233" s="192"/>
      <c r="Z233" s="392">
        <f t="shared" si="11"/>
        <v>0</v>
      </c>
      <c r="AA233" s="393">
        <f t="shared" si="12"/>
        <v>0</v>
      </c>
      <c r="AB233" s="191"/>
      <c r="AC233" s="192"/>
      <c r="AD233" s="191"/>
      <c r="AE233" s="192"/>
      <c r="AF233" s="192"/>
      <c r="AG233" s="192"/>
      <c r="AH233" s="396">
        <f t="shared" si="13"/>
        <v>0</v>
      </c>
      <c r="AI233" s="64" t="str">
        <f>IF('Sch2a-Imp Price by ECM'!C234="Yes", 0, 'Sch2a-Imp Price by ECM'!L234)</f>
        <v/>
      </c>
      <c r="AJ233" s="225" t="str">
        <f>IF('Sch2a-Imp Price by ECM'!C234="Yes",0, IF(AI233="","",AI233/AH233))</f>
        <v/>
      </c>
      <c r="AK233" s="1" t="str">
        <f>IF('Sch2a-Imp Price by ECM'!M234="","",'Sch2a-Imp Price by ECM'!M234)</f>
        <v/>
      </c>
    </row>
    <row r="234" spans="1:37" ht="16.5" thickBot="1">
      <c r="A234" s="40" t="str">
        <f>IF('Sch2a-Imp Price by ECM'!B235="","",'Sch2a-Imp Price by ECM'!B235)</f>
        <v/>
      </c>
      <c r="B234" s="76" t="str">
        <f>IF('Sch2a-Imp Price by ECM'!D235="","",'Sch2a-Imp Price by ECM'!D235)</f>
        <v/>
      </c>
      <c r="C234" s="197" t="str">
        <f>IF('Sch2a-Imp Price by ECM'!G235="","",'Sch2a-Imp Price by ECM'!G235)</f>
        <v/>
      </c>
      <c r="D234" s="132"/>
      <c r="E234" s="190"/>
      <c r="F234" s="190"/>
      <c r="G234" s="190"/>
      <c r="H234" s="190"/>
      <c r="I234" s="134"/>
      <c r="J234" s="190"/>
      <c r="K234" s="190"/>
      <c r="L234" s="133"/>
      <c r="M234" s="133"/>
      <c r="N234" s="133"/>
      <c r="O234" s="127"/>
      <c r="P234" s="190"/>
      <c r="Q234" s="133"/>
      <c r="R234" s="191"/>
      <c r="S234" s="133"/>
      <c r="T234" s="191"/>
      <c r="U234" s="192"/>
      <c r="V234" s="191"/>
      <c r="W234" s="192"/>
      <c r="X234" s="334"/>
      <c r="Y234" s="192"/>
      <c r="Z234" s="392">
        <f t="shared" si="11"/>
        <v>0</v>
      </c>
      <c r="AA234" s="393">
        <f t="shared" si="12"/>
        <v>0</v>
      </c>
      <c r="AB234" s="191"/>
      <c r="AC234" s="192"/>
      <c r="AD234" s="191"/>
      <c r="AE234" s="192"/>
      <c r="AF234" s="192"/>
      <c r="AG234" s="192"/>
      <c r="AH234" s="396">
        <f t="shared" si="13"/>
        <v>0</v>
      </c>
      <c r="AI234" s="64" t="str">
        <f>IF('Sch2a-Imp Price by ECM'!C235="Yes", 0, 'Sch2a-Imp Price by ECM'!L235)</f>
        <v/>
      </c>
      <c r="AJ234" s="225" t="str">
        <f>IF('Sch2a-Imp Price by ECM'!C235="Yes",0, IF(AI234="","",AI234/AH234))</f>
        <v/>
      </c>
      <c r="AK234" s="1" t="str">
        <f>IF('Sch2a-Imp Price by ECM'!M235="","",'Sch2a-Imp Price by ECM'!M235)</f>
        <v/>
      </c>
    </row>
    <row r="235" spans="1:37" ht="16.5" thickBot="1">
      <c r="A235" s="40" t="str">
        <f>IF('Sch2a-Imp Price by ECM'!B236="","",'Sch2a-Imp Price by ECM'!B236)</f>
        <v/>
      </c>
      <c r="B235" s="76" t="str">
        <f>IF('Sch2a-Imp Price by ECM'!D236="","",'Sch2a-Imp Price by ECM'!D236)</f>
        <v/>
      </c>
      <c r="C235" s="197" t="str">
        <f>IF('Sch2a-Imp Price by ECM'!G236="","",'Sch2a-Imp Price by ECM'!G236)</f>
        <v/>
      </c>
      <c r="D235" s="132"/>
      <c r="E235" s="190"/>
      <c r="F235" s="190"/>
      <c r="G235" s="190"/>
      <c r="H235" s="190"/>
      <c r="I235" s="134"/>
      <c r="J235" s="190"/>
      <c r="K235" s="190"/>
      <c r="L235" s="133"/>
      <c r="M235" s="133"/>
      <c r="N235" s="133"/>
      <c r="O235" s="127"/>
      <c r="P235" s="190"/>
      <c r="Q235" s="133"/>
      <c r="R235" s="191"/>
      <c r="S235" s="133"/>
      <c r="T235" s="191"/>
      <c r="U235" s="192"/>
      <c r="V235" s="191"/>
      <c r="W235" s="192"/>
      <c r="X235" s="334"/>
      <c r="Y235" s="192"/>
      <c r="Z235" s="392">
        <f t="shared" si="11"/>
        <v>0</v>
      </c>
      <c r="AA235" s="393">
        <f t="shared" si="12"/>
        <v>0</v>
      </c>
      <c r="AB235" s="191"/>
      <c r="AC235" s="192"/>
      <c r="AD235" s="191"/>
      <c r="AE235" s="192"/>
      <c r="AF235" s="192"/>
      <c r="AG235" s="192"/>
      <c r="AH235" s="396">
        <f t="shared" si="13"/>
        <v>0</v>
      </c>
      <c r="AI235" s="64" t="str">
        <f>IF('Sch2a-Imp Price by ECM'!C236="Yes", 0, 'Sch2a-Imp Price by ECM'!L236)</f>
        <v/>
      </c>
      <c r="AJ235" s="225" t="str">
        <f>IF('Sch2a-Imp Price by ECM'!C236="Yes",0, IF(AI235="","",AI235/AH235))</f>
        <v/>
      </c>
      <c r="AK235" s="1" t="str">
        <f>IF('Sch2a-Imp Price by ECM'!M236="","",'Sch2a-Imp Price by ECM'!M236)</f>
        <v/>
      </c>
    </row>
    <row r="236" spans="1:37" ht="16.5" thickBot="1">
      <c r="A236" s="40" t="str">
        <f>IF('Sch2a-Imp Price by ECM'!B237="","",'Sch2a-Imp Price by ECM'!B237)</f>
        <v/>
      </c>
      <c r="B236" s="76" t="str">
        <f>IF('Sch2a-Imp Price by ECM'!D237="","",'Sch2a-Imp Price by ECM'!D237)</f>
        <v/>
      </c>
      <c r="C236" s="197" t="str">
        <f>IF('Sch2a-Imp Price by ECM'!G237="","",'Sch2a-Imp Price by ECM'!G237)</f>
        <v/>
      </c>
      <c r="D236" s="132"/>
      <c r="E236" s="190"/>
      <c r="F236" s="190"/>
      <c r="G236" s="190"/>
      <c r="H236" s="190"/>
      <c r="I236" s="134"/>
      <c r="J236" s="190"/>
      <c r="K236" s="190"/>
      <c r="L236" s="133"/>
      <c r="M236" s="133"/>
      <c r="N236" s="133"/>
      <c r="O236" s="127"/>
      <c r="P236" s="190"/>
      <c r="Q236" s="133"/>
      <c r="R236" s="191"/>
      <c r="S236" s="133"/>
      <c r="T236" s="191"/>
      <c r="U236" s="192"/>
      <c r="V236" s="191"/>
      <c r="W236" s="192"/>
      <c r="X236" s="334"/>
      <c r="Y236" s="192"/>
      <c r="Z236" s="392">
        <f t="shared" si="11"/>
        <v>0</v>
      </c>
      <c r="AA236" s="393">
        <f t="shared" si="12"/>
        <v>0</v>
      </c>
      <c r="AB236" s="191"/>
      <c r="AC236" s="192"/>
      <c r="AD236" s="191"/>
      <c r="AE236" s="192"/>
      <c r="AF236" s="192"/>
      <c r="AG236" s="192"/>
      <c r="AH236" s="396">
        <f t="shared" si="13"/>
        <v>0</v>
      </c>
      <c r="AI236" s="64" t="str">
        <f>IF('Sch2a-Imp Price by ECM'!C237="Yes", 0, 'Sch2a-Imp Price by ECM'!L237)</f>
        <v/>
      </c>
      <c r="AJ236" s="225" t="str">
        <f>IF('Sch2a-Imp Price by ECM'!C237="Yes",0, IF(AI236="","",AI236/AH236))</f>
        <v/>
      </c>
      <c r="AK236" s="1" t="str">
        <f>IF('Sch2a-Imp Price by ECM'!M237="","",'Sch2a-Imp Price by ECM'!M237)</f>
        <v/>
      </c>
    </row>
    <row r="237" spans="1:37" ht="16.5" thickBot="1">
      <c r="A237" s="40" t="str">
        <f>IF('Sch2a-Imp Price by ECM'!B238="","",'Sch2a-Imp Price by ECM'!B238)</f>
        <v/>
      </c>
      <c r="B237" s="76" t="str">
        <f>IF('Sch2a-Imp Price by ECM'!D238="","",'Sch2a-Imp Price by ECM'!D238)</f>
        <v/>
      </c>
      <c r="C237" s="197" t="str">
        <f>IF('Sch2a-Imp Price by ECM'!G238="","",'Sch2a-Imp Price by ECM'!G238)</f>
        <v/>
      </c>
      <c r="D237" s="132"/>
      <c r="E237" s="190"/>
      <c r="F237" s="190"/>
      <c r="G237" s="190"/>
      <c r="H237" s="190"/>
      <c r="I237" s="134"/>
      <c r="J237" s="190"/>
      <c r="K237" s="190"/>
      <c r="L237" s="133"/>
      <c r="M237" s="133"/>
      <c r="N237" s="133"/>
      <c r="O237" s="127"/>
      <c r="P237" s="190"/>
      <c r="Q237" s="133"/>
      <c r="R237" s="191"/>
      <c r="S237" s="133"/>
      <c r="T237" s="191"/>
      <c r="U237" s="192"/>
      <c r="V237" s="191"/>
      <c r="W237" s="192"/>
      <c r="X237" s="334"/>
      <c r="Y237" s="192"/>
      <c r="Z237" s="392">
        <f t="shared" si="11"/>
        <v>0</v>
      </c>
      <c r="AA237" s="393">
        <f t="shared" si="12"/>
        <v>0</v>
      </c>
      <c r="AB237" s="191"/>
      <c r="AC237" s="192"/>
      <c r="AD237" s="191"/>
      <c r="AE237" s="192"/>
      <c r="AF237" s="192"/>
      <c r="AG237" s="192"/>
      <c r="AH237" s="396">
        <f t="shared" si="13"/>
        <v>0</v>
      </c>
      <c r="AI237" s="64" t="str">
        <f>IF('Sch2a-Imp Price by ECM'!C238="Yes", 0, 'Sch2a-Imp Price by ECM'!L238)</f>
        <v/>
      </c>
      <c r="AJ237" s="225" t="str">
        <f>IF('Sch2a-Imp Price by ECM'!C238="Yes",0, IF(AI237="","",AI237/AH237))</f>
        <v/>
      </c>
      <c r="AK237" s="1" t="str">
        <f>IF('Sch2a-Imp Price by ECM'!M238="","",'Sch2a-Imp Price by ECM'!M238)</f>
        <v/>
      </c>
    </row>
    <row r="238" spans="1:37" ht="16.5" thickBot="1">
      <c r="A238" s="40" t="str">
        <f>IF('Sch2a-Imp Price by ECM'!B239="","",'Sch2a-Imp Price by ECM'!B239)</f>
        <v/>
      </c>
      <c r="B238" s="76" t="str">
        <f>IF('Sch2a-Imp Price by ECM'!D239="","",'Sch2a-Imp Price by ECM'!D239)</f>
        <v/>
      </c>
      <c r="C238" s="197" t="str">
        <f>IF('Sch2a-Imp Price by ECM'!G239="","",'Sch2a-Imp Price by ECM'!G239)</f>
        <v/>
      </c>
      <c r="D238" s="132"/>
      <c r="E238" s="190"/>
      <c r="F238" s="190"/>
      <c r="G238" s="190"/>
      <c r="H238" s="190"/>
      <c r="I238" s="134"/>
      <c r="J238" s="190"/>
      <c r="K238" s="190"/>
      <c r="L238" s="133"/>
      <c r="M238" s="133"/>
      <c r="N238" s="133"/>
      <c r="O238" s="127"/>
      <c r="P238" s="190"/>
      <c r="Q238" s="133"/>
      <c r="R238" s="191"/>
      <c r="S238" s="133"/>
      <c r="T238" s="191"/>
      <c r="U238" s="192"/>
      <c r="V238" s="191"/>
      <c r="W238" s="192"/>
      <c r="X238" s="334"/>
      <c r="Y238" s="192"/>
      <c r="Z238" s="392">
        <f t="shared" si="11"/>
        <v>0</v>
      </c>
      <c r="AA238" s="393">
        <f t="shared" si="12"/>
        <v>0</v>
      </c>
      <c r="AB238" s="191"/>
      <c r="AC238" s="192"/>
      <c r="AD238" s="191"/>
      <c r="AE238" s="192"/>
      <c r="AF238" s="192"/>
      <c r="AG238" s="192"/>
      <c r="AH238" s="396">
        <f t="shared" si="13"/>
        <v>0</v>
      </c>
      <c r="AI238" s="64" t="str">
        <f>IF('Sch2a-Imp Price by ECM'!C239="Yes", 0, 'Sch2a-Imp Price by ECM'!L239)</f>
        <v/>
      </c>
      <c r="AJ238" s="225" t="str">
        <f>IF('Sch2a-Imp Price by ECM'!C239="Yes",0, IF(AI238="","",AI238/AH238))</f>
        <v/>
      </c>
      <c r="AK238" s="1" t="str">
        <f>IF('Sch2a-Imp Price by ECM'!M239="","",'Sch2a-Imp Price by ECM'!M239)</f>
        <v/>
      </c>
    </row>
    <row r="239" spans="1:37" ht="16.5" thickBot="1">
      <c r="A239" s="40" t="str">
        <f>IF('Sch2a-Imp Price by ECM'!B240="","",'Sch2a-Imp Price by ECM'!B240)</f>
        <v/>
      </c>
      <c r="B239" s="76" t="str">
        <f>IF('Sch2a-Imp Price by ECM'!D240="","",'Sch2a-Imp Price by ECM'!D240)</f>
        <v/>
      </c>
      <c r="C239" s="197" t="str">
        <f>IF('Sch2a-Imp Price by ECM'!G240="","",'Sch2a-Imp Price by ECM'!G240)</f>
        <v/>
      </c>
      <c r="D239" s="132"/>
      <c r="E239" s="190"/>
      <c r="F239" s="190"/>
      <c r="G239" s="190"/>
      <c r="H239" s="190"/>
      <c r="I239" s="134"/>
      <c r="J239" s="190"/>
      <c r="K239" s="190"/>
      <c r="L239" s="133"/>
      <c r="M239" s="133"/>
      <c r="N239" s="133"/>
      <c r="O239" s="127"/>
      <c r="P239" s="190"/>
      <c r="Q239" s="133"/>
      <c r="R239" s="191"/>
      <c r="S239" s="133"/>
      <c r="T239" s="191"/>
      <c r="U239" s="192"/>
      <c r="V239" s="191"/>
      <c r="W239" s="192"/>
      <c r="X239" s="334"/>
      <c r="Y239" s="192"/>
      <c r="Z239" s="392">
        <f t="shared" si="11"/>
        <v>0</v>
      </c>
      <c r="AA239" s="393">
        <f t="shared" si="12"/>
        <v>0</v>
      </c>
      <c r="AB239" s="191"/>
      <c r="AC239" s="192"/>
      <c r="AD239" s="191"/>
      <c r="AE239" s="192"/>
      <c r="AF239" s="192"/>
      <c r="AG239" s="192"/>
      <c r="AH239" s="396">
        <f t="shared" si="13"/>
        <v>0</v>
      </c>
      <c r="AI239" s="64" t="str">
        <f>IF('Sch2a-Imp Price by ECM'!C240="Yes", 0, 'Sch2a-Imp Price by ECM'!L240)</f>
        <v/>
      </c>
      <c r="AJ239" s="225" t="str">
        <f>IF('Sch2a-Imp Price by ECM'!C240="Yes",0, IF(AI239="","",AI239/AH239))</f>
        <v/>
      </c>
      <c r="AK239" s="1" t="str">
        <f>IF('Sch2a-Imp Price by ECM'!M240="","",'Sch2a-Imp Price by ECM'!M240)</f>
        <v/>
      </c>
    </row>
    <row r="240" spans="1:37" ht="16.5" thickBot="1">
      <c r="A240" s="40" t="str">
        <f>IF('Sch2a-Imp Price by ECM'!B241="","",'Sch2a-Imp Price by ECM'!B241)</f>
        <v/>
      </c>
      <c r="B240" s="76" t="str">
        <f>IF('Sch2a-Imp Price by ECM'!D241="","",'Sch2a-Imp Price by ECM'!D241)</f>
        <v/>
      </c>
      <c r="C240" s="197" t="str">
        <f>IF('Sch2a-Imp Price by ECM'!G241="","",'Sch2a-Imp Price by ECM'!G241)</f>
        <v/>
      </c>
      <c r="D240" s="132"/>
      <c r="E240" s="190"/>
      <c r="F240" s="190"/>
      <c r="G240" s="190"/>
      <c r="H240" s="190"/>
      <c r="I240" s="134"/>
      <c r="J240" s="190"/>
      <c r="K240" s="190"/>
      <c r="L240" s="133"/>
      <c r="M240" s="133"/>
      <c r="N240" s="133"/>
      <c r="O240" s="134"/>
      <c r="P240" s="190"/>
      <c r="Q240" s="133"/>
      <c r="R240" s="191"/>
      <c r="S240" s="133"/>
      <c r="T240" s="191"/>
      <c r="U240" s="192"/>
      <c r="V240" s="191"/>
      <c r="W240" s="192"/>
      <c r="X240" s="334"/>
      <c r="Y240" s="192"/>
      <c r="Z240" s="392">
        <f t="shared" si="11"/>
        <v>0</v>
      </c>
      <c r="AA240" s="393">
        <f t="shared" si="12"/>
        <v>0</v>
      </c>
      <c r="AB240" s="191"/>
      <c r="AC240" s="192"/>
      <c r="AD240" s="191"/>
      <c r="AE240" s="192"/>
      <c r="AF240" s="192"/>
      <c r="AG240" s="192"/>
      <c r="AH240" s="396">
        <f t="shared" si="13"/>
        <v>0</v>
      </c>
      <c r="AI240" s="64" t="str">
        <f>IF('Sch2a-Imp Price by ECM'!C241="Yes", 0, 'Sch2a-Imp Price by ECM'!L241)</f>
        <v/>
      </c>
      <c r="AJ240" s="225" t="str">
        <f>IF('Sch2a-Imp Price by ECM'!C241="Yes",0, IF(AI240="","",AI240/AH240))</f>
        <v/>
      </c>
      <c r="AK240" s="1" t="str">
        <f>IF('Sch2a-Imp Price by ECM'!M241="","",'Sch2a-Imp Price by ECM'!M241)</f>
        <v/>
      </c>
    </row>
    <row r="241" spans="1:37" ht="16.5" thickBot="1">
      <c r="A241" s="40" t="str">
        <f>IF('Sch2a-Imp Price by ECM'!B242="","",'Sch2a-Imp Price by ECM'!B242)</f>
        <v/>
      </c>
      <c r="B241" s="76" t="str">
        <f>IF('Sch2a-Imp Price by ECM'!D242="","",'Sch2a-Imp Price by ECM'!D242)</f>
        <v/>
      </c>
      <c r="C241" s="197" t="str">
        <f>IF('Sch2a-Imp Price by ECM'!G242="","",'Sch2a-Imp Price by ECM'!G242)</f>
        <v/>
      </c>
      <c r="D241" s="132"/>
      <c r="E241" s="190"/>
      <c r="F241" s="190"/>
      <c r="G241" s="190"/>
      <c r="H241" s="190"/>
      <c r="I241" s="134"/>
      <c r="J241" s="190"/>
      <c r="K241" s="190"/>
      <c r="L241" s="133"/>
      <c r="M241" s="133"/>
      <c r="N241" s="133"/>
      <c r="O241" s="134"/>
      <c r="P241" s="190"/>
      <c r="Q241" s="133"/>
      <c r="R241" s="191"/>
      <c r="S241" s="133"/>
      <c r="T241" s="191"/>
      <c r="U241" s="192"/>
      <c r="V241" s="191"/>
      <c r="W241" s="192"/>
      <c r="X241" s="334"/>
      <c r="Y241" s="192"/>
      <c r="Z241" s="392">
        <f t="shared" si="11"/>
        <v>0</v>
      </c>
      <c r="AA241" s="393">
        <f t="shared" si="12"/>
        <v>0</v>
      </c>
      <c r="AB241" s="191"/>
      <c r="AC241" s="192"/>
      <c r="AD241" s="191"/>
      <c r="AE241" s="192"/>
      <c r="AF241" s="192"/>
      <c r="AG241" s="192"/>
      <c r="AH241" s="396">
        <f t="shared" si="13"/>
        <v>0</v>
      </c>
      <c r="AI241" s="64" t="str">
        <f>IF('Sch2a-Imp Price by ECM'!C242="Yes", 0, 'Sch2a-Imp Price by ECM'!L242)</f>
        <v/>
      </c>
      <c r="AJ241" s="225" t="str">
        <f>IF('Sch2a-Imp Price by ECM'!C242="Yes",0, IF(AI241="","",AI241/AH241))</f>
        <v/>
      </c>
      <c r="AK241" s="1" t="str">
        <f>IF('Sch2a-Imp Price by ECM'!M242="","",'Sch2a-Imp Price by ECM'!M242)</f>
        <v/>
      </c>
    </row>
    <row r="242" spans="1:37" ht="16.5" thickBot="1">
      <c r="A242" s="40" t="str">
        <f>IF('Sch2a-Imp Price by ECM'!B243="","",'Sch2a-Imp Price by ECM'!B243)</f>
        <v/>
      </c>
      <c r="B242" s="76" t="str">
        <f>IF('Sch2a-Imp Price by ECM'!D243="","",'Sch2a-Imp Price by ECM'!D243)</f>
        <v/>
      </c>
      <c r="C242" s="197" t="str">
        <f>IF('Sch2a-Imp Price by ECM'!G243="","",'Sch2a-Imp Price by ECM'!G243)</f>
        <v/>
      </c>
      <c r="D242" s="132"/>
      <c r="E242" s="190"/>
      <c r="F242" s="190"/>
      <c r="G242" s="190"/>
      <c r="H242" s="190"/>
      <c r="I242" s="134"/>
      <c r="J242" s="190"/>
      <c r="K242" s="190"/>
      <c r="L242" s="133"/>
      <c r="M242" s="133"/>
      <c r="N242" s="133"/>
      <c r="O242" s="134"/>
      <c r="P242" s="190"/>
      <c r="Q242" s="133"/>
      <c r="R242" s="191"/>
      <c r="S242" s="133"/>
      <c r="T242" s="191"/>
      <c r="U242" s="192"/>
      <c r="V242" s="191"/>
      <c r="W242" s="192"/>
      <c r="X242" s="334"/>
      <c r="Y242" s="192"/>
      <c r="Z242" s="392">
        <f t="shared" si="11"/>
        <v>0</v>
      </c>
      <c r="AA242" s="393">
        <f t="shared" si="12"/>
        <v>0</v>
      </c>
      <c r="AB242" s="191"/>
      <c r="AC242" s="192"/>
      <c r="AD242" s="191"/>
      <c r="AE242" s="192"/>
      <c r="AF242" s="192"/>
      <c r="AG242" s="192"/>
      <c r="AH242" s="396">
        <f t="shared" si="13"/>
        <v>0</v>
      </c>
      <c r="AI242" s="64" t="str">
        <f>IF('Sch2a-Imp Price by ECM'!C243="Yes", 0, 'Sch2a-Imp Price by ECM'!L243)</f>
        <v/>
      </c>
      <c r="AJ242" s="225" t="str">
        <f>IF('Sch2a-Imp Price by ECM'!C243="Yes",0, IF(AI242="","",AI242/AH242))</f>
        <v/>
      </c>
      <c r="AK242" s="1" t="str">
        <f>IF('Sch2a-Imp Price by ECM'!M243="","",'Sch2a-Imp Price by ECM'!M243)</f>
        <v/>
      </c>
    </row>
    <row r="243" spans="1:37" ht="16.5" thickBot="1">
      <c r="A243" s="40" t="str">
        <f>IF('Sch2a-Imp Price by ECM'!B244="","",'Sch2a-Imp Price by ECM'!B244)</f>
        <v/>
      </c>
      <c r="B243" s="76" t="str">
        <f>IF('Sch2a-Imp Price by ECM'!D244="","",'Sch2a-Imp Price by ECM'!D244)</f>
        <v/>
      </c>
      <c r="C243" s="197" t="str">
        <f>IF('Sch2a-Imp Price by ECM'!G244="","",'Sch2a-Imp Price by ECM'!G244)</f>
        <v/>
      </c>
      <c r="D243" s="132"/>
      <c r="E243" s="190"/>
      <c r="F243" s="190"/>
      <c r="G243" s="190"/>
      <c r="H243" s="190"/>
      <c r="I243" s="134"/>
      <c r="J243" s="190"/>
      <c r="K243" s="190"/>
      <c r="L243" s="133"/>
      <c r="M243" s="133"/>
      <c r="N243" s="133"/>
      <c r="O243" s="134"/>
      <c r="P243" s="190"/>
      <c r="Q243" s="133"/>
      <c r="R243" s="191"/>
      <c r="S243" s="133"/>
      <c r="T243" s="191"/>
      <c r="U243" s="192"/>
      <c r="V243" s="191"/>
      <c r="W243" s="192"/>
      <c r="X243" s="334"/>
      <c r="Y243" s="192"/>
      <c r="Z243" s="392">
        <f t="shared" si="11"/>
        <v>0</v>
      </c>
      <c r="AA243" s="393">
        <f t="shared" si="12"/>
        <v>0</v>
      </c>
      <c r="AB243" s="191"/>
      <c r="AC243" s="192"/>
      <c r="AD243" s="191"/>
      <c r="AE243" s="192"/>
      <c r="AF243" s="192"/>
      <c r="AG243" s="192"/>
      <c r="AH243" s="396">
        <f t="shared" si="13"/>
        <v>0</v>
      </c>
      <c r="AI243" s="64" t="str">
        <f>IF('Sch2a-Imp Price by ECM'!C244="Yes", 0, 'Sch2a-Imp Price by ECM'!L244)</f>
        <v/>
      </c>
      <c r="AJ243" s="225" t="str">
        <f>IF('Sch2a-Imp Price by ECM'!C244="Yes",0, IF(AI243="","",AI243/AH243))</f>
        <v/>
      </c>
      <c r="AK243" s="1" t="str">
        <f>IF('Sch2a-Imp Price by ECM'!M244="","",'Sch2a-Imp Price by ECM'!M244)</f>
        <v/>
      </c>
    </row>
    <row r="244" spans="1:37" ht="18" customHeight="1" thickBot="1">
      <c r="A244" s="40" t="str">
        <f>IF('Sch2a-Imp Price by ECM'!B245="","",'Sch2a-Imp Price by ECM'!B245)</f>
        <v/>
      </c>
      <c r="B244" s="76" t="str">
        <f>IF('Sch2a-Imp Price by ECM'!D245="","",'Sch2a-Imp Price by ECM'!D245)</f>
        <v/>
      </c>
      <c r="C244" s="197" t="str">
        <f>IF('Sch2a-Imp Price by ECM'!G245="","",'Sch2a-Imp Price by ECM'!G245)</f>
        <v/>
      </c>
      <c r="D244" s="132"/>
      <c r="E244" s="190"/>
      <c r="F244" s="190"/>
      <c r="G244" s="190"/>
      <c r="H244" s="190"/>
      <c r="I244" s="134"/>
      <c r="J244" s="190"/>
      <c r="K244" s="190"/>
      <c r="L244" s="133"/>
      <c r="M244" s="133"/>
      <c r="N244" s="133"/>
      <c r="O244" s="134"/>
      <c r="P244" s="190"/>
      <c r="Q244" s="133"/>
      <c r="R244" s="191"/>
      <c r="S244" s="133"/>
      <c r="T244" s="191"/>
      <c r="U244" s="192"/>
      <c r="V244" s="191"/>
      <c r="W244" s="192"/>
      <c r="X244" s="334"/>
      <c r="Y244" s="192"/>
      <c r="Z244" s="392">
        <f t="shared" si="11"/>
        <v>0</v>
      </c>
      <c r="AA244" s="393">
        <f t="shared" si="12"/>
        <v>0</v>
      </c>
      <c r="AB244" s="191"/>
      <c r="AC244" s="192"/>
      <c r="AD244" s="191"/>
      <c r="AE244" s="192"/>
      <c r="AF244" s="192"/>
      <c r="AG244" s="192"/>
      <c r="AH244" s="396">
        <f t="shared" si="13"/>
        <v>0</v>
      </c>
      <c r="AI244" s="64" t="str">
        <f>IF('Sch2a-Imp Price by ECM'!C245="Yes", 0, 'Sch2a-Imp Price by ECM'!L245)</f>
        <v/>
      </c>
      <c r="AJ244" s="225" t="str">
        <f>IF('Sch2a-Imp Price by ECM'!C245="Yes",0, IF(AI244="","",AI244/AH244))</f>
        <v/>
      </c>
      <c r="AK244" s="1" t="str">
        <f>IF('Sch2a-Imp Price by ECM'!M245="","",'Sch2a-Imp Price by ECM'!M245)</f>
        <v/>
      </c>
    </row>
    <row r="245" spans="1:37" ht="16.5" thickBot="1">
      <c r="A245" s="40" t="str">
        <f>IF('Sch2a-Imp Price by ECM'!B246="","",'Sch2a-Imp Price by ECM'!B246)</f>
        <v/>
      </c>
      <c r="B245" s="76" t="str">
        <f>IF('Sch2a-Imp Price by ECM'!D246="","",'Sch2a-Imp Price by ECM'!D246)</f>
        <v/>
      </c>
      <c r="C245" s="197" t="str">
        <f>IF('Sch2a-Imp Price by ECM'!G246="","",'Sch2a-Imp Price by ECM'!G246)</f>
        <v/>
      </c>
      <c r="D245" s="132"/>
      <c r="E245" s="190"/>
      <c r="F245" s="190"/>
      <c r="G245" s="190"/>
      <c r="H245" s="190"/>
      <c r="I245" s="134"/>
      <c r="J245" s="190"/>
      <c r="K245" s="190"/>
      <c r="L245" s="133"/>
      <c r="M245" s="133"/>
      <c r="N245" s="133"/>
      <c r="O245" s="134"/>
      <c r="P245" s="190"/>
      <c r="Q245" s="133"/>
      <c r="R245" s="191"/>
      <c r="S245" s="133"/>
      <c r="T245" s="191"/>
      <c r="U245" s="192"/>
      <c r="V245" s="191"/>
      <c r="W245" s="192"/>
      <c r="X245" s="334"/>
      <c r="Y245" s="192"/>
      <c r="Z245" s="392">
        <f t="shared" si="11"/>
        <v>0</v>
      </c>
      <c r="AA245" s="393">
        <f t="shared" si="12"/>
        <v>0</v>
      </c>
      <c r="AB245" s="191"/>
      <c r="AC245" s="192"/>
      <c r="AD245" s="191"/>
      <c r="AE245" s="192"/>
      <c r="AF245" s="192"/>
      <c r="AG245" s="192"/>
      <c r="AH245" s="396">
        <f t="shared" si="13"/>
        <v>0</v>
      </c>
      <c r="AI245" s="64" t="str">
        <f>IF('Sch2a-Imp Price by ECM'!C246="Yes", 0, 'Sch2a-Imp Price by ECM'!L246)</f>
        <v/>
      </c>
      <c r="AJ245" s="225" t="str">
        <f>IF('Sch2a-Imp Price by ECM'!C246="Yes",0, IF(AI245="","",AI245/AH245))</f>
        <v/>
      </c>
      <c r="AK245" s="1" t="str">
        <f>IF('Sch2a-Imp Price by ECM'!M246="","",'Sch2a-Imp Price by ECM'!M246)</f>
        <v/>
      </c>
    </row>
    <row r="246" spans="1:37" ht="16.5" thickBot="1">
      <c r="A246" s="40" t="str">
        <f>IF('Sch2a-Imp Price by ECM'!B247="","",'Sch2a-Imp Price by ECM'!B247)</f>
        <v/>
      </c>
      <c r="B246" s="76" t="str">
        <f>IF('Sch2a-Imp Price by ECM'!D247="","",'Sch2a-Imp Price by ECM'!D247)</f>
        <v/>
      </c>
      <c r="C246" s="197" t="str">
        <f>IF('Sch2a-Imp Price by ECM'!G247="","",'Sch2a-Imp Price by ECM'!G247)</f>
        <v/>
      </c>
      <c r="D246" s="132"/>
      <c r="E246" s="190"/>
      <c r="F246" s="190"/>
      <c r="G246" s="190"/>
      <c r="H246" s="190"/>
      <c r="I246" s="134"/>
      <c r="J246" s="190"/>
      <c r="K246" s="190"/>
      <c r="L246" s="133"/>
      <c r="M246" s="133"/>
      <c r="N246" s="133"/>
      <c r="O246" s="134"/>
      <c r="P246" s="190"/>
      <c r="Q246" s="133"/>
      <c r="R246" s="191"/>
      <c r="S246" s="133"/>
      <c r="T246" s="191"/>
      <c r="U246" s="192"/>
      <c r="V246" s="191"/>
      <c r="W246" s="192"/>
      <c r="X246" s="334"/>
      <c r="Y246" s="192"/>
      <c r="Z246" s="392">
        <f t="shared" si="11"/>
        <v>0</v>
      </c>
      <c r="AA246" s="393">
        <f t="shared" si="12"/>
        <v>0</v>
      </c>
      <c r="AB246" s="191"/>
      <c r="AC246" s="192"/>
      <c r="AD246" s="191"/>
      <c r="AE246" s="192"/>
      <c r="AF246" s="192"/>
      <c r="AG246" s="192"/>
      <c r="AH246" s="396">
        <f t="shared" si="13"/>
        <v>0</v>
      </c>
      <c r="AI246" s="64" t="str">
        <f>IF('Sch2a-Imp Price by ECM'!C247="Yes", 0, 'Sch2a-Imp Price by ECM'!L247)</f>
        <v/>
      </c>
      <c r="AJ246" s="225" t="str">
        <f>IF('Sch2a-Imp Price by ECM'!C247="Yes",0, IF(AI246="","",AI246/AH246))</f>
        <v/>
      </c>
      <c r="AK246" s="1" t="str">
        <f>IF('Sch2a-Imp Price by ECM'!M247="","",'Sch2a-Imp Price by ECM'!M247)</f>
        <v/>
      </c>
    </row>
    <row r="247" spans="1:37" ht="16.5" thickBot="1">
      <c r="A247" s="40" t="str">
        <f>IF('Sch2a-Imp Price by ECM'!B248="","",'Sch2a-Imp Price by ECM'!B248)</f>
        <v/>
      </c>
      <c r="B247" s="76" t="str">
        <f>IF('Sch2a-Imp Price by ECM'!D248="","",'Sch2a-Imp Price by ECM'!D248)</f>
        <v/>
      </c>
      <c r="C247" s="197" t="str">
        <f>IF('Sch2a-Imp Price by ECM'!G248="","",'Sch2a-Imp Price by ECM'!G248)</f>
        <v/>
      </c>
      <c r="D247" s="132"/>
      <c r="E247" s="190"/>
      <c r="F247" s="190"/>
      <c r="G247" s="190"/>
      <c r="H247" s="190"/>
      <c r="I247" s="134"/>
      <c r="J247" s="190"/>
      <c r="K247" s="190"/>
      <c r="L247" s="133"/>
      <c r="M247" s="133"/>
      <c r="N247" s="133"/>
      <c r="O247" s="127"/>
      <c r="P247" s="190"/>
      <c r="Q247" s="133"/>
      <c r="R247" s="191"/>
      <c r="S247" s="133"/>
      <c r="T247" s="191"/>
      <c r="U247" s="192"/>
      <c r="V247" s="191"/>
      <c r="W247" s="192"/>
      <c r="X247" s="334"/>
      <c r="Y247" s="192"/>
      <c r="Z247" s="392">
        <f t="shared" si="11"/>
        <v>0</v>
      </c>
      <c r="AA247" s="393">
        <f t="shared" si="12"/>
        <v>0</v>
      </c>
      <c r="AB247" s="191"/>
      <c r="AC247" s="192"/>
      <c r="AD247" s="191"/>
      <c r="AE247" s="192"/>
      <c r="AF247" s="192"/>
      <c r="AG247" s="192"/>
      <c r="AH247" s="396">
        <f t="shared" si="13"/>
        <v>0</v>
      </c>
      <c r="AI247" s="64" t="str">
        <f>IF('Sch2a-Imp Price by ECM'!C248="Yes", 0, 'Sch2a-Imp Price by ECM'!L248)</f>
        <v/>
      </c>
      <c r="AJ247" s="225" t="str">
        <f>IF('Sch2a-Imp Price by ECM'!C248="Yes",0, IF(AI247="","",AI247/AH247))</f>
        <v/>
      </c>
      <c r="AK247" s="1" t="str">
        <f>IF('Sch2a-Imp Price by ECM'!M248="","",'Sch2a-Imp Price by ECM'!M248)</f>
        <v/>
      </c>
    </row>
    <row r="248" spans="1:37" ht="16.5" thickBot="1">
      <c r="A248" s="40" t="str">
        <f>IF('Sch2a-Imp Price by ECM'!B249="","",'Sch2a-Imp Price by ECM'!B249)</f>
        <v/>
      </c>
      <c r="B248" s="76" t="str">
        <f>IF('Sch2a-Imp Price by ECM'!D249="","",'Sch2a-Imp Price by ECM'!D249)</f>
        <v/>
      </c>
      <c r="C248" s="197" t="str">
        <f>IF('Sch2a-Imp Price by ECM'!G249="","",'Sch2a-Imp Price by ECM'!G249)</f>
        <v/>
      </c>
      <c r="D248" s="132"/>
      <c r="E248" s="190"/>
      <c r="F248" s="190"/>
      <c r="G248" s="190"/>
      <c r="H248" s="190"/>
      <c r="I248" s="134"/>
      <c r="J248" s="190"/>
      <c r="K248" s="190"/>
      <c r="L248" s="133"/>
      <c r="M248" s="133"/>
      <c r="N248" s="133"/>
      <c r="O248" s="127"/>
      <c r="P248" s="190"/>
      <c r="Q248" s="133"/>
      <c r="R248" s="191"/>
      <c r="S248" s="133"/>
      <c r="T248" s="191"/>
      <c r="U248" s="192"/>
      <c r="V248" s="191"/>
      <c r="W248" s="192"/>
      <c r="X248" s="334"/>
      <c r="Y248" s="192"/>
      <c r="Z248" s="392">
        <f t="shared" si="11"/>
        <v>0</v>
      </c>
      <c r="AA248" s="393">
        <f t="shared" si="12"/>
        <v>0</v>
      </c>
      <c r="AB248" s="191"/>
      <c r="AC248" s="192"/>
      <c r="AD248" s="191"/>
      <c r="AE248" s="192"/>
      <c r="AF248" s="192"/>
      <c r="AG248" s="192"/>
      <c r="AH248" s="396">
        <f t="shared" si="13"/>
        <v>0</v>
      </c>
      <c r="AI248" s="64" t="str">
        <f>IF('Sch2a-Imp Price by ECM'!C249="Yes", 0, 'Sch2a-Imp Price by ECM'!L249)</f>
        <v/>
      </c>
      <c r="AJ248" s="225" t="str">
        <f>IF('Sch2a-Imp Price by ECM'!C249="Yes",0, IF(AI248="","",AI248/AH248))</f>
        <v/>
      </c>
      <c r="AK248" s="1" t="str">
        <f>IF('Sch2a-Imp Price by ECM'!M249="","",'Sch2a-Imp Price by ECM'!M249)</f>
        <v/>
      </c>
    </row>
    <row r="249" spans="1:37" ht="16.5" thickBot="1">
      <c r="A249" s="40" t="str">
        <f>IF('Sch2a-Imp Price by ECM'!B250="","",'Sch2a-Imp Price by ECM'!B250)</f>
        <v/>
      </c>
      <c r="B249" s="76" t="str">
        <f>IF('Sch2a-Imp Price by ECM'!D250="","",'Sch2a-Imp Price by ECM'!D250)</f>
        <v/>
      </c>
      <c r="C249" s="197" t="str">
        <f>IF('Sch2a-Imp Price by ECM'!G250="","",'Sch2a-Imp Price by ECM'!G250)</f>
        <v/>
      </c>
      <c r="D249" s="132"/>
      <c r="E249" s="190"/>
      <c r="F249" s="190"/>
      <c r="G249" s="190"/>
      <c r="H249" s="190"/>
      <c r="I249" s="134"/>
      <c r="J249" s="190"/>
      <c r="K249" s="190"/>
      <c r="L249" s="133"/>
      <c r="M249" s="133"/>
      <c r="N249" s="133"/>
      <c r="O249" s="127"/>
      <c r="P249" s="190"/>
      <c r="Q249" s="133"/>
      <c r="R249" s="191"/>
      <c r="S249" s="133"/>
      <c r="T249" s="191"/>
      <c r="U249" s="192"/>
      <c r="V249" s="191"/>
      <c r="W249" s="192"/>
      <c r="X249" s="334"/>
      <c r="Y249" s="192"/>
      <c r="Z249" s="392">
        <f t="shared" si="11"/>
        <v>0</v>
      </c>
      <c r="AA249" s="393">
        <f t="shared" si="12"/>
        <v>0</v>
      </c>
      <c r="AB249" s="191"/>
      <c r="AC249" s="192"/>
      <c r="AD249" s="191"/>
      <c r="AE249" s="192"/>
      <c r="AF249" s="192"/>
      <c r="AG249" s="192"/>
      <c r="AH249" s="396">
        <f t="shared" si="13"/>
        <v>0</v>
      </c>
      <c r="AI249" s="64" t="str">
        <f>IF('Sch2a-Imp Price by ECM'!C250="Yes", 0, 'Sch2a-Imp Price by ECM'!L250)</f>
        <v/>
      </c>
      <c r="AJ249" s="225" t="str">
        <f>IF('Sch2a-Imp Price by ECM'!C250="Yes",0, IF(AI249="","",AI249/AH249))</f>
        <v/>
      </c>
      <c r="AK249" s="1" t="str">
        <f>IF('Sch2a-Imp Price by ECM'!M250="","",'Sch2a-Imp Price by ECM'!M250)</f>
        <v/>
      </c>
    </row>
    <row r="250" spans="1:37" ht="16.5" thickBot="1">
      <c r="A250" s="40" t="str">
        <f>IF('Sch2a-Imp Price by ECM'!B251="","",'Sch2a-Imp Price by ECM'!B251)</f>
        <v/>
      </c>
      <c r="B250" s="76" t="str">
        <f>IF('Sch2a-Imp Price by ECM'!D251="","",'Sch2a-Imp Price by ECM'!D251)</f>
        <v/>
      </c>
      <c r="C250" s="197" t="str">
        <f>IF('Sch2a-Imp Price by ECM'!G251="","",'Sch2a-Imp Price by ECM'!G251)</f>
        <v/>
      </c>
      <c r="D250" s="132"/>
      <c r="E250" s="190"/>
      <c r="F250" s="190"/>
      <c r="G250" s="190"/>
      <c r="H250" s="190"/>
      <c r="I250" s="134"/>
      <c r="J250" s="190"/>
      <c r="K250" s="190"/>
      <c r="L250" s="133"/>
      <c r="M250" s="133"/>
      <c r="N250" s="133"/>
      <c r="O250" s="127"/>
      <c r="P250" s="190"/>
      <c r="Q250" s="133"/>
      <c r="R250" s="191"/>
      <c r="S250" s="133"/>
      <c r="T250" s="191"/>
      <c r="U250" s="192"/>
      <c r="V250" s="191"/>
      <c r="W250" s="192"/>
      <c r="X250" s="334"/>
      <c r="Y250" s="192"/>
      <c r="Z250" s="392">
        <f t="shared" si="11"/>
        <v>0</v>
      </c>
      <c r="AA250" s="393">
        <f t="shared" si="12"/>
        <v>0</v>
      </c>
      <c r="AB250" s="191"/>
      <c r="AC250" s="192"/>
      <c r="AD250" s="191"/>
      <c r="AE250" s="192"/>
      <c r="AF250" s="192"/>
      <c r="AG250" s="192"/>
      <c r="AH250" s="396">
        <f t="shared" si="13"/>
        <v>0</v>
      </c>
      <c r="AI250" s="64" t="str">
        <f>IF('Sch2a-Imp Price by ECM'!C251="Yes", 0, 'Sch2a-Imp Price by ECM'!L251)</f>
        <v/>
      </c>
      <c r="AJ250" s="225" t="str">
        <f>IF('Sch2a-Imp Price by ECM'!C251="Yes",0, IF(AI250="","",AI250/AH250))</f>
        <v/>
      </c>
      <c r="AK250" s="1" t="str">
        <f>IF('Sch2a-Imp Price by ECM'!M251="","",'Sch2a-Imp Price by ECM'!M251)</f>
        <v/>
      </c>
    </row>
    <row r="251" spans="1:37" ht="16.5" thickBot="1">
      <c r="A251" s="40" t="str">
        <f>IF('Sch2a-Imp Price by ECM'!B252="","",'Sch2a-Imp Price by ECM'!B252)</f>
        <v/>
      </c>
      <c r="B251" s="76" t="str">
        <f>IF('Sch2a-Imp Price by ECM'!D252="","",'Sch2a-Imp Price by ECM'!D252)</f>
        <v/>
      </c>
      <c r="C251" s="197" t="str">
        <f>IF('Sch2a-Imp Price by ECM'!G252="","",'Sch2a-Imp Price by ECM'!G252)</f>
        <v/>
      </c>
      <c r="D251" s="132"/>
      <c r="E251" s="190"/>
      <c r="F251" s="190"/>
      <c r="G251" s="190"/>
      <c r="H251" s="190"/>
      <c r="I251" s="134"/>
      <c r="J251" s="190"/>
      <c r="K251" s="190"/>
      <c r="L251" s="133"/>
      <c r="M251" s="133"/>
      <c r="N251" s="133"/>
      <c r="O251" s="127"/>
      <c r="P251" s="190"/>
      <c r="Q251" s="133"/>
      <c r="R251" s="191"/>
      <c r="S251" s="133"/>
      <c r="T251" s="191"/>
      <c r="U251" s="192"/>
      <c r="V251" s="191"/>
      <c r="W251" s="192"/>
      <c r="X251" s="334"/>
      <c r="Y251" s="192"/>
      <c r="Z251" s="392">
        <f t="shared" si="11"/>
        <v>0</v>
      </c>
      <c r="AA251" s="393">
        <f t="shared" si="12"/>
        <v>0</v>
      </c>
      <c r="AB251" s="191"/>
      <c r="AC251" s="192"/>
      <c r="AD251" s="191"/>
      <c r="AE251" s="192"/>
      <c r="AF251" s="192"/>
      <c r="AG251" s="192"/>
      <c r="AH251" s="396">
        <f t="shared" si="13"/>
        <v>0</v>
      </c>
      <c r="AI251" s="64" t="str">
        <f>IF('Sch2a-Imp Price by ECM'!C252="Yes", 0, 'Sch2a-Imp Price by ECM'!L252)</f>
        <v/>
      </c>
      <c r="AJ251" s="225" t="str">
        <f>IF('Sch2a-Imp Price by ECM'!C252="Yes",0, IF(AI251="","",AI251/AH251))</f>
        <v/>
      </c>
      <c r="AK251" s="1" t="str">
        <f>IF('Sch2a-Imp Price by ECM'!M252="","",'Sch2a-Imp Price by ECM'!M252)</f>
        <v/>
      </c>
    </row>
    <row r="252" spans="1:37" ht="16.5" thickBot="1">
      <c r="A252" s="40" t="str">
        <f>IF('Sch2a-Imp Price by ECM'!B253="","",'Sch2a-Imp Price by ECM'!B253)</f>
        <v/>
      </c>
      <c r="B252" s="76" t="str">
        <f>IF('Sch2a-Imp Price by ECM'!D253="","",'Sch2a-Imp Price by ECM'!D253)</f>
        <v/>
      </c>
      <c r="C252" s="197" t="str">
        <f>IF('Sch2a-Imp Price by ECM'!G253="","",'Sch2a-Imp Price by ECM'!G253)</f>
        <v/>
      </c>
      <c r="D252" s="132"/>
      <c r="E252" s="190"/>
      <c r="F252" s="190"/>
      <c r="G252" s="190"/>
      <c r="H252" s="190"/>
      <c r="I252" s="134"/>
      <c r="J252" s="190"/>
      <c r="K252" s="190"/>
      <c r="L252" s="133"/>
      <c r="M252" s="133"/>
      <c r="N252" s="133"/>
      <c r="O252" s="127"/>
      <c r="P252" s="190"/>
      <c r="Q252" s="133"/>
      <c r="R252" s="191"/>
      <c r="S252" s="133"/>
      <c r="T252" s="191"/>
      <c r="U252" s="192"/>
      <c r="V252" s="191"/>
      <c r="W252" s="192"/>
      <c r="X252" s="334"/>
      <c r="Y252" s="192"/>
      <c r="Z252" s="392">
        <f t="shared" si="11"/>
        <v>0</v>
      </c>
      <c r="AA252" s="393">
        <f t="shared" si="12"/>
        <v>0</v>
      </c>
      <c r="AB252" s="191"/>
      <c r="AC252" s="192"/>
      <c r="AD252" s="191"/>
      <c r="AE252" s="192"/>
      <c r="AF252" s="192"/>
      <c r="AG252" s="192"/>
      <c r="AH252" s="396">
        <f t="shared" si="13"/>
        <v>0</v>
      </c>
      <c r="AI252" s="64" t="str">
        <f>IF('Sch2a-Imp Price by ECM'!C253="Yes", 0, 'Sch2a-Imp Price by ECM'!L253)</f>
        <v/>
      </c>
      <c r="AJ252" s="225" t="str">
        <f>IF('Sch2a-Imp Price by ECM'!C253="Yes",0, IF(AI252="","",AI252/AH252))</f>
        <v/>
      </c>
      <c r="AK252" s="1" t="str">
        <f>IF('Sch2a-Imp Price by ECM'!M253="","",'Sch2a-Imp Price by ECM'!M253)</f>
        <v/>
      </c>
    </row>
    <row r="253" spans="1:37" ht="16.5" thickBot="1">
      <c r="A253" s="40" t="str">
        <f>IF('Sch2a-Imp Price by ECM'!B254="","",'Sch2a-Imp Price by ECM'!B254)</f>
        <v/>
      </c>
      <c r="B253" s="76" t="str">
        <f>IF('Sch2a-Imp Price by ECM'!D254="","",'Sch2a-Imp Price by ECM'!D254)</f>
        <v/>
      </c>
      <c r="C253" s="197" t="str">
        <f>IF('Sch2a-Imp Price by ECM'!G254="","",'Sch2a-Imp Price by ECM'!G254)</f>
        <v/>
      </c>
      <c r="D253" s="132"/>
      <c r="E253" s="190"/>
      <c r="F253" s="190"/>
      <c r="G253" s="190"/>
      <c r="H253" s="190"/>
      <c r="I253" s="134"/>
      <c r="J253" s="190"/>
      <c r="K253" s="190"/>
      <c r="L253" s="133"/>
      <c r="M253" s="133"/>
      <c r="N253" s="133"/>
      <c r="O253" s="127"/>
      <c r="P253" s="190"/>
      <c r="Q253" s="133"/>
      <c r="R253" s="191"/>
      <c r="S253" s="133"/>
      <c r="T253" s="191"/>
      <c r="U253" s="192"/>
      <c r="V253" s="191"/>
      <c r="W253" s="192"/>
      <c r="X253" s="334"/>
      <c r="Y253" s="192"/>
      <c r="Z253" s="392">
        <f t="shared" si="11"/>
        <v>0</v>
      </c>
      <c r="AA253" s="393">
        <f t="shared" si="12"/>
        <v>0</v>
      </c>
      <c r="AB253" s="191"/>
      <c r="AC253" s="192"/>
      <c r="AD253" s="191"/>
      <c r="AE253" s="192"/>
      <c r="AF253" s="192"/>
      <c r="AG253" s="192"/>
      <c r="AH253" s="396">
        <f t="shared" si="13"/>
        <v>0</v>
      </c>
      <c r="AI253" s="64" t="str">
        <f>IF('Sch2a-Imp Price by ECM'!C254="Yes", 0, 'Sch2a-Imp Price by ECM'!L254)</f>
        <v/>
      </c>
      <c r="AJ253" s="225" t="str">
        <f>IF('Sch2a-Imp Price by ECM'!C254="Yes",0, IF(AI253="","",AI253/AH253))</f>
        <v/>
      </c>
      <c r="AK253" s="1" t="str">
        <f>IF('Sch2a-Imp Price by ECM'!M254="","",'Sch2a-Imp Price by ECM'!M254)</f>
        <v/>
      </c>
    </row>
    <row r="254" spans="1:37" ht="16.5" thickBot="1">
      <c r="A254" s="40" t="str">
        <f>IF('Sch2a-Imp Price by ECM'!B255="","",'Sch2a-Imp Price by ECM'!B255)</f>
        <v/>
      </c>
      <c r="B254" s="76" t="str">
        <f>IF('Sch2a-Imp Price by ECM'!D255="","",'Sch2a-Imp Price by ECM'!D255)</f>
        <v/>
      </c>
      <c r="C254" s="197" t="str">
        <f>IF('Sch2a-Imp Price by ECM'!G255="","",'Sch2a-Imp Price by ECM'!G255)</f>
        <v/>
      </c>
      <c r="D254" s="132"/>
      <c r="E254" s="190"/>
      <c r="F254" s="190"/>
      <c r="G254" s="190"/>
      <c r="H254" s="190"/>
      <c r="I254" s="134"/>
      <c r="J254" s="190"/>
      <c r="K254" s="190"/>
      <c r="L254" s="133"/>
      <c r="M254" s="133"/>
      <c r="N254" s="133"/>
      <c r="O254" s="127"/>
      <c r="P254" s="190"/>
      <c r="Q254" s="133"/>
      <c r="R254" s="191"/>
      <c r="S254" s="133"/>
      <c r="T254" s="191"/>
      <c r="U254" s="192"/>
      <c r="V254" s="191"/>
      <c r="W254" s="192"/>
      <c r="X254" s="334"/>
      <c r="Y254" s="192"/>
      <c r="Z254" s="392">
        <f t="shared" si="11"/>
        <v>0</v>
      </c>
      <c r="AA254" s="393">
        <f t="shared" si="12"/>
        <v>0</v>
      </c>
      <c r="AB254" s="191"/>
      <c r="AC254" s="192"/>
      <c r="AD254" s="191"/>
      <c r="AE254" s="192"/>
      <c r="AF254" s="192"/>
      <c r="AG254" s="192"/>
      <c r="AH254" s="396">
        <f t="shared" si="13"/>
        <v>0</v>
      </c>
      <c r="AI254" s="64" t="str">
        <f>IF('Sch2a-Imp Price by ECM'!C255="Yes", 0, 'Sch2a-Imp Price by ECM'!L255)</f>
        <v/>
      </c>
      <c r="AJ254" s="225" t="str">
        <f>IF('Sch2a-Imp Price by ECM'!C255="Yes",0, IF(AI254="","",AI254/AH254))</f>
        <v/>
      </c>
      <c r="AK254" s="1" t="str">
        <f>IF('Sch2a-Imp Price by ECM'!M255="","",'Sch2a-Imp Price by ECM'!M255)</f>
        <v/>
      </c>
    </row>
    <row r="255" spans="1:37" ht="16.5" thickBot="1">
      <c r="A255" s="40" t="str">
        <f>IF('Sch2a-Imp Price by ECM'!B256="","",'Sch2a-Imp Price by ECM'!B256)</f>
        <v/>
      </c>
      <c r="B255" s="76" t="str">
        <f>IF('Sch2a-Imp Price by ECM'!D256="","",'Sch2a-Imp Price by ECM'!D256)</f>
        <v/>
      </c>
      <c r="C255" s="197" t="str">
        <f>IF('Sch2a-Imp Price by ECM'!G256="","",'Sch2a-Imp Price by ECM'!G256)</f>
        <v/>
      </c>
      <c r="D255" s="132"/>
      <c r="E255" s="190"/>
      <c r="F255" s="190"/>
      <c r="G255" s="190"/>
      <c r="H255" s="190"/>
      <c r="I255" s="134"/>
      <c r="J255" s="190"/>
      <c r="K255" s="190"/>
      <c r="L255" s="133"/>
      <c r="M255" s="133"/>
      <c r="N255" s="133"/>
      <c r="O255" s="127"/>
      <c r="P255" s="190"/>
      <c r="Q255" s="133"/>
      <c r="R255" s="191"/>
      <c r="S255" s="133"/>
      <c r="T255" s="191"/>
      <c r="U255" s="192"/>
      <c r="V255" s="191"/>
      <c r="W255" s="192"/>
      <c r="X255" s="334"/>
      <c r="Y255" s="192"/>
      <c r="Z255" s="392">
        <f t="shared" si="11"/>
        <v>0</v>
      </c>
      <c r="AA255" s="393">
        <f t="shared" si="12"/>
        <v>0</v>
      </c>
      <c r="AB255" s="191"/>
      <c r="AC255" s="192"/>
      <c r="AD255" s="191"/>
      <c r="AE255" s="192"/>
      <c r="AF255" s="192"/>
      <c r="AG255" s="192"/>
      <c r="AH255" s="396">
        <f t="shared" si="13"/>
        <v>0</v>
      </c>
      <c r="AI255" s="64" t="str">
        <f>IF('Sch2a-Imp Price by ECM'!C256="Yes", 0, 'Sch2a-Imp Price by ECM'!L256)</f>
        <v/>
      </c>
      <c r="AJ255" s="225" t="str">
        <f>IF('Sch2a-Imp Price by ECM'!C256="Yes",0, IF(AI255="","",AI255/AH255))</f>
        <v/>
      </c>
      <c r="AK255" s="1" t="str">
        <f>IF('Sch2a-Imp Price by ECM'!M256="","",'Sch2a-Imp Price by ECM'!M256)</f>
        <v/>
      </c>
    </row>
    <row r="256" spans="1:37" ht="16.5" thickBot="1">
      <c r="A256" s="40" t="str">
        <f>IF('Sch2a-Imp Price by ECM'!B257="","",'Sch2a-Imp Price by ECM'!B257)</f>
        <v/>
      </c>
      <c r="B256" s="76" t="str">
        <f>IF('Sch2a-Imp Price by ECM'!D257="","",'Sch2a-Imp Price by ECM'!D257)</f>
        <v/>
      </c>
      <c r="C256" s="197" t="str">
        <f>IF('Sch2a-Imp Price by ECM'!G257="","",'Sch2a-Imp Price by ECM'!G257)</f>
        <v/>
      </c>
      <c r="D256" s="132"/>
      <c r="E256" s="190"/>
      <c r="F256" s="190"/>
      <c r="G256" s="190"/>
      <c r="H256" s="190"/>
      <c r="I256" s="134"/>
      <c r="J256" s="190"/>
      <c r="K256" s="190"/>
      <c r="L256" s="133"/>
      <c r="M256" s="133"/>
      <c r="N256" s="133"/>
      <c r="O256" s="127"/>
      <c r="P256" s="190"/>
      <c r="Q256" s="133"/>
      <c r="R256" s="191"/>
      <c r="S256" s="133"/>
      <c r="T256" s="191"/>
      <c r="U256" s="192"/>
      <c r="V256" s="191"/>
      <c r="W256" s="192"/>
      <c r="X256" s="334"/>
      <c r="Y256" s="192"/>
      <c r="Z256" s="392">
        <f t="shared" si="11"/>
        <v>0</v>
      </c>
      <c r="AA256" s="393">
        <f t="shared" si="12"/>
        <v>0</v>
      </c>
      <c r="AB256" s="191"/>
      <c r="AC256" s="192"/>
      <c r="AD256" s="191"/>
      <c r="AE256" s="192"/>
      <c r="AF256" s="192"/>
      <c r="AG256" s="192"/>
      <c r="AH256" s="396">
        <f t="shared" si="13"/>
        <v>0</v>
      </c>
      <c r="AI256" s="64" t="str">
        <f>IF('Sch2a-Imp Price by ECM'!C257="Yes", 0, 'Sch2a-Imp Price by ECM'!L257)</f>
        <v/>
      </c>
      <c r="AJ256" s="225" t="str">
        <f>IF('Sch2a-Imp Price by ECM'!C257="Yes",0, IF(AI256="","",AI256/AH256))</f>
        <v/>
      </c>
      <c r="AK256" s="1" t="str">
        <f>IF('Sch2a-Imp Price by ECM'!M257="","",'Sch2a-Imp Price by ECM'!M257)</f>
        <v/>
      </c>
    </row>
    <row r="257" spans="1:37" ht="16.5" thickBot="1">
      <c r="A257" s="40" t="str">
        <f>IF('Sch2a-Imp Price by ECM'!B258="","",'Sch2a-Imp Price by ECM'!B258)</f>
        <v/>
      </c>
      <c r="B257" s="76" t="str">
        <f>IF('Sch2a-Imp Price by ECM'!D258="","",'Sch2a-Imp Price by ECM'!D258)</f>
        <v/>
      </c>
      <c r="C257" s="197" t="str">
        <f>IF('Sch2a-Imp Price by ECM'!G258="","",'Sch2a-Imp Price by ECM'!G258)</f>
        <v/>
      </c>
      <c r="D257" s="132"/>
      <c r="E257" s="190"/>
      <c r="F257" s="190"/>
      <c r="G257" s="190"/>
      <c r="H257" s="190"/>
      <c r="I257" s="134"/>
      <c r="J257" s="190"/>
      <c r="K257" s="190"/>
      <c r="L257" s="133"/>
      <c r="M257" s="133"/>
      <c r="N257" s="133"/>
      <c r="O257" s="127"/>
      <c r="P257" s="190"/>
      <c r="Q257" s="133"/>
      <c r="R257" s="191"/>
      <c r="S257" s="133"/>
      <c r="T257" s="191"/>
      <c r="U257" s="192"/>
      <c r="V257" s="191"/>
      <c r="W257" s="192"/>
      <c r="X257" s="334"/>
      <c r="Y257" s="192"/>
      <c r="Z257" s="392">
        <f t="shared" si="11"/>
        <v>0</v>
      </c>
      <c r="AA257" s="393">
        <f t="shared" si="12"/>
        <v>0</v>
      </c>
      <c r="AB257" s="191"/>
      <c r="AC257" s="192"/>
      <c r="AD257" s="191"/>
      <c r="AE257" s="192"/>
      <c r="AF257" s="192"/>
      <c r="AG257" s="192"/>
      <c r="AH257" s="396">
        <f t="shared" si="13"/>
        <v>0</v>
      </c>
      <c r="AI257" s="64" t="str">
        <f>IF('Sch2a-Imp Price by ECM'!C258="Yes", 0, 'Sch2a-Imp Price by ECM'!L258)</f>
        <v/>
      </c>
      <c r="AJ257" s="225" t="str">
        <f>IF('Sch2a-Imp Price by ECM'!C258="Yes",0, IF(AI257="","",AI257/AH257))</f>
        <v/>
      </c>
      <c r="AK257" s="1" t="str">
        <f>IF('Sch2a-Imp Price by ECM'!M258="","",'Sch2a-Imp Price by ECM'!M258)</f>
        <v/>
      </c>
    </row>
    <row r="258" spans="1:37" ht="16.5" thickBot="1">
      <c r="A258" s="598" t="s">
        <v>54</v>
      </c>
      <c r="B258" s="599"/>
      <c r="C258" s="599"/>
      <c r="D258" s="600"/>
      <c r="E258" s="364">
        <f>IF('Summary Schedule'!$C$4="ESA", (SUMIFS(E8:E257, 'Sch2a-Imp Price by ECM'!$C$9:$C$258,"&lt;&gt;Yes",'Sch2a-Imp Price by ECM'!$A$9:$A$258,"&lt;&gt;")),SUM(E8:E257))</f>
        <v>0</v>
      </c>
      <c r="F258" s="364">
        <f>IF('Summary Schedule'!$C$4="ESA", (SUMIFS(F8:F257, 'Sch2a-Imp Price by ECM'!$C$9:$C$258,"&lt;&gt;Yes",'Sch2a-Imp Price by ECM'!$A$9:$A$258,"&lt;&gt;")),SUM(F8:F257))</f>
        <v>0</v>
      </c>
      <c r="G258" s="364">
        <f>IF('Summary Schedule'!$C$4="ESA", (SUMIFS(G8:G257, 'Sch2a-Imp Price by ECM'!$C$9:$C$258,"&lt;&gt;Yes",'Sch2a-Imp Price by ECM'!$A$9:$A$258,"&lt;&gt;")),SUM(G8:G257))</f>
        <v>0</v>
      </c>
      <c r="H258" s="364">
        <f>IF('Summary Schedule'!$C$4="ESA", (SUMIFS(H8:H257, 'Sch2a-Imp Price by ECM'!$C$9:$C$258,"&lt;&gt;Yes",'Sch2a-Imp Price by ECM'!$A$9:$A$258,"&lt;&gt;")),SUM(H8:H257))</f>
        <v>0</v>
      </c>
      <c r="I258" s="364">
        <f>IF('Summary Schedule'!$C$4="ESA", (SUMIFS(I8:I257, 'Sch2a-Imp Price by ECM'!$C$9:$C$258,"&lt;&gt;Yes",'Sch2a-Imp Price by ECM'!$A$9:$A$258,"&lt;&gt;")),SUM(I8:I257))</f>
        <v>0</v>
      </c>
      <c r="J258" s="364">
        <f>IF('Summary Schedule'!$C$4="ESA", (SUMIFS(J8:J257, 'Sch2a-Imp Price by ECM'!$C$9:$C$258,"&lt;&gt;Yes",'Sch2a-Imp Price by ECM'!$A$9:$A$258,"&lt;&gt;")),SUM(J8:J257))</f>
        <v>0</v>
      </c>
      <c r="K258" s="364">
        <f>IF('Summary Schedule'!$C$4="ESA", (SUMIFS(K8:K257, 'Sch2a-Imp Price by ECM'!$C$9:$C$258,"&lt;&gt;Yes",'Sch2a-Imp Price by ECM'!$A$9:$A$258,"&lt;&gt;")),SUM(K8:K257))</f>
        <v>0</v>
      </c>
      <c r="L258" s="365">
        <f>IF('Summary Schedule'!$C$4="ESA", (SUMIFS(L8:L257, 'Sch2a-Imp Price by ECM'!$C$9:$C$258,"&lt;&gt;Yes",'Sch2a-Imp Price by ECM'!$A$9:$A$258,"&lt;&gt;")),SUM(L8:L257))</f>
        <v>0</v>
      </c>
      <c r="M258" s="365">
        <f>IF('Summary Schedule'!$C$4="ESA", (SUMIFS(M8:M257, 'Sch2a-Imp Price by ECM'!$C$9:$C$258,"&lt;&gt;Yes",'Sch2a-Imp Price by ECM'!$A$9:$A$258,"&lt;&gt;")),SUM(M8:M257))</f>
        <v>0</v>
      </c>
      <c r="N258" s="365">
        <f>IF('Summary Schedule'!$C$4="ESA", (SUMIFS(N8:N257, 'Sch2a-Imp Price by ECM'!$C$9:$C$258,"&lt;&gt;Yes",'Sch2a-Imp Price by ECM'!$A$9:$A$258,"&lt;&gt;")),SUM(N8:N257))</f>
        <v>0</v>
      </c>
      <c r="O258" s="14"/>
      <c r="P258" s="364">
        <f>IF('Summary Schedule'!$C$4="ESA", (SUMIFS(P8:P257, 'Sch2a-Imp Price by ECM'!$C$9:$C$258,"&lt;&gt;Yes",'Sch2a-Imp Price by ECM'!$A$9:$A$258,"&lt;&gt;")),SUM(P8:P257))</f>
        <v>0</v>
      </c>
      <c r="Q258" s="365">
        <f>IF('Summary Schedule'!$C$4="ESA", (SUMIFS(Q8:Q257, 'Sch2a-Imp Price by ECM'!$C$9:$C$258,"&lt;&gt;Yes",'Sch2a-Imp Price by ECM'!$A$9:$A$258,"&lt;&gt;")),SUM(Q8:Q257))</f>
        <v>0</v>
      </c>
      <c r="R258" s="364">
        <f>IF('Summary Schedule'!$C$4="ESA", (SUMIFS(R8:R257, 'Sch2a-Imp Price by ECM'!$C$9:$C$258,"&lt;&gt;Yes",'Sch2a-Imp Price by ECM'!$A$9:$A$258,"&lt;&gt;")),SUM(R8:R257))</f>
        <v>0</v>
      </c>
      <c r="S258" s="365">
        <f>IF('Summary Schedule'!$C$4="ESA", (SUMIFS(S8:S257, 'Sch2a-Imp Price by ECM'!$C$9:$C$258,"&lt;&gt;Yes",'Sch2a-Imp Price by ECM'!$A$9:$A$258,"&lt;&gt;")),SUM(S8:S257))</f>
        <v>0</v>
      </c>
      <c r="T258" s="364">
        <f>IF('Summary Schedule'!$C$4="ESA", (SUMIFS(T8:T257, 'Sch2a-Imp Price by ECM'!$C$9:$C$258,"&lt;&gt;Yes",'Sch2a-Imp Price by ECM'!$A$9:$A$258,"&lt;&gt;")),SUM(T8:T257))</f>
        <v>0</v>
      </c>
      <c r="U258" s="365">
        <f>IF('Summary Schedule'!$C$4="ESA", (SUMIFS(U8:U257, 'Sch2a-Imp Price by ECM'!$C$9:$C$258,"&lt;&gt;Yes",'Sch2a-Imp Price by ECM'!$A$9:$A$258,"&lt;&gt;")),SUM(U8:U257))</f>
        <v>0</v>
      </c>
      <c r="V258" s="364">
        <f>IF('Summary Schedule'!$C$4="ESA", (SUMIFS(V8:V257, 'Sch2a-Imp Price by ECM'!$C$9:$C$258,"&lt;&gt;Yes",'Sch2a-Imp Price by ECM'!$A$9:$A$258,"&lt;&gt;")),SUM(V8:V257))</f>
        <v>0</v>
      </c>
      <c r="W258" s="365">
        <f>IF('Summary Schedule'!$C$4="ESA", (SUMIFS(W8:W257, 'Sch2a-Imp Price by ECM'!$C$9:$C$258,"&lt;&gt;Yes",'Sch2a-Imp Price by ECM'!$A$9:$A$258,"&lt;&gt;")),SUM(W8:W257))</f>
        <v>0</v>
      </c>
      <c r="X258" s="364">
        <f>IF('Summary Schedule'!$C$4="ESA", (SUMIFS(X8:X257, 'Sch2a-Imp Price by ECM'!$C$9:$C$258,"&lt;&gt;Yes",'Sch2a-Imp Price by ECM'!$A$9:$A$258,"&lt;&gt;")),SUM(X8:X257))</f>
        <v>0</v>
      </c>
      <c r="Y258" s="365">
        <f>IF('Summary Schedule'!$C$4="ESA", (SUMIFS(Y8:Y257, 'Sch2a-Imp Price by ECM'!$C$9:$C$258,"&lt;&gt;Yes",'Sch2a-Imp Price by ECM'!$A$9:$A$258,"&lt;&gt;")),SUM(Y8:Y257))</f>
        <v>0</v>
      </c>
      <c r="Z258" s="394">
        <f>IF(SUM(Z8:Z257) = 0,
    SUM(P258 * 3412 / 10^6, T258, V258, X258),
    IF('Summary Schedule'!$C$4 = "ESA",
        SUMIFS(Z8:Z257, 'Sch2a-Imp Price by ECM'!$C$9:$C$258, "&lt;&gt;Yes", 'Sch2a-Imp Price by ECM'!$A$9:$A$258, "&lt;&gt;"),
        SUM(Z8:Z257)
    )
)</f>
        <v>0</v>
      </c>
      <c r="AA258" s="395">
        <f>IF(SUM(AA8:AA257) = 0,
    SUM(Q258 * 3412 / 10^6, U258, W258, Y258),
    IF('Summary Schedule'!$C$4 = "ESA",
        SUMIFS(AA8:AA257, 'Sch2a-Imp Price by ECM'!$C$9:$C$258, "&lt;&gt;Yes", 'Sch2a-Imp Price by ECM'!$A$9:$A$258, "&lt;&gt;"),
        SUM(AA8:AA257)
    )
)</f>
        <v>0</v>
      </c>
      <c r="AB258" s="364">
        <f>IF('Summary Schedule'!$C$4="ESA", (SUMIFS(AB8:AB257, 'Sch2a-Imp Price by ECM'!$C$9:$C$258,"&lt;&gt;Yes",'Sch2a-Imp Price by ECM'!$A$9:$A$258,"&lt;&gt;")),SUM(AB8:AB257))</f>
        <v>0</v>
      </c>
      <c r="AC258" s="365">
        <f>IF('Summary Schedule'!$C$4="ESA", (SUMIFS(AC8:AC257, 'Sch2a-Imp Price by ECM'!$C$9:$C$258,"&lt;&gt;Yes",'Sch2a-Imp Price by ECM'!$A$9:$A$258,"&lt;&gt;")),SUM(AC8:AC257))</f>
        <v>0</v>
      </c>
      <c r="AD258" s="364">
        <f>IF('Summary Schedule'!$C$4="ESA", (SUMIFS(AD8:AD257, 'Sch2a-Imp Price by ECM'!$C$9:$C$258,"&lt;&gt;Yes",'Sch2a-Imp Price by ECM'!$A$9:$A$258,"&lt;&gt;")),SUM(AD8:AD257))</f>
        <v>0</v>
      </c>
      <c r="AE258" s="365">
        <f>IF('Summary Schedule'!$C$4="ESA", (SUMIFS(AE8:AE257, 'Sch2a-Imp Price by ECM'!$C$9:$C$258,"&lt;&gt;Yes",'Sch2a-Imp Price by ECM'!$A$9:$A$258,"&lt;&gt;")),SUM(AE8:AE257))</f>
        <v>0</v>
      </c>
      <c r="AF258" s="364">
        <f>IF('Summary Schedule'!$C$4="ESA", (SUMIFS(AF8:AF257, 'Sch2a-Imp Price by ECM'!$C$9:$C$258,"&lt;&gt;Yes",'Sch2a-Imp Price by ECM'!$A$9:$A$258,"&lt;&gt;")),SUM(AF8:AF257))</f>
        <v>0</v>
      </c>
      <c r="AG258" s="365">
        <f>IF('Summary Schedule'!$C$4="ESA", (SUMIFS(AG8:AG257, 'Sch2a-Imp Price by ECM'!$C$9:$C$258,"&lt;&gt;Yes",'Sch2a-Imp Price by ECM'!$A$9:$A$258,"&lt;&gt;")),SUM(AG8:AG257))</f>
        <v>0</v>
      </c>
      <c r="AH258" s="395">
        <f>IF(SUM(AH8:AH257) = 0,
    SUM(X258 * 3412 / 10^6, AB258, AD258, AF258),
    IF('Summary Schedule'!$C$4 = "ESA",
        SUMIFS(AH8:AH257, 'Sch2a-Imp Price by ECM'!$C$9:$C$258, "&lt;&gt;Yes", 'Sch2a-Imp Price by ECM'!$A$9:$A$258, "&lt;&gt;"),
        SUM(AH8:AH257)
    )
)</f>
        <v>0</v>
      </c>
      <c r="AI258" s="63">
        <f>'Sch2a-Imp Price by ECM'!L259</f>
        <v>0</v>
      </c>
      <c r="AJ258" s="72" t="str">
        <f>IF(AH258=0,"",IF(AI258="","",AI258/AH258))</f>
        <v/>
      </c>
    </row>
    <row r="259" spans="1:37" ht="16.5" thickBot="1">
      <c r="A259" s="41"/>
      <c r="B259" s="42"/>
      <c r="C259" s="42"/>
      <c r="D259" s="42"/>
      <c r="E259" s="43"/>
      <c r="F259" s="43"/>
      <c r="G259" s="44"/>
      <c r="H259" s="45"/>
      <c r="I259" s="45"/>
      <c r="J259" s="46"/>
      <c r="K259" s="46"/>
      <c r="L259" s="46"/>
      <c r="M259" s="43"/>
      <c r="N259" s="44"/>
      <c r="O259" s="47"/>
      <c r="P259" s="43"/>
      <c r="Q259" s="44"/>
      <c r="R259" s="44"/>
      <c r="S259" s="43"/>
      <c r="T259" s="44"/>
      <c r="U259" s="44"/>
      <c r="V259" s="44"/>
      <c r="W259" s="15"/>
      <c r="X259" s="48"/>
      <c r="Y259" s="48"/>
      <c r="Z259" s="48"/>
      <c r="AA259" s="48"/>
      <c r="AB259" s="48"/>
      <c r="AC259" s="48"/>
      <c r="AD259" s="48"/>
      <c r="AE259" s="48"/>
      <c r="AF259" s="48"/>
      <c r="AG259" s="48"/>
      <c r="AH259" s="48"/>
      <c r="AI259" s="48"/>
      <c r="AJ259" s="49"/>
    </row>
    <row r="260" spans="1:37">
      <c r="A260" s="583" t="s">
        <v>15</v>
      </c>
      <c r="B260" s="584"/>
      <c r="C260" s="584"/>
      <c r="D260" s="584"/>
      <c r="E260" s="584"/>
      <c r="F260" s="584"/>
      <c r="G260" s="584"/>
      <c r="H260" s="584"/>
      <c r="I260" s="584"/>
      <c r="J260" s="584"/>
      <c r="K260" s="584"/>
      <c r="L260" s="584"/>
      <c r="M260" s="584"/>
      <c r="N260" s="584"/>
      <c r="O260" s="584"/>
      <c r="P260" s="584"/>
      <c r="Q260" s="584"/>
      <c r="R260" s="584"/>
      <c r="S260" s="584"/>
      <c r="T260" s="584"/>
      <c r="U260" s="584"/>
      <c r="V260" s="584"/>
      <c r="W260" s="584"/>
      <c r="X260" s="584"/>
      <c r="Y260" s="584"/>
      <c r="Z260" s="584"/>
      <c r="AA260" s="584"/>
      <c r="AB260" s="584"/>
      <c r="AC260" s="584"/>
      <c r="AD260" s="584"/>
      <c r="AE260" s="584"/>
      <c r="AF260" s="584"/>
      <c r="AG260" s="584"/>
      <c r="AH260" s="584"/>
      <c r="AI260" s="584"/>
      <c r="AJ260" s="585"/>
    </row>
    <row r="261" spans="1:37">
      <c r="A261" s="580" t="s">
        <v>535</v>
      </c>
      <c r="B261" s="581"/>
      <c r="C261" s="581"/>
      <c r="D261" s="581"/>
      <c r="E261" s="581"/>
      <c r="F261" s="581"/>
      <c r="G261" s="581"/>
      <c r="H261" s="581"/>
      <c r="I261" s="581"/>
      <c r="J261" s="581"/>
      <c r="K261" s="581"/>
      <c r="L261" s="581"/>
      <c r="M261" s="581"/>
      <c r="N261" s="581"/>
      <c r="O261" s="581"/>
      <c r="P261" s="581"/>
      <c r="Q261" s="581"/>
      <c r="R261" s="581"/>
      <c r="S261" s="581"/>
      <c r="T261" s="581"/>
      <c r="U261" s="581"/>
      <c r="V261" s="581"/>
      <c r="W261" s="581"/>
      <c r="X261" s="581"/>
      <c r="Y261" s="581"/>
      <c r="Z261" s="581"/>
      <c r="AA261" s="581"/>
      <c r="AB261" s="581"/>
      <c r="AC261" s="581"/>
      <c r="AD261" s="581"/>
      <c r="AE261" s="581"/>
      <c r="AF261" s="581"/>
      <c r="AG261" s="581"/>
      <c r="AH261" s="581"/>
      <c r="AI261" s="581"/>
      <c r="AJ261" s="582"/>
    </row>
    <row r="262" spans="1:37" ht="17" customHeight="1">
      <c r="A262" s="580" t="s">
        <v>282</v>
      </c>
      <c r="B262" s="581"/>
      <c r="C262" s="581"/>
      <c r="D262" s="581"/>
      <c r="E262" s="581"/>
      <c r="F262" s="581"/>
      <c r="G262" s="581"/>
      <c r="H262" s="581"/>
      <c r="I262" s="581"/>
      <c r="J262" s="581"/>
      <c r="K262" s="581"/>
      <c r="L262" s="581"/>
      <c r="M262" s="581"/>
      <c r="N262" s="581"/>
      <c r="O262" s="581"/>
      <c r="P262" s="581"/>
      <c r="Q262" s="581"/>
      <c r="R262" s="581"/>
      <c r="S262" s="581"/>
      <c r="T262" s="581"/>
      <c r="U262" s="581"/>
      <c r="V262" s="581"/>
      <c r="W262" s="581"/>
      <c r="X262" s="581"/>
      <c r="Y262" s="581"/>
      <c r="Z262" s="581"/>
      <c r="AA262" s="581"/>
      <c r="AB262" s="581"/>
      <c r="AC262" s="581"/>
      <c r="AD262" s="581"/>
      <c r="AE262" s="581"/>
      <c r="AF262" s="581"/>
      <c r="AG262" s="581"/>
      <c r="AH262" s="581"/>
      <c r="AI262" s="581"/>
      <c r="AJ262" s="582"/>
    </row>
    <row r="263" spans="1:37" ht="17" customHeight="1">
      <c r="A263" s="580" t="s">
        <v>227</v>
      </c>
      <c r="B263" s="581"/>
      <c r="C263" s="581"/>
      <c r="D263" s="581"/>
      <c r="E263" s="581"/>
      <c r="F263" s="581"/>
      <c r="G263" s="581"/>
      <c r="H263" s="581"/>
      <c r="I263" s="581"/>
      <c r="J263" s="581"/>
      <c r="K263" s="581"/>
      <c r="L263" s="581"/>
      <c r="M263" s="581"/>
      <c r="N263" s="581"/>
      <c r="O263" s="581"/>
      <c r="P263" s="581"/>
      <c r="Q263" s="581"/>
      <c r="R263" s="581"/>
      <c r="S263" s="581"/>
      <c r="T263" s="581"/>
      <c r="U263" s="581"/>
      <c r="V263" s="581"/>
      <c r="W263" s="581"/>
      <c r="X263" s="581"/>
      <c r="Y263" s="581"/>
      <c r="Z263" s="581"/>
      <c r="AA263" s="581"/>
      <c r="AB263" s="581"/>
      <c r="AC263" s="581"/>
      <c r="AD263" s="581"/>
      <c r="AE263" s="581"/>
      <c r="AF263" s="581"/>
      <c r="AG263" s="581"/>
      <c r="AH263" s="581"/>
      <c r="AI263" s="581"/>
      <c r="AJ263" s="582"/>
    </row>
    <row r="264" spans="1:37">
      <c r="A264" s="595" t="s">
        <v>283</v>
      </c>
      <c r="B264" s="596"/>
      <c r="C264" s="596"/>
      <c r="D264" s="596"/>
      <c r="E264" s="596"/>
      <c r="F264" s="596"/>
      <c r="G264" s="596"/>
      <c r="H264" s="596"/>
      <c r="I264" s="596"/>
      <c r="J264" s="596"/>
      <c r="K264" s="596"/>
      <c r="L264" s="596"/>
      <c r="M264" s="596"/>
      <c r="N264" s="596"/>
      <c r="O264" s="596"/>
      <c r="P264" s="596"/>
      <c r="Q264" s="596"/>
      <c r="R264" s="596"/>
      <c r="S264" s="596"/>
      <c r="T264" s="596"/>
      <c r="U264" s="596"/>
      <c r="V264" s="596"/>
      <c r="W264" s="596"/>
      <c r="X264" s="596"/>
      <c r="Y264" s="596"/>
      <c r="Z264" s="596"/>
      <c r="AA264" s="596"/>
      <c r="AB264" s="596"/>
      <c r="AC264" s="596"/>
      <c r="AD264" s="596"/>
      <c r="AE264" s="596"/>
      <c r="AF264" s="596"/>
      <c r="AG264" s="596"/>
      <c r="AH264" s="596"/>
      <c r="AI264" s="596"/>
      <c r="AJ264" s="597"/>
    </row>
    <row r="265" spans="1:37" ht="16.5" thickBot="1">
      <c r="A265" s="601" t="str">
        <f>IF('Summary Schedule'!C4="UESC", "(5) Post-acceptance services as included in contract, e.g., utility to provide one-year wrap-around warranty and/or extended warranty. Utility or agency to perform O&amp;M and RCx as specified in the performance assurance plan included in contract.", "")</f>
        <v/>
      </c>
      <c r="B265" s="602"/>
      <c r="C265" s="602"/>
      <c r="D265" s="602"/>
      <c r="E265" s="602"/>
      <c r="F265" s="602"/>
      <c r="G265" s="602"/>
      <c r="H265" s="602"/>
      <c r="I265" s="602"/>
      <c r="J265" s="602"/>
      <c r="K265" s="602"/>
      <c r="L265" s="602"/>
      <c r="M265" s="602"/>
      <c r="N265" s="602"/>
      <c r="O265" s="602"/>
      <c r="P265" s="602"/>
      <c r="Q265" s="602"/>
      <c r="R265" s="602"/>
      <c r="S265" s="602"/>
      <c r="T265" s="602"/>
      <c r="U265" s="602"/>
      <c r="V265" s="602"/>
      <c r="W265" s="602"/>
      <c r="X265" s="602"/>
      <c r="Y265" s="602"/>
      <c r="Z265" s="602"/>
      <c r="AA265" s="602"/>
      <c r="AB265" s="602"/>
      <c r="AC265" s="602"/>
      <c r="AD265" s="602"/>
      <c r="AE265" s="602"/>
      <c r="AF265" s="602"/>
      <c r="AG265" s="602"/>
      <c r="AH265" s="602"/>
      <c r="AI265" s="602"/>
      <c r="AJ265" s="603"/>
    </row>
    <row r="266" spans="1:37">
      <c r="A266" s="583" t="s">
        <v>113</v>
      </c>
      <c r="B266" s="584"/>
      <c r="C266" s="584"/>
      <c r="D266" s="584"/>
      <c r="E266" s="584"/>
      <c r="F266" s="584"/>
      <c r="G266" s="584"/>
      <c r="H266" s="584"/>
      <c r="I266" s="584"/>
      <c r="J266" s="584"/>
      <c r="K266" s="584"/>
      <c r="L266" s="584"/>
      <c r="M266" s="584"/>
      <c r="N266" s="584"/>
      <c r="O266" s="584"/>
      <c r="P266" s="584"/>
      <c r="Q266" s="584"/>
      <c r="R266" s="584"/>
      <c r="S266" s="584"/>
      <c r="T266" s="584"/>
      <c r="U266" s="584"/>
      <c r="V266" s="584"/>
      <c r="W266" s="584"/>
      <c r="X266" s="584"/>
      <c r="Y266" s="584"/>
      <c r="Z266" s="584"/>
      <c r="AA266" s="584"/>
      <c r="AB266" s="584"/>
      <c r="AC266" s="584"/>
      <c r="AD266" s="584"/>
      <c r="AE266" s="584"/>
      <c r="AF266" s="584"/>
      <c r="AG266" s="584"/>
      <c r="AH266" s="584"/>
      <c r="AI266" s="584"/>
      <c r="AJ266" s="585"/>
    </row>
    <row r="267" spans="1:37" ht="105" customHeight="1" thickBot="1">
      <c r="A267" s="592"/>
      <c r="B267" s="593"/>
      <c r="C267" s="593"/>
      <c r="D267" s="593"/>
      <c r="E267" s="593"/>
      <c r="F267" s="593"/>
      <c r="G267" s="593"/>
      <c r="H267" s="593"/>
      <c r="I267" s="593"/>
      <c r="J267" s="593"/>
      <c r="K267" s="593"/>
      <c r="L267" s="593"/>
      <c r="M267" s="593"/>
      <c r="N267" s="593"/>
      <c r="O267" s="593"/>
      <c r="P267" s="593"/>
      <c r="Q267" s="593"/>
      <c r="R267" s="593"/>
      <c r="S267" s="593"/>
      <c r="T267" s="593"/>
      <c r="U267" s="593"/>
      <c r="V267" s="593"/>
      <c r="W267" s="593"/>
      <c r="X267" s="593"/>
      <c r="Y267" s="593"/>
      <c r="Z267" s="593"/>
      <c r="AA267" s="593"/>
      <c r="AB267" s="593"/>
      <c r="AC267" s="593"/>
      <c r="AD267" s="593"/>
      <c r="AE267" s="593"/>
      <c r="AF267" s="593"/>
      <c r="AG267" s="593"/>
      <c r="AH267" s="593"/>
      <c r="AI267" s="593"/>
      <c r="AJ267" s="594"/>
    </row>
    <row r="268" spans="1:37">
      <c r="A268" s="1" t="str">
        <f>'Summary Schedule'!A53</f>
        <v>4.2.9.n</v>
      </c>
    </row>
    <row r="269" spans="1:37">
      <c r="A269" s="1" t="str">
        <f>'Summary Schedule'!A54</f>
        <v>02072025</v>
      </c>
    </row>
  </sheetData>
  <sheetProtection algorithmName="SHA-512" hashValue="41SO7lwxn+SPX9VV76N4hvEYFrdQ15EFlUNsnBN2QYd3BiAydyVVUgfHjqehVnu6GyKKPf6e1SmHhaic9/pCDg==" saltValue="o1gwUDwwNSjrFscLDVWYnA==" spinCount="100000" sheet="1" objects="1" scenarios="1"/>
  <mergeCells count="17">
    <mergeCell ref="A267:AJ267"/>
    <mergeCell ref="A260:AJ260"/>
    <mergeCell ref="A261:AJ261"/>
    <mergeCell ref="A264:AJ264"/>
    <mergeCell ref="A258:D258"/>
    <mergeCell ref="A265:AJ265"/>
    <mergeCell ref="E4:O4"/>
    <mergeCell ref="A262:AJ262"/>
    <mergeCell ref="A263:AJ263"/>
    <mergeCell ref="A266:AJ266"/>
    <mergeCell ref="A1:AJ1"/>
    <mergeCell ref="A2:AJ2"/>
    <mergeCell ref="A5:A6"/>
    <mergeCell ref="B5:B6"/>
    <mergeCell ref="D5:D6"/>
    <mergeCell ref="A4:D4"/>
    <mergeCell ref="C5:C6"/>
  </mergeCells>
  <dataValidations count="4">
    <dataValidation type="list" allowBlank="1" showInputMessage="1" showErrorMessage="1" sqref="O8:O257" xr:uid="{00000000-0002-0000-0A00-000000000000}">
      <formula1>"Capital Costs, Pollution Costs, Other Costs"</formula1>
    </dataValidation>
    <dataValidation type="whole" allowBlank="1" showInputMessage="1" showErrorMessage="1" error="Please enter a valid value" sqref="E8:N257" xr:uid="{00000000-0002-0000-0A00-000001000000}">
      <formula1>0</formula1>
      <formula2>1000000000</formula2>
    </dataValidation>
    <dataValidation type="whole" allowBlank="1" showInputMessage="1" showErrorMessage="1" error="Please enter a valid value" sqref="AB8:AG257" xr:uid="{00000000-0002-0000-0A00-000002000000}">
      <formula1>-100000000000</formula1>
      <formula2>1000000000</formula2>
    </dataValidation>
    <dataValidation type="whole" allowBlank="1" showInputMessage="1" showErrorMessage="1" error="Please enter a valid value" sqref="P8:Y257" xr:uid="{00000000-0002-0000-0A00-000003000000}">
      <formula1>-1000000000</formula1>
      <formula2>1000000000</formula2>
    </dataValidation>
  </dataValidations>
  <pageMargins left="0.75" right="0.75" top="1" bottom="1" header="0.5" footer="0.5"/>
  <pageSetup scale="24" fitToHeight="0" orientation="landscape" horizontalDpi="4294967292" verticalDpi="4294967292"/>
  <drawing r:id="rId1"/>
  <extLst>
    <ext xmlns:x14="http://schemas.microsoft.com/office/spreadsheetml/2009/9/main" uri="{78C0D931-6437-407d-A8EE-F0AAD7539E65}">
      <x14:conditionalFormattings>
        <x14:conditionalFormatting xmlns:xm="http://schemas.microsoft.com/office/excel/2006/main">
          <x14:cfRule type="expression" priority="295" id="{CBCA1193-F611-B94D-9A17-21C06A30B934}">
            <xm:f>'Sch2a-Imp Price by ECM'!$C9:$C1048335="Yes"</xm:f>
            <x14:dxf>
              <font>
                <color theme="1"/>
              </font>
              <fill>
                <patternFill>
                  <bgColor theme="9"/>
                </patternFill>
              </fill>
            </x14:dxf>
          </x14:cfRule>
          <xm:sqref>Z8:AA39 A8:D67 AH8:AH258 Z40:AC67 L68:W257 Y68:AC257 A68:K258 F258:AH258</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00000000-0002-0000-0A00-000004000000}">
          <x14:formula1>
            <xm:f>ECM!$D$2:$D$10</xm:f>
          </x14:formula1>
          <xm:sqref>D8:D257</xm:sqref>
        </x14:dataValidation>
        <x14:dataValidation type="list" allowBlank="1" showInputMessage="1" showErrorMessage="1" xr:uid="{D2490628-2565-6F46-9849-7F7C013C2719}">
          <x14:formula1>
            <xm:f>ECM!$B$3:$B$11</xm:f>
          </x14:formula1>
          <xm:sqref>H5</xm:sqref>
        </x14:dataValidation>
        <x14:dataValidation type="list" allowBlank="1" showInputMessage="1" showErrorMessage="1" xr:uid="{024637CE-6240-1C4D-BD4A-BC01289C59B3}">
          <x14:formula1>
            <xm:f>ECM!$C$3:$C$11</xm:f>
          </x14:formula1>
          <xm:sqref>I5</xm:sqref>
        </x14:dataValidation>
      </x14:dataValidations>
    </ex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A733D-EBF8-894B-B8DA-3B3E1927E033}">
  <sheetPr codeName="Sheet24">
    <pageSetUpPr fitToPage="1"/>
  </sheetPr>
  <dimension ref="A1:T271"/>
  <sheetViews>
    <sheetView zoomScale="90" zoomScaleNormal="90" zoomScalePageLayoutView="75" workbookViewId="0">
      <pane ySplit="9" topLeftCell="A10" activePane="bottomLeft" state="frozenSplit"/>
      <selection activeCell="N8" sqref="N8"/>
      <selection pane="bottomLeft" sqref="A1:O1"/>
    </sheetView>
  </sheetViews>
  <sheetFormatPr defaultColWidth="11" defaultRowHeight="16"/>
  <cols>
    <col min="1" max="1" width="18.1640625" style="1" bestFit="1" customWidth="1"/>
    <col min="2" max="2" width="47.83203125" style="1" customWidth="1"/>
    <col min="3" max="3" width="15.83203125" style="1" customWidth="1"/>
    <col min="4" max="4" width="14" style="1" bestFit="1" customWidth="1"/>
    <col min="5" max="6" width="13.5" style="1" customWidth="1"/>
    <col min="7" max="7" width="14.6640625" style="1" bestFit="1" customWidth="1"/>
    <col min="8" max="8" width="14" style="1" customWidth="1"/>
    <col min="9" max="9" width="15.6640625" style="1" bestFit="1" customWidth="1"/>
    <col min="10" max="10" width="14.6640625" style="1" bestFit="1" customWidth="1"/>
    <col min="11" max="11" width="13" style="1" customWidth="1"/>
    <col min="12" max="12" width="13.33203125" style="1" customWidth="1"/>
    <col min="13" max="13" width="14.6640625" style="1" bestFit="1" customWidth="1"/>
    <col min="14" max="14" width="13" style="1" customWidth="1"/>
    <col min="15" max="15" width="13.1640625" style="1" customWidth="1"/>
    <col min="16" max="16" width="15.6640625" style="1" bestFit="1" customWidth="1"/>
    <col min="17" max="17" width="13" style="1" bestFit="1" customWidth="1"/>
    <col min="18" max="18" width="17.83203125" style="1" bestFit="1" customWidth="1"/>
    <col min="19" max="19" width="16.33203125" style="1" customWidth="1"/>
    <col min="20" max="20" width="13" style="1" bestFit="1" customWidth="1"/>
    <col min="21" max="22" width="11" style="1"/>
    <col min="23" max="23" width="18.1640625" style="1" customWidth="1"/>
    <col min="24" max="16384" width="11" style="1"/>
  </cols>
  <sheetData>
    <row r="1" spans="1:19" ht="20">
      <c r="A1" s="526" t="s">
        <v>328</v>
      </c>
      <c r="B1" s="526"/>
      <c r="C1" s="526"/>
      <c r="D1" s="526"/>
      <c r="E1" s="526"/>
      <c r="F1" s="526"/>
      <c r="G1" s="526"/>
      <c r="H1" s="526"/>
      <c r="I1" s="526"/>
      <c r="J1" s="526"/>
      <c r="K1" s="526"/>
      <c r="L1" s="526"/>
      <c r="M1" s="526"/>
      <c r="N1" s="526"/>
      <c r="O1" s="526"/>
      <c r="P1" s="373"/>
      <c r="Q1" s="373"/>
      <c r="R1" s="373"/>
    </row>
    <row r="2" spans="1:19" ht="20.5" thickBot="1">
      <c r="A2" s="586" t="s">
        <v>537</v>
      </c>
      <c r="B2" s="586"/>
      <c r="C2" s="586"/>
      <c r="D2" s="586"/>
      <c r="E2" s="586"/>
      <c r="F2" s="586"/>
      <c r="G2" s="586"/>
      <c r="H2" s="586"/>
      <c r="I2" s="586"/>
      <c r="J2" s="586"/>
      <c r="K2" s="586"/>
      <c r="L2" s="586"/>
      <c r="M2" s="586"/>
      <c r="N2" s="586"/>
      <c r="O2" s="586"/>
      <c r="P2" s="374"/>
      <c r="Q2" s="374"/>
      <c r="R2" s="374"/>
    </row>
    <row r="3" spans="1:19" ht="16.5" thickBot="1">
      <c r="A3" s="3"/>
      <c r="B3" s="4"/>
      <c r="C3" s="4"/>
      <c r="D3" s="4"/>
      <c r="E3" s="4"/>
      <c r="F3" s="4"/>
      <c r="G3" s="4"/>
      <c r="H3" s="4"/>
      <c r="I3" s="4"/>
      <c r="J3" s="4"/>
      <c r="K3" s="4"/>
      <c r="L3" s="4"/>
      <c r="M3" s="5"/>
      <c r="N3" s="5"/>
      <c r="O3" s="5"/>
      <c r="P3" s="5"/>
      <c r="Q3" s="5"/>
      <c r="R3" s="5"/>
    </row>
    <row r="4" spans="1:19" ht="16.5" thickBot="1">
      <c r="A4" s="591" t="s">
        <v>16</v>
      </c>
      <c r="B4" s="433"/>
      <c r="C4" s="433"/>
      <c r="D4" s="7" t="s">
        <v>35</v>
      </c>
      <c r="E4" s="8"/>
      <c r="F4" s="8"/>
      <c r="G4" s="8" t="s">
        <v>29</v>
      </c>
      <c r="H4" s="8"/>
      <c r="I4" s="8"/>
      <c r="J4" s="8" t="s">
        <v>42</v>
      </c>
      <c r="K4" s="8"/>
      <c r="L4" s="8"/>
      <c r="M4" s="8" t="s">
        <v>44</v>
      </c>
      <c r="N4" s="8"/>
      <c r="O4" s="8"/>
      <c r="P4" s="8"/>
      <c r="Q4" s="8"/>
      <c r="R4" s="8"/>
    </row>
    <row r="5" spans="1:19" ht="73.5" customHeight="1">
      <c r="A5" s="587" t="s">
        <v>20</v>
      </c>
      <c r="B5" s="589" t="s">
        <v>36</v>
      </c>
      <c r="C5" s="587" t="s">
        <v>538</v>
      </c>
      <c r="D5" s="26" t="s">
        <v>514</v>
      </c>
      <c r="E5" s="329" t="s">
        <v>329</v>
      </c>
      <c r="F5" s="26" t="s">
        <v>330</v>
      </c>
      <c r="G5" s="26" t="s">
        <v>512</v>
      </c>
      <c r="H5" s="330" t="s">
        <v>331</v>
      </c>
      <c r="I5" s="26" t="s">
        <v>513</v>
      </c>
      <c r="J5" s="329" t="str">
        <f>'Sch4-Cost Savings by ECM'!V5</f>
        <v>Other Savings Type 1: Other</v>
      </c>
      <c r="K5" s="329" t="s">
        <v>331</v>
      </c>
      <c r="L5" s="329" t="str">
        <f>J5</f>
        <v>Other Savings Type 1: Other</v>
      </c>
      <c r="M5" s="363" t="str">
        <f>'Sch4-Cost Savings by ECM'!X5</f>
        <v>Other Savings Type 2: Other</v>
      </c>
      <c r="N5" s="329" t="s">
        <v>331</v>
      </c>
      <c r="O5" s="329" t="str">
        <f>M5</f>
        <v>Other Savings Type 2: Other</v>
      </c>
      <c r="P5" s="26" t="s">
        <v>502</v>
      </c>
      <c r="Q5" s="26" t="s">
        <v>503</v>
      </c>
      <c r="R5" s="26" t="s">
        <v>504</v>
      </c>
    </row>
    <row r="6" spans="1:19" ht="27" customHeight="1" thickBot="1">
      <c r="A6" s="588"/>
      <c r="B6" s="590"/>
      <c r="C6" s="613"/>
      <c r="D6" s="26" t="s">
        <v>17</v>
      </c>
      <c r="E6" s="26"/>
      <c r="F6" s="26" t="s">
        <v>332</v>
      </c>
      <c r="G6" s="26" t="s">
        <v>47</v>
      </c>
      <c r="H6" s="26"/>
      <c r="I6" s="26" t="s">
        <v>332</v>
      </c>
      <c r="J6" s="26" t="s">
        <v>47</v>
      </c>
      <c r="K6" s="26"/>
      <c r="L6" s="26" t="s">
        <v>332</v>
      </c>
      <c r="M6" s="26" t="s">
        <v>47</v>
      </c>
      <c r="N6" s="26"/>
      <c r="O6" s="26" t="s">
        <v>332</v>
      </c>
      <c r="P6" s="26" t="s">
        <v>332</v>
      </c>
      <c r="Q6" s="26" t="s">
        <v>332</v>
      </c>
      <c r="R6" s="26" t="s">
        <v>332</v>
      </c>
    </row>
    <row r="7" spans="1:19" ht="27.5" thickBot="1">
      <c r="A7" s="189"/>
      <c r="B7" s="78" t="str">
        <f>IF('Sch2a-Imp Price by ECM'!A8="","",'Sch2a-Imp Price by ECM'!A8)</f>
        <v>Project Development Price (PDP)-Technical Energy Audit and Project Proposal</v>
      </c>
      <c r="C7" s="196"/>
      <c r="D7" s="10"/>
      <c r="E7" s="10"/>
      <c r="F7" s="10"/>
      <c r="G7" s="10"/>
      <c r="H7" s="10"/>
      <c r="I7" s="10"/>
      <c r="J7" s="10"/>
      <c r="K7" s="10"/>
      <c r="L7" s="10"/>
      <c r="M7" s="10"/>
      <c r="N7" s="10"/>
      <c r="O7" s="10"/>
      <c r="P7" s="10"/>
      <c r="Q7" s="10"/>
      <c r="R7" s="10"/>
    </row>
    <row r="8" spans="1:19" ht="43" customHeight="1" thickBot="1">
      <c r="A8" s="40" t="str">
        <f>IF('Sch2a-Imp Price by ECM'!B9="","",'Sch2a-Imp Price by ECM'!B9)</f>
        <v/>
      </c>
      <c r="B8" s="76" t="str">
        <f>IF('Sch2a-Imp Price by ECM'!D9="","",'Sch2a-Imp Price by ECM'!D9)</f>
        <v/>
      </c>
      <c r="C8" s="331" t="s">
        <v>333</v>
      </c>
      <c r="D8" s="332">
        <f>'Sch4-Cost Savings by ECM'!P8</f>
        <v>0</v>
      </c>
      <c r="E8" s="376">
        <f>VLOOKUP(C8,'eGRID subregion name'!$A$2:$N$30,8,0)</f>
        <v>189.83531623683197</v>
      </c>
      <c r="F8" s="376">
        <f t="shared" ref="F8" si="0">D8*3412*E8/1000000</f>
        <v>0</v>
      </c>
      <c r="G8" s="333">
        <f>'Sch4-Cost Savings by ECM'!T8</f>
        <v>0</v>
      </c>
      <c r="H8" s="334">
        <f>VLOOKUP("Natural Gas", 'GHG Emissions'!$D$2:$M$66,4,FALSE)+VLOOKUP("Natural Gas", 'GHG Emissions'!$D$2:$M$66,6,FALSE)*'eGRID subregion name'!$P$3+VLOOKUP("Natural Gas", 'GHG Emissions'!$D$2:$M$66,8,FALSE)*'eGRID subregion name'!$P$4</f>
        <v>53.114800000000002</v>
      </c>
      <c r="I8" s="334">
        <f>G8*H8</f>
        <v>0</v>
      </c>
      <c r="J8" s="333">
        <f>'Sch4-Cost Savings by ECM'!V8</f>
        <v>0</v>
      </c>
      <c r="K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 s="334">
        <f>K8*J8</f>
        <v>0</v>
      </c>
      <c r="M8" s="333">
        <f>'Sch4-Cost Savings by ECM'!X8</f>
        <v>0</v>
      </c>
      <c r="N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 s="334">
        <f>M8*N8</f>
        <v>0</v>
      </c>
      <c r="P8" s="334">
        <f>I8+IF(AND($L$5&lt;&gt;"Other Savings Type 1: Chilled Water",$L$5&lt;&gt;"Other Savings Type 1: Purchased Steam"),L8,0)+IF(AND($O$5&lt;&gt;"Other Savings Type 2: Chilled Water",$O$5&lt;&gt;"Other Savings Type 2: Purchased Steam"),O8,0)</f>
        <v>0</v>
      </c>
      <c r="Q8" s="334">
        <f>F8+IF(OR($L$5="Other Savings Type 1: Chilled Water",$L$5="Other Savings Type 1: Purchased Steam"),L8,0)+IF(OR($O$5="Other Savings Type 2: Chilled Water",$O$5="Other Savings Type 2: Purchased Steam"),O8,0)</f>
        <v>0</v>
      </c>
      <c r="R8" s="334">
        <f>P8+Q8</f>
        <v>0</v>
      </c>
      <c r="S8" s="375"/>
    </row>
    <row r="9" spans="1:19" ht="16.5" thickBot="1">
      <c r="A9" s="40" t="str">
        <f>IF('Sch2a-Imp Price by ECM'!B10="","",'Sch2a-Imp Price by ECM'!B10)</f>
        <v/>
      </c>
      <c r="B9" s="76" t="str">
        <f>IF('Sch2a-Imp Price by ECM'!D10="","",'Sch2a-Imp Price by ECM'!D10)</f>
        <v/>
      </c>
      <c r="C9" s="331" t="s">
        <v>333</v>
      </c>
      <c r="D9" s="332">
        <f>'Sch4-Cost Savings by ECM'!P9</f>
        <v>0</v>
      </c>
      <c r="E9" s="376">
        <f>VLOOKUP(C9,'eGRID subregion name'!$A$2:$N$30,8,0)</f>
        <v>189.83531623683197</v>
      </c>
      <c r="F9" s="376">
        <f>D9*3412*E9/1000000</f>
        <v>0</v>
      </c>
      <c r="G9" s="333">
        <f>'Sch4-Cost Savings by ECM'!T9</f>
        <v>0</v>
      </c>
      <c r="H9" s="334">
        <f>VLOOKUP("Natural Gas", 'GHG Emissions'!$D$2:$M$66,4,FALSE)+VLOOKUP("Natural Gas", 'GHG Emissions'!$D$2:$M$66,6,FALSE)*'eGRID subregion name'!$P$3+VLOOKUP("Natural Gas", 'GHG Emissions'!$D$2:$M$66,8,FALSE)*'eGRID subregion name'!$P$4</f>
        <v>53.114800000000002</v>
      </c>
      <c r="I9" s="334">
        <f t="shared" ref="I9:I72" si="1">G9*H9</f>
        <v>0</v>
      </c>
      <c r="J9" s="333">
        <f>'Sch4-Cost Savings by ECM'!V9</f>
        <v>0</v>
      </c>
      <c r="K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 s="334">
        <f>K9*J9</f>
        <v>0</v>
      </c>
      <c r="M9" s="333">
        <f>'Sch4-Cost Savings by ECM'!X9</f>
        <v>0</v>
      </c>
      <c r="N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 s="334">
        <f t="shared" ref="O9:O72" si="2">M9*N9</f>
        <v>0</v>
      </c>
      <c r="P9" s="334">
        <f t="shared" ref="P9:P72" si="3">I9+IF(AND($L$5&lt;&gt;"Other Savings Type 1: Chilled Water",$L$5&lt;&gt;"Other Savings Type 1: Purchased Steam"),L9,0)+IF(AND($O$5&lt;&gt;"Other Savings Type 2: Chilled Water",$O$5&lt;&gt;"Other Savings Type 2: Purchased Steam"),O9,0)</f>
        <v>0</v>
      </c>
      <c r="Q9" s="334">
        <f t="shared" ref="Q9:Q72" si="4">F9+IF(OR($L$5="Other Savings Type 1: Chilled Water",$L$5="Other Savings Type 1: Purchased Steam"),L9,0)+IF(OR($O$5="Other Savings Type 2: Chilled Water",$O$5="Other Savings Type 2: Purchased Steam"),O9,0)</f>
        <v>0</v>
      </c>
      <c r="R9" s="334">
        <f t="shared" ref="R9:R72" si="5">P9+Q9</f>
        <v>0</v>
      </c>
      <c r="S9" s="375"/>
    </row>
    <row r="10" spans="1:19" ht="16.5" thickBot="1">
      <c r="A10" s="40" t="str">
        <f>IF('Sch2a-Imp Price by ECM'!B11="","",'Sch2a-Imp Price by ECM'!B11)</f>
        <v/>
      </c>
      <c r="B10" s="76" t="str">
        <f>IF('Sch2a-Imp Price by ECM'!D11="","",'Sch2a-Imp Price by ECM'!D11)</f>
        <v/>
      </c>
      <c r="C10" s="331" t="s">
        <v>333</v>
      </c>
      <c r="D10" s="332">
        <f>'Sch4-Cost Savings by ECM'!P10</f>
        <v>0</v>
      </c>
      <c r="E10" s="376">
        <f>VLOOKUP(C10,'eGRID subregion name'!$A$2:$N$30,8,0)</f>
        <v>189.83531623683197</v>
      </c>
      <c r="F10" s="376">
        <f t="shared" ref="F10:F73" si="6">D10*3412*E10/1000000</f>
        <v>0</v>
      </c>
      <c r="G10" s="333">
        <f>'Sch4-Cost Savings by ECM'!T10</f>
        <v>0</v>
      </c>
      <c r="H10" s="334">
        <f>VLOOKUP("Natural Gas", 'GHG Emissions'!$D$2:$M$66,4,FALSE)+VLOOKUP("Natural Gas", 'GHG Emissions'!$D$2:$M$66,6,FALSE)*'eGRID subregion name'!$P$3+VLOOKUP("Natural Gas", 'GHG Emissions'!$D$2:$M$66,8,FALSE)*'eGRID subregion name'!$P$4</f>
        <v>53.114800000000002</v>
      </c>
      <c r="I10" s="334">
        <f t="shared" si="1"/>
        <v>0</v>
      </c>
      <c r="J10" s="333">
        <f>'Sch4-Cost Savings by ECM'!V10</f>
        <v>0</v>
      </c>
      <c r="K1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 s="334">
        <f t="shared" ref="L10:L73" si="7">K10*J10</f>
        <v>0</v>
      </c>
      <c r="M10" s="333">
        <f>'Sch4-Cost Savings by ECM'!X10</f>
        <v>0</v>
      </c>
      <c r="N1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 s="334">
        <f t="shared" si="2"/>
        <v>0</v>
      </c>
      <c r="P10" s="334">
        <f t="shared" si="3"/>
        <v>0</v>
      </c>
      <c r="Q10" s="334">
        <f t="shared" si="4"/>
        <v>0</v>
      </c>
      <c r="R10" s="334">
        <f t="shared" si="5"/>
        <v>0</v>
      </c>
      <c r="S10" s="375"/>
    </row>
    <row r="11" spans="1:19" ht="16.5" thickBot="1">
      <c r="A11" s="40" t="str">
        <f>IF('Sch2a-Imp Price by ECM'!B12="","",'Sch2a-Imp Price by ECM'!B12)</f>
        <v/>
      </c>
      <c r="B11" s="76" t="str">
        <f>IF('Sch2a-Imp Price by ECM'!D12="","",'Sch2a-Imp Price by ECM'!D12)</f>
        <v/>
      </c>
      <c r="C11" s="331" t="s">
        <v>333</v>
      </c>
      <c r="D11" s="332">
        <f>'Sch4-Cost Savings by ECM'!P11</f>
        <v>0</v>
      </c>
      <c r="E11" s="376">
        <f>VLOOKUP(C11,'eGRID subregion name'!$A$2:$N$30,8,0)</f>
        <v>189.83531623683197</v>
      </c>
      <c r="F11" s="376">
        <f t="shared" si="6"/>
        <v>0</v>
      </c>
      <c r="G11" s="333">
        <f>'Sch4-Cost Savings by ECM'!T11</f>
        <v>0</v>
      </c>
      <c r="H11" s="334">
        <f>VLOOKUP("Natural Gas", 'GHG Emissions'!$D$2:$M$66,4,FALSE)+VLOOKUP("Natural Gas", 'GHG Emissions'!$D$2:$M$66,6,FALSE)*'eGRID subregion name'!$P$3+VLOOKUP("Natural Gas", 'GHG Emissions'!$D$2:$M$66,8,FALSE)*'eGRID subregion name'!$P$4</f>
        <v>53.114800000000002</v>
      </c>
      <c r="I11" s="334">
        <f t="shared" si="1"/>
        <v>0</v>
      </c>
      <c r="J11" s="333">
        <f>'Sch4-Cost Savings by ECM'!V11</f>
        <v>0</v>
      </c>
      <c r="K1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 s="334">
        <f t="shared" si="7"/>
        <v>0</v>
      </c>
      <c r="M11" s="333">
        <f>'Sch4-Cost Savings by ECM'!X11</f>
        <v>0</v>
      </c>
      <c r="N1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 s="334">
        <f t="shared" si="2"/>
        <v>0</v>
      </c>
      <c r="P11" s="334">
        <f t="shared" si="3"/>
        <v>0</v>
      </c>
      <c r="Q11" s="334">
        <f t="shared" si="4"/>
        <v>0</v>
      </c>
      <c r="R11" s="334">
        <f t="shared" si="5"/>
        <v>0</v>
      </c>
      <c r="S11" s="375"/>
    </row>
    <row r="12" spans="1:19" ht="16.5" thickBot="1">
      <c r="A12" s="40" t="str">
        <f>IF('Sch2a-Imp Price by ECM'!B13="","",'Sch2a-Imp Price by ECM'!B13)</f>
        <v/>
      </c>
      <c r="B12" s="76" t="str">
        <f>IF('Sch2a-Imp Price by ECM'!D13="","",'Sch2a-Imp Price by ECM'!D13)</f>
        <v/>
      </c>
      <c r="C12" s="331" t="s">
        <v>333</v>
      </c>
      <c r="D12" s="332">
        <f>'Sch4-Cost Savings by ECM'!P12</f>
        <v>0</v>
      </c>
      <c r="E12" s="376">
        <f>VLOOKUP(C12,'eGRID subregion name'!$A$2:$N$30,8,0)</f>
        <v>189.83531623683197</v>
      </c>
      <c r="F12" s="376">
        <f t="shared" si="6"/>
        <v>0</v>
      </c>
      <c r="G12" s="333">
        <f>'Sch4-Cost Savings by ECM'!T12</f>
        <v>0</v>
      </c>
      <c r="H12" s="334">
        <f>VLOOKUP("Natural Gas", 'GHG Emissions'!$D$2:$M$66,4,FALSE)+VLOOKUP("Natural Gas", 'GHG Emissions'!$D$2:$M$66,6,FALSE)*'eGRID subregion name'!$P$3+VLOOKUP("Natural Gas", 'GHG Emissions'!$D$2:$M$66,8,FALSE)*'eGRID subregion name'!$P$4</f>
        <v>53.114800000000002</v>
      </c>
      <c r="I12" s="334">
        <f t="shared" si="1"/>
        <v>0</v>
      </c>
      <c r="J12" s="333">
        <f>'Sch4-Cost Savings by ECM'!V12</f>
        <v>0</v>
      </c>
      <c r="K1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 s="334">
        <f t="shared" si="7"/>
        <v>0</v>
      </c>
      <c r="M12" s="333">
        <f>'Sch4-Cost Savings by ECM'!X12</f>
        <v>0</v>
      </c>
      <c r="N1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 s="334">
        <f t="shared" si="2"/>
        <v>0</v>
      </c>
      <c r="P12" s="334">
        <f t="shared" si="3"/>
        <v>0</v>
      </c>
      <c r="Q12" s="334">
        <f t="shared" si="4"/>
        <v>0</v>
      </c>
      <c r="R12" s="334">
        <f t="shared" si="5"/>
        <v>0</v>
      </c>
      <c r="S12" s="375"/>
    </row>
    <row r="13" spans="1:19" ht="18" customHeight="1" thickBot="1">
      <c r="A13" s="40" t="str">
        <f>IF('Sch2a-Imp Price by ECM'!B14="","",'Sch2a-Imp Price by ECM'!B14)</f>
        <v/>
      </c>
      <c r="B13" s="76"/>
      <c r="C13" s="331" t="s">
        <v>333</v>
      </c>
      <c r="D13" s="332">
        <f>'Sch4-Cost Savings by ECM'!P13</f>
        <v>0</v>
      </c>
      <c r="E13" s="376">
        <f>VLOOKUP(C13,'eGRID subregion name'!$A$2:$N$30,8,0)</f>
        <v>189.83531623683197</v>
      </c>
      <c r="F13" s="376">
        <f t="shared" si="6"/>
        <v>0</v>
      </c>
      <c r="G13" s="333">
        <f>'Sch4-Cost Savings by ECM'!T13</f>
        <v>0</v>
      </c>
      <c r="H13" s="334">
        <f>VLOOKUP("Natural Gas", 'GHG Emissions'!$D$2:$M$66,4,FALSE)+VLOOKUP("Natural Gas", 'GHG Emissions'!$D$2:$M$66,6,FALSE)*'eGRID subregion name'!$P$3+VLOOKUP("Natural Gas", 'GHG Emissions'!$D$2:$M$66,8,FALSE)*'eGRID subregion name'!$P$4</f>
        <v>53.114800000000002</v>
      </c>
      <c r="I13" s="334">
        <f t="shared" si="1"/>
        <v>0</v>
      </c>
      <c r="J13" s="333">
        <f>'Sch4-Cost Savings by ECM'!V13</f>
        <v>0</v>
      </c>
      <c r="K1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 s="334">
        <f t="shared" si="7"/>
        <v>0</v>
      </c>
      <c r="M13" s="333">
        <f>'Sch4-Cost Savings by ECM'!X13</f>
        <v>0</v>
      </c>
      <c r="N1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 s="334">
        <f t="shared" si="2"/>
        <v>0</v>
      </c>
      <c r="P13" s="334">
        <f t="shared" si="3"/>
        <v>0</v>
      </c>
      <c r="Q13" s="334">
        <f t="shared" si="4"/>
        <v>0</v>
      </c>
      <c r="R13" s="334">
        <f t="shared" si="5"/>
        <v>0</v>
      </c>
      <c r="S13" s="375"/>
    </row>
    <row r="14" spans="1:19" ht="18" customHeight="1" thickBot="1">
      <c r="A14" s="40" t="str">
        <f>IF('Sch2a-Imp Price by ECM'!B15="","",'Sch2a-Imp Price by ECM'!B15)</f>
        <v/>
      </c>
      <c r="B14" s="76" t="str">
        <f>IF('Sch2a-Imp Price by ECM'!D15="","",'Sch2a-Imp Price by ECM'!D15)</f>
        <v/>
      </c>
      <c r="C14" s="331" t="s">
        <v>333</v>
      </c>
      <c r="D14" s="332">
        <f>'Sch4-Cost Savings by ECM'!P14</f>
        <v>0</v>
      </c>
      <c r="E14" s="376">
        <f>VLOOKUP(C14,'eGRID subregion name'!$A$2:$N$30,8,0)</f>
        <v>189.83531623683197</v>
      </c>
      <c r="F14" s="376">
        <f t="shared" si="6"/>
        <v>0</v>
      </c>
      <c r="G14" s="333">
        <f>'Sch4-Cost Savings by ECM'!T14</f>
        <v>0</v>
      </c>
      <c r="H14" s="334">
        <f>VLOOKUP("Natural Gas", 'GHG Emissions'!$D$2:$M$66,4,FALSE)+VLOOKUP("Natural Gas", 'GHG Emissions'!$D$2:$M$66,6,FALSE)*'eGRID subregion name'!$P$3+VLOOKUP("Natural Gas", 'GHG Emissions'!$D$2:$M$66,8,FALSE)*'eGRID subregion name'!$P$4</f>
        <v>53.114800000000002</v>
      </c>
      <c r="I14" s="334">
        <f t="shared" si="1"/>
        <v>0</v>
      </c>
      <c r="J14" s="333">
        <f>'Sch4-Cost Savings by ECM'!V14</f>
        <v>0</v>
      </c>
      <c r="K1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 s="334">
        <f t="shared" si="7"/>
        <v>0</v>
      </c>
      <c r="M14" s="333">
        <f>'Sch4-Cost Savings by ECM'!X14</f>
        <v>0</v>
      </c>
      <c r="N1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 s="334">
        <f t="shared" si="2"/>
        <v>0</v>
      </c>
      <c r="P14" s="334">
        <f t="shared" si="3"/>
        <v>0</v>
      </c>
      <c r="Q14" s="334">
        <f t="shared" si="4"/>
        <v>0</v>
      </c>
      <c r="R14" s="334">
        <f t="shared" si="5"/>
        <v>0</v>
      </c>
      <c r="S14" s="375"/>
    </row>
    <row r="15" spans="1:19" ht="16.5" thickBot="1">
      <c r="A15" s="40" t="str">
        <f>IF('Sch2a-Imp Price by ECM'!B16="","",'Sch2a-Imp Price by ECM'!B16)</f>
        <v/>
      </c>
      <c r="B15" s="76" t="str">
        <f>IF('Sch2a-Imp Price by ECM'!D16="","",'Sch2a-Imp Price by ECM'!D16)</f>
        <v/>
      </c>
      <c r="C15" s="331" t="s">
        <v>333</v>
      </c>
      <c r="D15" s="332">
        <f>'Sch4-Cost Savings by ECM'!P15</f>
        <v>0</v>
      </c>
      <c r="E15" s="376">
        <f>VLOOKUP(C15,'eGRID subregion name'!$A$2:$N$30,8,0)</f>
        <v>189.83531623683197</v>
      </c>
      <c r="F15" s="376">
        <f t="shared" si="6"/>
        <v>0</v>
      </c>
      <c r="G15" s="333">
        <f>'Sch4-Cost Savings by ECM'!T15</f>
        <v>0</v>
      </c>
      <c r="H15" s="334">
        <f>VLOOKUP("Natural Gas", 'GHG Emissions'!$D$2:$M$66,4,FALSE)+VLOOKUP("Natural Gas", 'GHG Emissions'!$D$2:$M$66,6,FALSE)*'eGRID subregion name'!$P$3+VLOOKUP("Natural Gas", 'GHG Emissions'!$D$2:$M$66,8,FALSE)*'eGRID subregion name'!$P$4</f>
        <v>53.114800000000002</v>
      </c>
      <c r="I15" s="334">
        <f t="shared" si="1"/>
        <v>0</v>
      </c>
      <c r="J15" s="333">
        <f>'Sch4-Cost Savings by ECM'!V15</f>
        <v>0</v>
      </c>
      <c r="K1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 s="334">
        <f t="shared" si="7"/>
        <v>0</v>
      </c>
      <c r="M15" s="333">
        <f>'Sch4-Cost Savings by ECM'!X15</f>
        <v>0</v>
      </c>
      <c r="N1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 s="334">
        <f t="shared" si="2"/>
        <v>0</v>
      </c>
      <c r="P15" s="334">
        <f t="shared" si="3"/>
        <v>0</v>
      </c>
      <c r="Q15" s="334">
        <f t="shared" si="4"/>
        <v>0</v>
      </c>
      <c r="R15" s="334">
        <f t="shared" si="5"/>
        <v>0</v>
      </c>
      <c r="S15" s="375"/>
    </row>
    <row r="16" spans="1:19" ht="16.5" thickBot="1">
      <c r="A16" s="40" t="str">
        <f>IF('Sch2a-Imp Price by ECM'!B17="","",'Sch2a-Imp Price by ECM'!B17)</f>
        <v/>
      </c>
      <c r="B16" s="76" t="str">
        <f>IF('Sch2a-Imp Price by ECM'!D17="","",'Sch2a-Imp Price by ECM'!D17)</f>
        <v/>
      </c>
      <c r="C16" s="331" t="s">
        <v>333</v>
      </c>
      <c r="D16" s="332">
        <f>'Sch4-Cost Savings by ECM'!P16</f>
        <v>0</v>
      </c>
      <c r="E16" s="376">
        <f>VLOOKUP(C16,'eGRID subregion name'!$A$2:$N$30,8,0)</f>
        <v>189.83531623683197</v>
      </c>
      <c r="F16" s="376">
        <f t="shared" si="6"/>
        <v>0</v>
      </c>
      <c r="G16" s="333">
        <f>'Sch4-Cost Savings by ECM'!T16</f>
        <v>0</v>
      </c>
      <c r="H16" s="334">
        <f>VLOOKUP("Natural Gas", 'GHG Emissions'!$D$2:$M$66,4,FALSE)+VLOOKUP("Natural Gas", 'GHG Emissions'!$D$2:$M$66,6,FALSE)*'eGRID subregion name'!$P$3+VLOOKUP("Natural Gas", 'GHG Emissions'!$D$2:$M$66,8,FALSE)*'eGRID subregion name'!$P$4</f>
        <v>53.114800000000002</v>
      </c>
      <c r="I16" s="334">
        <f t="shared" si="1"/>
        <v>0</v>
      </c>
      <c r="J16" s="333">
        <f>'Sch4-Cost Savings by ECM'!V16</f>
        <v>0</v>
      </c>
      <c r="K1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 s="334">
        <f t="shared" si="7"/>
        <v>0</v>
      </c>
      <c r="M16" s="333">
        <f>'Sch4-Cost Savings by ECM'!X16</f>
        <v>0</v>
      </c>
      <c r="N1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 s="334">
        <f t="shared" si="2"/>
        <v>0</v>
      </c>
      <c r="P16" s="334">
        <f t="shared" si="3"/>
        <v>0</v>
      </c>
      <c r="Q16" s="334">
        <f t="shared" si="4"/>
        <v>0</v>
      </c>
      <c r="R16" s="334">
        <f t="shared" si="5"/>
        <v>0</v>
      </c>
      <c r="S16" s="375"/>
    </row>
    <row r="17" spans="1:19" ht="16.5" thickBot="1">
      <c r="A17" s="40" t="str">
        <f>IF('Sch2a-Imp Price by ECM'!B18="","",'Sch2a-Imp Price by ECM'!B18)</f>
        <v/>
      </c>
      <c r="B17" s="76" t="str">
        <f>IF('Sch2a-Imp Price by ECM'!D18="","",'Sch2a-Imp Price by ECM'!D18)</f>
        <v/>
      </c>
      <c r="C17" s="331" t="s">
        <v>333</v>
      </c>
      <c r="D17" s="332">
        <f>'Sch4-Cost Savings by ECM'!P17</f>
        <v>0</v>
      </c>
      <c r="E17" s="376">
        <f>VLOOKUP(C17,'eGRID subregion name'!$A$2:$N$30,8,0)</f>
        <v>189.83531623683197</v>
      </c>
      <c r="F17" s="376">
        <f t="shared" si="6"/>
        <v>0</v>
      </c>
      <c r="G17" s="333">
        <f>'Sch4-Cost Savings by ECM'!T17</f>
        <v>0</v>
      </c>
      <c r="H17" s="334">
        <f>VLOOKUP("Natural Gas", 'GHG Emissions'!$D$2:$M$66,4,FALSE)+VLOOKUP("Natural Gas", 'GHG Emissions'!$D$2:$M$66,6,FALSE)*'eGRID subregion name'!$P$3+VLOOKUP("Natural Gas", 'GHG Emissions'!$D$2:$M$66,8,FALSE)*'eGRID subregion name'!$P$4</f>
        <v>53.114800000000002</v>
      </c>
      <c r="I17" s="334">
        <f t="shared" si="1"/>
        <v>0</v>
      </c>
      <c r="J17" s="333">
        <f>'Sch4-Cost Savings by ECM'!V17</f>
        <v>0</v>
      </c>
      <c r="K1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 s="334">
        <f t="shared" si="7"/>
        <v>0</v>
      </c>
      <c r="M17" s="333">
        <f>'Sch4-Cost Savings by ECM'!X17</f>
        <v>0</v>
      </c>
      <c r="N1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 s="334">
        <f t="shared" si="2"/>
        <v>0</v>
      </c>
      <c r="P17" s="334">
        <f t="shared" si="3"/>
        <v>0</v>
      </c>
      <c r="Q17" s="334">
        <f t="shared" si="4"/>
        <v>0</v>
      </c>
      <c r="R17" s="334">
        <f t="shared" si="5"/>
        <v>0</v>
      </c>
      <c r="S17" s="375"/>
    </row>
    <row r="18" spans="1:19" ht="16.5" thickBot="1">
      <c r="A18" s="40" t="str">
        <f>IF('Sch2a-Imp Price by ECM'!B19="","",'Sch2a-Imp Price by ECM'!B19)</f>
        <v/>
      </c>
      <c r="B18" s="76" t="str">
        <f>IF('Sch2a-Imp Price by ECM'!D19="","",'Sch2a-Imp Price by ECM'!D19)</f>
        <v/>
      </c>
      <c r="C18" s="331" t="s">
        <v>333</v>
      </c>
      <c r="D18" s="332">
        <f>'Sch4-Cost Savings by ECM'!P18</f>
        <v>0</v>
      </c>
      <c r="E18" s="376">
        <f>VLOOKUP(C18,'eGRID subregion name'!$A$2:$N$30,8,0)</f>
        <v>189.83531623683197</v>
      </c>
      <c r="F18" s="376">
        <f t="shared" si="6"/>
        <v>0</v>
      </c>
      <c r="G18" s="333">
        <f>'Sch4-Cost Savings by ECM'!T18</f>
        <v>0</v>
      </c>
      <c r="H18" s="334">
        <f>VLOOKUP("Natural Gas", 'GHG Emissions'!$D$2:$M$66,4,FALSE)+VLOOKUP("Natural Gas", 'GHG Emissions'!$D$2:$M$66,6,FALSE)*'eGRID subregion name'!$P$3+VLOOKUP("Natural Gas", 'GHG Emissions'!$D$2:$M$66,8,FALSE)*'eGRID subregion name'!$P$4</f>
        <v>53.114800000000002</v>
      </c>
      <c r="I18" s="334">
        <f t="shared" si="1"/>
        <v>0</v>
      </c>
      <c r="J18" s="333">
        <f>'Sch4-Cost Savings by ECM'!V18</f>
        <v>0</v>
      </c>
      <c r="K1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 s="334">
        <f t="shared" si="7"/>
        <v>0</v>
      </c>
      <c r="M18" s="333">
        <f>'Sch4-Cost Savings by ECM'!X18</f>
        <v>0</v>
      </c>
      <c r="N1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 s="334">
        <f t="shared" si="2"/>
        <v>0</v>
      </c>
      <c r="P18" s="334">
        <f t="shared" si="3"/>
        <v>0</v>
      </c>
      <c r="Q18" s="334">
        <f t="shared" si="4"/>
        <v>0</v>
      </c>
      <c r="R18" s="334">
        <f t="shared" si="5"/>
        <v>0</v>
      </c>
      <c r="S18" s="375"/>
    </row>
    <row r="19" spans="1:19" ht="16.5" thickBot="1">
      <c r="A19" s="40" t="str">
        <f>IF('Sch2a-Imp Price by ECM'!B20="","",'Sch2a-Imp Price by ECM'!B20)</f>
        <v/>
      </c>
      <c r="B19" s="76" t="str">
        <f>IF('Sch2a-Imp Price by ECM'!D20="","",'Sch2a-Imp Price by ECM'!D20)</f>
        <v/>
      </c>
      <c r="C19" s="331" t="s">
        <v>333</v>
      </c>
      <c r="D19" s="332">
        <f>'Sch4-Cost Savings by ECM'!P19</f>
        <v>0</v>
      </c>
      <c r="E19" s="376">
        <f>VLOOKUP(C19,'eGRID subregion name'!$A$2:$N$30,8,0)</f>
        <v>189.83531623683197</v>
      </c>
      <c r="F19" s="376">
        <f t="shared" si="6"/>
        <v>0</v>
      </c>
      <c r="G19" s="333">
        <f>'Sch4-Cost Savings by ECM'!T19</f>
        <v>0</v>
      </c>
      <c r="H19" s="334">
        <f>VLOOKUP("Natural Gas", 'GHG Emissions'!$D$2:$M$66,4,FALSE)+VLOOKUP("Natural Gas", 'GHG Emissions'!$D$2:$M$66,6,FALSE)*'eGRID subregion name'!$P$3+VLOOKUP("Natural Gas", 'GHG Emissions'!$D$2:$M$66,8,FALSE)*'eGRID subregion name'!$P$4</f>
        <v>53.114800000000002</v>
      </c>
      <c r="I19" s="334">
        <f t="shared" si="1"/>
        <v>0</v>
      </c>
      <c r="J19" s="333">
        <f>'Sch4-Cost Savings by ECM'!V19</f>
        <v>0</v>
      </c>
      <c r="K1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 s="334">
        <f t="shared" si="7"/>
        <v>0</v>
      </c>
      <c r="M19" s="333">
        <f>'Sch4-Cost Savings by ECM'!X19</f>
        <v>0</v>
      </c>
      <c r="N1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 s="334">
        <f t="shared" si="2"/>
        <v>0</v>
      </c>
      <c r="P19" s="334">
        <f t="shared" si="3"/>
        <v>0</v>
      </c>
      <c r="Q19" s="334">
        <f t="shared" si="4"/>
        <v>0</v>
      </c>
      <c r="R19" s="334">
        <f t="shared" si="5"/>
        <v>0</v>
      </c>
      <c r="S19" s="375"/>
    </row>
    <row r="20" spans="1:19" ht="16.5" thickBot="1">
      <c r="A20" s="40" t="str">
        <f>IF('Sch2a-Imp Price by ECM'!B21="","",'Sch2a-Imp Price by ECM'!B21)</f>
        <v/>
      </c>
      <c r="B20" s="76" t="str">
        <f>IF('Sch2a-Imp Price by ECM'!D21="","",'Sch2a-Imp Price by ECM'!D21)</f>
        <v/>
      </c>
      <c r="C20" s="331" t="s">
        <v>333</v>
      </c>
      <c r="D20" s="332">
        <f>'Sch4-Cost Savings by ECM'!P20</f>
        <v>0</v>
      </c>
      <c r="E20" s="376">
        <f>VLOOKUP(C20,'eGRID subregion name'!$A$2:$N$30,8,0)</f>
        <v>189.83531623683197</v>
      </c>
      <c r="F20" s="376">
        <f t="shared" si="6"/>
        <v>0</v>
      </c>
      <c r="G20" s="333">
        <f>'Sch4-Cost Savings by ECM'!T20</f>
        <v>0</v>
      </c>
      <c r="H20" s="334">
        <f>VLOOKUP("Natural Gas", 'GHG Emissions'!$D$2:$M$66,4,FALSE)+VLOOKUP("Natural Gas", 'GHG Emissions'!$D$2:$M$66,6,FALSE)*'eGRID subregion name'!$P$3+VLOOKUP("Natural Gas", 'GHG Emissions'!$D$2:$M$66,8,FALSE)*'eGRID subregion name'!$P$4</f>
        <v>53.114800000000002</v>
      </c>
      <c r="I20" s="334">
        <f t="shared" si="1"/>
        <v>0</v>
      </c>
      <c r="J20" s="333">
        <f>'Sch4-Cost Savings by ECM'!V20</f>
        <v>0</v>
      </c>
      <c r="K2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 s="334">
        <f t="shared" si="7"/>
        <v>0</v>
      </c>
      <c r="M20" s="333">
        <f>'Sch4-Cost Savings by ECM'!X20</f>
        <v>0</v>
      </c>
      <c r="N2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 s="334">
        <f t="shared" si="2"/>
        <v>0</v>
      </c>
      <c r="P20" s="334">
        <f t="shared" si="3"/>
        <v>0</v>
      </c>
      <c r="Q20" s="334">
        <f t="shared" si="4"/>
        <v>0</v>
      </c>
      <c r="R20" s="334">
        <f t="shared" si="5"/>
        <v>0</v>
      </c>
      <c r="S20" s="375"/>
    </row>
    <row r="21" spans="1:19" ht="16.5" thickBot="1">
      <c r="A21" s="40" t="str">
        <f>IF('Sch2a-Imp Price by ECM'!B22="","",'Sch2a-Imp Price by ECM'!B22)</f>
        <v/>
      </c>
      <c r="B21" s="76" t="str">
        <f>IF('Sch2a-Imp Price by ECM'!D22="","",'Sch2a-Imp Price by ECM'!D22)</f>
        <v/>
      </c>
      <c r="C21" s="331" t="s">
        <v>333</v>
      </c>
      <c r="D21" s="332">
        <f>'Sch4-Cost Savings by ECM'!P21</f>
        <v>0</v>
      </c>
      <c r="E21" s="376">
        <f>VLOOKUP(C21,'eGRID subregion name'!$A$2:$N$30,8,0)</f>
        <v>189.83531623683197</v>
      </c>
      <c r="F21" s="376">
        <f t="shared" si="6"/>
        <v>0</v>
      </c>
      <c r="G21" s="333">
        <f>'Sch4-Cost Savings by ECM'!T21</f>
        <v>0</v>
      </c>
      <c r="H21" s="334">
        <f>VLOOKUP("Natural Gas", 'GHG Emissions'!$D$2:$M$66,4,FALSE)+VLOOKUP("Natural Gas", 'GHG Emissions'!$D$2:$M$66,6,FALSE)*'eGRID subregion name'!$P$3+VLOOKUP("Natural Gas", 'GHG Emissions'!$D$2:$M$66,8,FALSE)*'eGRID subregion name'!$P$4</f>
        <v>53.114800000000002</v>
      </c>
      <c r="I21" s="334">
        <f t="shared" si="1"/>
        <v>0</v>
      </c>
      <c r="J21" s="333">
        <f>'Sch4-Cost Savings by ECM'!V21</f>
        <v>0</v>
      </c>
      <c r="K2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 s="334">
        <f t="shared" si="7"/>
        <v>0</v>
      </c>
      <c r="M21" s="333">
        <f>'Sch4-Cost Savings by ECM'!X21</f>
        <v>0</v>
      </c>
      <c r="N2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 s="334">
        <f t="shared" si="2"/>
        <v>0</v>
      </c>
      <c r="P21" s="334">
        <f t="shared" si="3"/>
        <v>0</v>
      </c>
      <c r="Q21" s="334">
        <f t="shared" si="4"/>
        <v>0</v>
      </c>
      <c r="R21" s="334">
        <f t="shared" si="5"/>
        <v>0</v>
      </c>
      <c r="S21" s="375"/>
    </row>
    <row r="22" spans="1:19" ht="16.5" thickBot="1">
      <c r="A22" s="40" t="str">
        <f>IF('Sch2a-Imp Price by ECM'!B23="","",'Sch2a-Imp Price by ECM'!B23)</f>
        <v/>
      </c>
      <c r="B22" s="76" t="str">
        <f>IF('Sch2a-Imp Price by ECM'!D23="","",'Sch2a-Imp Price by ECM'!D23)</f>
        <v/>
      </c>
      <c r="C22" s="331" t="s">
        <v>333</v>
      </c>
      <c r="D22" s="332">
        <f>'Sch4-Cost Savings by ECM'!P22</f>
        <v>0</v>
      </c>
      <c r="E22" s="376">
        <f>VLOOKUP(C22,'eGRID subregion name'!$A$2:$N$30,8,0)</f>
        <v>189.83531623683197</v>
      </c>
      <c r="F22" s="376">
        <f t="shared" si="6"/>
        <v>0</v>
      </c>
      <c r="G22" s="333">
        <f>'Sch4-Cost Savings by ECM'!T22</f>
        <v>0</v>
      </c>
      <c r="H22" s="334">
        <f>VLOOKUP("Natural Gas", 'GHG Emissions'!$D$2:$M$66,4,FALSE)+VLOOKUP("Natural Gas", 'GHG Emissions'!$D$2:$M$66,6,FALSE)*'eGRID subregion name'!$P$3+VLOOKUP("Natural Gas", 'GHG Emissions'!$D$2:$M$66,8,FALSE)*'eGRID subregion name'!$P$4</f>
        <v>53.114800000000002</v>
      </c>
      <c r="I22" s="334">
        <f t="shared" si="1"/>
        <v>0</v>
      </c>
      <c r="J22" s="333">
        <f>'Sch4-Cost Savings by ECM'!V22</f>
        <v>0</v>
      </c>
      <c r="K2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 s="334">
        <f t="shared" si="7"/>
        <v>0</v>
      </c>
      <c r="M22" s="333">
        <f>'Sch4-Cost Savings by ECM'!X22</f>
        <v>0</v>
      </c>
      <c r="N2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 s="334">
        <f t="shared" si="2"/>
        <v>0</v>
      </c>
      <c r="P22" s="334">
        <f t="shared" si="3"/>
        <v>0</v>
      </c>
      <c r="Q22" s="334">
        <f t="shared" si="4"/>
        <v>0</v>
      </c>
      <c r="R22" s="334">
        <f t="shared" si="5"/>
        <v>0</v>
      </c>
      <c r="S22" s="375"/>
    </row>
    <row r="23" spans="1:19" ht="16.5" thickBot="1">
      <c r="A23" s="40" t="str">
        <f>IF('Sch2a-Imp Price by ECM'!B24="","",'Sch2a-Imp Price by ECM'!B24)</f>
        <v/>
      </c>
      <c r="B23" s="76" t="str">
        <f>IF('Sch2a-Imp Price by ECM'!D24="","",'Sch2a-Imp Price by ECM'!D24)</f>
        <v/>
      </c>
      <c r="C23" s="331" t="s">
        <v>333</v>
      </c>
      <c r="D23" s="332">
        <f>'Sch4-Cost Savings by ECM'!P23</f>
        <v>0</v>
      </c>
      <c r="E23" s="376">
        <f>VLOOKUP(C23,'eGRID subregion name'!$A$2:$N$30,8,0)</f>
        <v>189.83531623683197</v>
      </c>
      <c r="F23" s="376">
        <f t="shared" si="6"/>
        <v>0</v>
      </c>
      <c r="G23" s="333">
        <f>'Sch4-Cost Savings by ECM'!T23</f>
        <v>0</v>
      </c>
      <c r="H23" s="334">
        <f>VLOOKUP("Natural Gas", 'GHG Emissions'!$D$2:$M$66,4,FALSE)+VLOOKUP("Natural Gas", 'GHG Emissions'!$D$2:$M$66,6,FALSE)*'eGRID subregion name'!$P$3+VLOOKUP("Natural Gas", 'GHG Emissions'!$D$2:$M$66,8,FALSE)*'eGRID subregion name'!$P$4</f>
        <v>53.114800000000002</v>
      </c>
      <c r="I23" s="334">
        <f t="shared" si="1"/>
        <v>0</v>
      </c>
      <c r="J23" s="333">
        <f>'Sch4-Cost Savings by ECM'!V23</f>
        <v>0</v>
      </c>
      <c r="K2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 s="334">
        <f t="shared" si="7"/>
        <v>0</v>
      </c>
      <c r="M23" s="333">
        <f>'Sch4-Cost Savings by ECM'!X23</f>
        <v>0</v>
      </c>
      <c r="N2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 s="334">
        <f t="shared" si="2"/>
        <v>0</v>
      </c>
      <c r="P23" s="334">
        <f t="shared" si="3"/>
        <v>0</v>
      </c>
      <c r="Q23" s="334">
        <f t="shared" si="4"/>
        <v>0</v>
      </c>
      <c r="R23" s="334">
        <f t="shared" si="5"/>
        <v>0</v>
      </c>
      <c r="S23" s="375"/>
    </row>
    <row r="24" spans="1:19" ht="16.5" thickBot="1">
      <c r="A24" s="40" t="str">
        <f>IF('Sch2a-Imp Price by ECM'!B25="","",'Sch2a-Imp Price by ECM'!B25)</f>
        <v/>
      </c>
      <c r="B24" s="76" t="str">
        <f>IF('Sch2a-Imp Price by ECM'!D25="","",'Sch2a-Imp Price by ECM'!D25)</f>
        <v/>
      </c>
      <c r="C24" s="331" t="s">
        <v>333</v>
      </c>
      <c r="D24" s="332">
        <f>'Sch4-Cost Savings by ECM'!P24</f>
        <v>0</v>
      </c>
      <c r="E24" s="376">
        <f>VLOOKUP(C24,'eGRID subregion name'!$A$2:$N$30,8,0)</f>
        <v>189.83531623683197</v>
      </c>
      <c r="F24" s="376">
        <f t="shared" si="6"/>
        <v>0</v>
      </c>
      <c r="G24" s="333">
        <f>'Sch4-Cost Savings by ECM'!T24</f>
        <v>0</v>
      </c>
      <c r="H24" s="334">
        <f>VLOOKUP("Natural Gas", 'GHG Emissions'!$D$2:$M$66,4,FALSE)+VLOOKUP("Natural Gas", 'GHG Emissions'!$D$2:$M$66,6,FALSE)*'eGRID subregion name'!$P$3+VLOOKUP("Natural Gas", 'GHG Emissions'!$D$2:$M$66,8,FALSE)*'eGRID subregion name'!$P$4</f>
        <v>53.114800000000002</v>
      </c>
      <c r="I24" s="334">
        <f t="shared" si="1"/>
        <v>0</v>
      </c>
      <c r="J24" s="333">
        <f>'Sch4-Cost Savings by ECM'!V24</f>
        <v>0</v>
      </c>
      <c r="K2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 s="334">
        <f t="shared" si="7"/>
        <v>0</v>
      </c>
      <c r="M24" s="333">
        <f>'Sch4-Cost Savings by ECM'!X24</f>
        <v>0</v>
      </c>
      <c r="N2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 s="334">
        <f t="shared" si="2"/>
        <v>0</v>
      </c>
      <c r="P24" s="334">
        <f t="shared" si="3"/>
        <v>0</v>
      </c>
      <c r="Q24" s="334">
        <f t="shared" si="4"/>
        <v>0</v>
      </c>
      <c r="R24" s="334">
        <f t="shared" si="5"/>
        <v>0</v>
      </c>
      <c r="S24" s="375"/>
    </row>
    <row r="25" spans="1:19" ht="16.5" thickBot="1">
      <c r="A25" s="40" t="str">
        <f>IF('Sch2a-Imp Price by ECM'!B26="","",'Sch2a-Imp Price by ECM'!B26)</f>
        <v/>
      </c>
      <c r="B25" s="76" t="str">
        <f>IF('Sch2a-Imp Price by ECM'!D26="","",'Sch2a-Imp Price by ECM'!D26)</f>
        <v/>
      </c>
      <c r="C25" s="331" t="s">
        <v>333</v>
      </c>
      <c r="D25" s="332">
        <f>'Sch4-Cost Savings by ECM'!P25</f>
        <v>0</v>
      </c>
      <c r="E25" s="376">
        <f>VLOOKUP(C25,'eGRID subregion name'!$A$2:$N$30,8,0)</f>
        <v>189.83531623683197</v>
      </c>
      <c r="F25" s="376">
        <f t="shared" si="6"/>
        <v>0</v>
      </c>
      <c r="G25" s="333">
        <f>'Sch4-Cost Savings by ECM'!T25</f>
        <v>0</v>
      </c>
      <c r="H25" s="334">
        <f>VLOOKUP("Natural Gas", 'GHG Emissions'!$D$2:$M$66,4,FALSE)+VLOOKUP("Natural Gas", 'GHG Emissions'!$D$2:$M$66,6,FALSE)*'eGRID subregion name'!$P$3+VLOOKUP("Natural Gas", 'GHG Emissions'!$D$2:$M$66,8,FALSE)*'eGRID subregion name'!$P$4</f>
        <v>53.114800000000002</v>
      </c>
      <c r="I25" s="334">
        <f t="shared" si="1"/>
        <v>0</v>
      </c>
      <c r="J25" s="333">
        <f>'Sch4-Cost Savings by ECM'!V25</f>
        <v>0</v>
      </c>
      <c r="K2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 s="334">
        <f t="shared" si="7"/>
        <v>0</v>
      </c>
      <c r="M25" s="333">
        <f>'Sch4-Cost Savings by ECM'!X25</f>
        <v>0</v>
      </c>
      <c r="N2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 s="334">
        <f t="shared" si="2"/>
        <v>0</v>
      </c>
      <c r="P25" s="334">
        <f t="shared" si="3"/>
        <v>0</v>
      </c>
      <c r="Q25" s="334">
        <f t="shared" si="4"/>
        <v>0</v>
      </c>
      <c r="R25" s="334">
        <f t="shared" si="5"/>
        <v>0</v>
      </c>
      <c r="S25" s="375"/>
    </row>
    <row r="26" spans="1:19" ht="16.5" thickBot="1">
      <c r="A26" s="40" t="str">
        <f>IF('Sch2a-Imp Price by ECM'!B27="","",'Sch2a-Imp Price by ECM'!B27)</f>
        <v/>
      </c>
      <c r="B26" s="76" t="str">
        <f>IF('Sch2a-Imp Price by ECM'!D27="","",'Sch2a-Imp Price by ECM'!D27)</f>
        <v/>
      </c>
      <c r="C26" s="331" t="s">
        <v>333</v>
      </c>
      <c r="D26" s="332">
        <f>'Sch4-Cost Savings by ECM'!P26</f>
        <v>0</v>
      </c>
      <c r="E26" s="376">
        <f>VLOOKUP(C26,'eGRID subregion name'!$A$2:$N$30,8,0)</f>
        <v>189.83531623683197</v>
      </c>
      <c r="F26" s="376">
        <f t="shared" si="6"/>
        <v>0</v>
      </c>
      <c r="G26" s="333">
        <f>'Sch4-Cost Savings by ECM'!T26</f>
        <v>0</v>
      </c>
      <c r="H26" s="334">
        <f>VLOOKUP("Natural Gas", 'GHG Emissions'!$D$2:$M$66,4,FALSE)+VLOOKUP("Natural Gas", 'GHG Emissions'!$D$2:$M$66,6,FALSE)*'eGRID subregion name'!$P$3+VLOOKUP("Natural Gas", 'GHG Emissions'!$D$2:$M$66,8,FALSE)*'eGRID subregion name'!$P$4</f>
        <v>53.114800000000002</v>
      </c>
      <c r="I26" s="334">
        <f t="shared" si="1"/>
        <v>0</v>
      </c>
      <c r="J26" s="333">
        <f>'Sch4-Cost Savings by ECM'!V26</f>
        <v>0</v>
      </c>
      <c r="K2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6" s="334">
        <f t="shared" si="7"/>
        <v>0</v>
      </c>
      <c r="M26" s="333">
        <f>'Sch4-Cost Savings by ECM'!X26</f>
        <v>0</v>
      </c>
      <c r="N2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6" s="334">
        <f t="shared" si="2"/>
        <v>0</v>
      </c>
      <c r="P26" s="334">
        <f t="shared" si="3"/>
        <v>0</v>
      </c>
      <c r="Q26" s="334">
        <f t="shared" si="4"/>
        <v>0</v>
      </c>
      <c r="R26" s="334">
        <f t="shared" si="5"/>
        <v>0</v>
      </c>
      <c r="S26" s="375"/>
    </row>
    <row r="27" spans="1:19" ht="16.5" thickBot="1">
      <c r="A27" s="40" t="str">
        <f>IF('Sch2a-Imp Price by ECM'!B28="","",'Sch2a-Imp Price by ECM'!B28)</f>
        <v/>
      </c>
      <c r="B27" s="76" t="str">
        <f>IF('Sch2a-Imp Price by ECM'!D28="","",'Sch2a-Imp Price by ECM'!D28)</f>
        <v/>
      </c>
      <c r="C27" s="331" t="s">
        <v>333</v>
      </c>
      <c r="D27" s="332">
        <f>'Sch4-Cost Savings by ECM'!P27</f>
        <v>0</v>
      </c>
      <c r="E27" s="376">
        <f>VLOOKUP(C27,'eGRID subregion name'!$A$2:$N$30,8,0)</f>
        <v>189.83531623683197</v>
      </c>
      <c r="F27" s="376">
        <f t="shared" si="6"/>
        <v>0</v>
      </c>
      <c r="G27" s="333">
        <f>'Sch4-Cost Savings by ECM'!T27</f>
        <v>0</v>
      </c>
      <c r="H27" s="334">
        <f>VLOOKUP("Natural Gas", 'GHG Emissions'!$D$2:$M$66,4,FALSE)+VLOOKUP("Natural Gas", 'GHG Emissions'!$D$2:$M$66,6,FALSE)*'eGRID subregion name'!$P$3+VLOOKUP("Natural Gas", 'GHG Emissions'!$D$2:$M$66,8,FALSE)*'eGRID subregion name'!$P$4</f>
        <v>53.114800000000002</v>
      </c>
      <c r="I27" s="334">
        <f t="shared" si="1"/>
        <v>0</v>
      </c>
      <c r="J27" s="333">
        <f>'Sch4-Cost Savings by ECM'!V27</f>
        <v>0</v>
      </c>
      <c r="K2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7" s="334">
        <f t="shared" si="7"/>
        <v>0</v>
      </c>
      <c r="M27" s="333">
        <f>'Sch4-Cost Savings by ECM'!X27</f>
        <v>0</v>
      </c>
      <c r="N2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7" s="334">
        <f t="shared" si="2"/>
        <v>0</v>
      </c>
      <c r="P27" s="334">
        <f t="shared" si="3"/>
        <v>0</v>
      </c>
      <c r="Q27" s="334">
        <f t="shared" si="4"/>
        <v>0</v>
      </c>
      <c r="R27" s="334">
        <f t="shared" si="5"/>
        <v>0</v>
      </c>
      <c r="S27" s="375"/>
    </row>
    <row r="28" spans="1:19" ht="16.5" thickBot="1">
      <c r="A28" s="40" t="str">
        <f>IF('Sch2a-Imp Price by ECM'!B29="","",'Sch2a-Imp Price by ECM'!B29)</f>
        <v/>
      </c>
      <c r="B28" s="76" t="str">
        <f>IF('Sch2a-Imp Price by ECM'!D29="","",'Sch2a-Imp Price by ECM'!D29)</f>
        <v/>
      </c>
      <c r="C28" s="331" t="s">
        <v>333</v>
      </c>
      <c r="D28" s="332">
        <f>'Sch4-Cost Savings by ECM'!P28</f>
        <v>0</v>
      </c>
      <c r="E28" s="376">
        <f>VLOOKUP(C28,'eGRID subregion name'!$A$2:$N$30,8,0)</f>
        <v>189.83531623683197</v>
      </c>
      <c r="F28" s="376">
        <f t="shared" si="6"/>
        <v>0</v>
      </c>
      <c r="G28" s="333">
        <f>'Sch4-Cost Savings by ECM'!T28</f>
        <v>0</v>
      </c>
      <c r="H28" s="334">
        <f>VLOOKUP("Natural Gas", 'GHG Emissions'!$D$2:$M$66,4,FALSE)+VLOOKUP("Natural Gas", 'GHG Emissions'!$D$2:$M$66,6,FALSE)*'eGRID subregion name'!$P$3+VLOOKUP("Natural Gas", 'GHG Emissions'!$D$2:$M$66,8,FALSE)*'eGRID subregion name'!$P$4</f>
        <v>53.114800000000002</v>
      </c>
      <c r="I28" s="334">
        <f t="shared" si="1"/>
        <v>0</v>
      </c>
      <c r="J28" s="333">
        <f>'Sch4-Cost Savings by ECM'!V28</f>
        <v>0</v>
      </c>
      <c r="K2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8" s="334">
        <f t="shared" si="7"/>
        <v>0</v>
      </c>
      <c r="M28" s="333">
        <f>'Sch4-Cost Savings by ECM'!X28</f>
        <v>0</v>
      </c>
      <c r="N2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8" s="334">
        <f t="shared" si="2"/>
        <v>0</v>
      </c>
      <c r="P28" s="334">
        <f t="shared" si="3"/>
        <v>0</v>
      </c>
      <c r="Q28" s="334">
        <f t="shared" si="4"/>
        <v>0</v>
      </c>
      <c r="R28" s="334">
        <f t="shared" si="5"/>
        <v>0</v>
      </c>
      <c r="S28" s="375"/>
    </row>
    <row r="29" spans="1:19" ht="16.5" thickBot="1">
      <c r="A29" s="40" t="str">
        <f>IF('Sch2a-Imp Price by ECM'!B30="","",'Sch2a-Imp Price by ECM'!B30)</f>
        <v/>
      </c>
      <c r="B29" s="76" t="str">
        <f>IF('Sch2a-Imp Price by ECM'!D30="","",'Sch2a-Imp Price by ECM'!D30)</f>
        <v/>
      </c>
      <c r="C29" s="331" t="s">
        <v>333</v>
      </c>
      <c r="D29" s="332">
        <f>'Sch4-Cost Savings by ECM'!P29</f>
        <v>0</v>
      </c>
      <c r="E29" s="376">
        <f>VLOOKUP(C29,'eGRID subregion name'!$A$2:$N$30,8,0)</f>
        <v>189.83531623683197</v>
      </c>
      <c r="F29" s="376">
        <f t="shared" si="6"/>
        <v>0</v>
      </c>
      <c r="G29" s="333">
        <f>'Sch4-Cost Savings by ECM'!T29</f>
        <v>0</v>
      </c>
      <c r="H29" s="334">
        <f>VLOOKUP("Natural Gas", 'GHG Emissions'!$D$2:$M$66,4,FALSE)+VLOOKUP("Natural Gas", 'GHG Emissions'!$D$2:$M$66,6,FALSE)*'eGRID subregion name'!$P$3+VLOOKUP("Natural Gas", 'GHG Emissions'!$D$2:$M$66,8,FALSE)*'eGRID subregion name'!$P$4</f>
        <v>53.114800000000002</v>
      </c>
      <c r="I29" s="334">
        <f t="shared" si="1"/>
        <v>0</v>
      </c>
      <c r="J29" s="333">
        <f>'Sch4-Cost Savings by ECM'!V29</f>
        <v>0</v>
      </c>
      <c r="K2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9" s="334">
        <f t="shared" si="7"/>
        <v>0</v>
      </c>
      <c r="M29" s="333">
        <f>'Sch4-Cost Savings by ECM'!X29</f>
        <v>0</v>
      </c>
      <c r="N2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9" s="334">
        <f t="shared" si="2"/>
        <v>0</v>
      </c>
      <c r="P29" s="334">
        <f t="shared" si="3"/>
        <v>0</v>
      </c>
      <c r="Q29" s="334">
        <f t="shared" si="4"/>
        <v>0</v>
      </c>
      <c r="R29" s="334">
        <f t="shared" si="5"/>
        <v>0</v>
      </c>
      <c r="S29" s="375"/>
    </row>
    <row r="30" spans="1:19" ht="16.5" thickBot="1">
      <c r="A30" s="40" t="str">
        <f>IF('Sch2a-Imp Price by ECM'!B31="","",'Sch2a-Imp Price by ECM'!B31)</f>
        <v/>
      </c>
      <c r="B30" s="76" t="str">
        <f>IF('Sch2a-Imp Price by ECM'!D31="","",'Sch2a-Imp Price by ECM'!D31)</f>
        <v/>
      </c>
      <c r="C30" s="331" t="s">
        <v>333</v>
      </c>
      <c r="D30" s="332">
        <f>'Sch4-Cost Savings by ECM'!P30</f>
        <v>0</v>
      </c>
      <c r="E30" s="376">
        <f>VLOOKUP(C30,'eGRID subregion name'!$A$2:$N$30,8,0)</f>
        <v>189.83531623683197</v>
      </c>
      <c r="F30" s="376">
        <f t="shared" si="6"/>
        <v>0</v>
      </c>
      <c r="G30" s="333">
        <f>'Sch4-Cost Savings by ECM'!T30</f>
        <v>0</v>
      </c>
      <c r="H30" s="334">
        <f>VLOOKUP("Natural Gas", 'GHG Emissions'!$D$2:$M$66,4,FALSE)+VLOOKUP("Natural Gas", 'GHG Emissions'!$D$2:$M$66,6,FALSE)*'eGRID subregion name'!$P$3+VLOOKUP("Natural Gas", 'GHG Emissions'!$D$2:$M$66,8,FALSE)*'eGRID subregion name'!$P$4</f>
        <v>53.114800000000002</v>
      </c>
      <c r="I30" s="334">
        <f t="shared" si="1"/>
        <v>0</v>
      </c>
      <c r="J30" s="333">
        <f>'Sch4-Cost Savings by ECM'!V30</f>
        <v>0</v>
      </c>
      <c r="K3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0" s="334">
        <f t="shared" si="7"/>
        <v>0</v>
      </c>
      <c r="M30" s="333">
        <f>'Sch4-Cost Savings by ECM'!X30</f>
        <v>0</v>
      </c>
      <c r="N3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0" s="334">
        <f t="shared" si="2"/>
        <v>0</v>
      </c>
      <c r="P30" s="334">
        <f t="shared" si="3"/>
        <v>0</v>
      </c>
      <c r="Q30" s="334">
        <f t="shared" si="4"/>
        <v>0</v>
      </c>
      <c r="R30" s="334">
        <f t="shared" si="5"/>
        <v>0</v>
      </c>
      <c r="S30" s="375"/>
    </row>
    <row r="31" spans="1:19" ht="16.5" thickBot="1">
      <c r="A31" s="40" t="str">
        <f>IF('Sch2a-Imp Price by ECM'!B32="","",'Sch2a-Imp Price by ECM'!B32)</f>
        <v/>
      </c>
      <c r="B31" s="76" t="str">
        <f>IF('Sch2a-Imp Price by ECM'!D32="","",'Sch2a-Imp Price by ECM'!D32)</f>
        <v/>
      </c>
      <c r="C31" s="331" t="s">
        <v>333</v>
      </c>
      <c r="D31" s="332">
        <f>'Sch4-Cost Savings by ECM'!P31</f>
        <v>0</v>
      </c>
      <c r="E31" s="376">
        <f>VLOOKUP(C31,'eGRID subregion name'!$A$2:$N$30,8,0)</f>
        <v>189.83531623683197</v>
      </c>
      <c r="F31" s="376">
        <f t="shared" si="6"/>
        <v>0</v>
      </c>
      <c r="G31" s="333">
        <f>'Sch4-Cost Savings by ECM'!T31</f>
        <v>0</v>
      </c>
      <c r="H31" s="334">
        <f>VLOOKUP("Natural Gas", 'GHG Emissions'!$D$2:$M$66,4,FALSE)+VLOOKUP("Natural Gas", 'GHG Emissions'!$D$2:$M$66,6,FALSE)*'eGRID subregion name'!$P$3+VLOOKUP("Natural Gas", 'GHG Emissions'!$D$2:$M$66,8,FALSE)*'eGRID subregion name'!$P$4</f>
        <v>53.114800000000002</v>
      </c>
      <c r="I31" s="334">
        <f t="shared" si="1"/>
        <v>0</v>
      </c>
      <c r="J31" s="333">
        <f>'Sch4-Cost Savings by ECM'!V31</f>
        <v>0</v>
      </c>
      <c r="K3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1" s="334">
        <f t="shared" si="7"/>
        <v>0</v>
      </c>
      <c r="M31" s="333">
        <f>'Sch4-Cost Savings by ECM'!X31</f>
        <v>0</v>
      </c>
      <c r="N3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1" s="334">
        <f t="shared" si="2"/>
        <v>0</v>
      </c>
      <c r="P31" s="334">
        <f t="shared" si="3"/>
        <v>0</v>
      </c>
      <c r="Q31" s="334">
        <f t="shared" si="4"/>
        <v>0</v>
      </c>
      <c r="R31" s="334">
        <f t="shared" si="5"/>
        <v>0</v>
      </c>
    </row>
    <row r="32" spans="1:19" ht="16.5" thickBot="1">
      <c r="A32" s="40" t="str">
        <f>IF('Sch2a-Imp Price by ECM'!B33="","",'Sch2a-Imp Price by ECM'!B33)</f>
        <v/>
      </c>
      <c r="B32" s="76" t="str">
        <f>IF('Sch2a-Imp Price by ECM'!D33="","",'Sch2a-Imp Price by ECM'!D33)</f>
        <v/>
      </c>
      <c r="C32" s="331" t="s">
        <v>333</v>
      </c>
      <c r="D32" s="332">
        <f>'Sch4-Cost Savings by ECM'!P32</f>
        <v>0</v>
      </c>
      <c r="E32" s="376">
        <f>VLOOKUP(C32,'eGRID subregion name'!$A$2:$N$30,8,0)</f>
        <v>189.83531623683197</v>
      </c>
      <c r="F32" s="376">
        <f t="shared" si="6"/>
        <v>0</v>
      </c>
      <c r="G32" s="333">
        <f>'Sch4-Cost Savings by ECM'!T32</f>
        <v>0</v>
      </c>
      <c r="H32" s="334">
        <f>VLOOKUP("Natural Gas", 'GHG Emissions'!$D$2:$M$66,4,FALSE)+VLOOKUP("Natural Gas", 'GHG Emissions'!$D$2:$M$66,6,FALSE)*'eGRID subregion name'!$P$3+VLOOKUP("Natural Gas", 'GHG Emissions'!$D$2:$M$66,8,FALSE)*'eGRID subregion name'!$P$4</f>
        <v>53.114800000000002</v>
      </c>
      <c r="I32" s="334">
        <f t="shared" si="1"/>
        <v>0</v>
      </c>
      <c r="J32" s="333">
        <f>'Sch4-Cost Savings by ECM'!V32</f>
        <v>0</v>
      </c>
      <c r="K3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2" s="334">
        <f t="shared" si="7"/>
        <v>0</v>
      </c>
      <c r="M32" s="333">
        <f>'Sch4-Cost Savings by ECM'!X32</f>
        <v>0</v>
      </c>
      <c r="N3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2" s="334">
        <f t="shared" si="2"/>
        <v>0</v>
      </c>
      <c r="P32" s="334">
        <f t="shared" si="3"/>
        <v>0</v>
      </c>
      <c r="Q32" s="334">
        <f t="shared" si="4"/>
        <v>0</v>
      </c>
      <c r="R32" s="334">
        <f t="shared" si="5"/>
        <v>0</v>
      </c>
    </row>
    <row r="33" spans="1:18" ht="16.5" thickBot="1">
      <c r="A33" s="40" t="str">
        <f>IF('Sch2a-Imp Price by ECM'!B34="","",'Sch2a-Imp Price by ECM'!B34)</f>
        <v/>
      </c>
      <c r="B33" s="76" t="str">
        <f>IF('Sch2a-Imp Price by ECM'!D34="","",'Sch2a-Imp Price by ECM'!D34)</f>
        <v/>
      </c>
      <c r="C33" s="331" t="s">
        <v>333</v>
      </c>
      <c r="D33" s="332">
        <f>'Sch4-Cost Savings by ECM'!P33</f>
        <v>0</v>
      </c>
      <c r="E33" s="376">
        <f>VLOOKUP(C33,'eGRID subregion name'!$A$2:$N$30,8,0)</f>
        <v>189.83531623683197</v>
      </c>
      <c r="F33" s="376">
        <f t="shared" si="6"/>
        <v>0</v>
      </c>
      <c r="G33" s="333">
        <f>'Sch4-Cost Savings by ECM'!T33</f>
        <v>0</v>
      </c>
      <c r="H33" s="334">
        <f>VLOOKUP("Natural Gas", 'GHG Emissions'!$D$2:$M$66,4,FALSE)+VLOOKUP("Natural Gas", 'GHG Emissions'!$D$2:$M$66,6,FALSE)*'eGRID subregion name'!$P$3+VLOOKUP("Natural Gas", 'GHG Emissions'!$D$2:$M$66,8,FALSE)*'eGRID subregion name'!$P$4</f>
        <v>53.114800000000002</v>
      </c>
      <c r="I33" s="334">
        <f t="shared" si="1"/>
        <v>0</v>
      </c>
      <c r="J33" s="333">
        <f>'Sch4-Cost Savings by ECM'!V33</f>
        <v>0</v>
      </c>
      <c r="K3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3" s="334">
        <f t="shared" si="7"/>
        <v>0</v>
      </c>
      <c r="M33" s="333">
        <f>'Sch4-Cost Savings by ECM'!X33</f>
        <v>0</v>
      </c>
      <c r="N3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3" s="334">
        <f t="shared" si="2"/>
        <v>0</v>
      </c>
      <c r="P33" s="334">
        <f t="shared" si="3"/>
        <v>0</v>
      </c>
      <c r="Q33" s="334">
        <f t="shared" si="4"/>
        <v>0</v>
      </c>
      <c r="R33" s="334">
        <f t="shared" si="5"/>
        <v>0</v>
      </c>
    </row>
    <row r="34" spans="1:18" ht="18" customHeight="1" thickBot="1">
      <c r="A34" s="40" t="str">
        <f>IF('Sch2a-Imp Price by ECM'!B35="","",'Sch2a-Imp Price by ECM'!B35)</f>
        <v/>
      </c>
      <c r="B34" s="76" t="str">
        <f>IF('Sch2a-Imp Price by ECM'!D35="","",'Sch2a-Imp Price by ECM'!D35)</f>
        <v/>
      </c>
      <c r="C34" s="331" t="s">
        <v>333</v>
      </c>
      <c r="D34" s="332">
        <f>'Sch4-Cost Savings by ECM'!P34</f>
        <v>0</v>
      </c>
      <c r="E34" s="376">
        <f>VLOOKUP(C34,'eGRID subregion name'!$A$2:$N$30,8,0)</f>
        <v>189.83531623683197</v>
      </c>
      <c r="F34" s="376">
        <f t="shared" si="6"/>
        <v>0</v>
      </c>
      <c r="G34" s="333">
        <f>'Sch4-Cost Savings by ECM'!T34</f>
        <v>0</v>
      </c>
      <c r="H34" s="334">
        <f>VLOOKUP("Natural Gas", 'GHG Emissions'!$D$2:$M$66,4,FALSE)+VLOOKUP("Natural Gas", 'GHG Emissions'!$D$2:$M$66,6,FALSE)*'eGRID subregion name'!$P$3+VLOOKUP("Natural Gas", 'GHG Emissions'!$D$2:$M$66,8,FALSE)*'eGRID subregion name'!$P$4</f>
        <v>53.114800000000002</v>
      </c>
      <c r="I34" s="334">
        <f t="shared" si="1"/>
        <v>0</v>
      </c>
      <c r="J34" s="333">
        <f>'Sch4-Cost Savings by ECM'!V34</f>
        <v>0</v>
      </c>
      <c r="K3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4" s="334">
        <f t="shared" si="7"/>
        <v>0</v>
      </c>
      <c r="M34" s="333">
        <f>'Sch4-Cost Savings by ECM'!X34</f>
        <v>0</v>
      </c>
      <c r="N3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4" s="334">
        <f t="shared" si="2"/>
        <v>0</v>
      </c>
      <c r="P34" s="334">
        <f t="shared" si="3"/>
        <v>0</v>
      </c>
      <c r="Q34" s="334">
        <f t="shared" si="4"/>
        <v>0</v>
      </c>
      <c r="R34" s="334">
        <f t="shared" si="5"/>
        <v>0</v>
      </c>
    </row>
    <row r="35" spans="1:18" ht="16.5" thickBot="1">
      <c r="A35" s="40" t="str">
        <f>IF('Sch2a-Imp Price by ECM'!B36="","",'Sch2a-Imp Price by ECM'!B36)</f>
        <v/>
      </c>
      <c r="B35" s="76" t="str">
        <f>IF('Sch2a-Imp Price by ECM'!D36="","",'Sch2a-Imp Price by ECM'!D36)</f>
        <v/>
      </c>
      <c r="C35" s="331" t="s">
        <v>333</v>
      </c>
      <c r="D35" s="332">
        <f>'Sch4-Cost Savings by ECM'!P35</f>
        <v>0</v>
      </c>
      <c r="E35" s="376">
        <f>VLOOKUP(C35,'eGRID subregion name'!$A$2:$N$30,8,0)</f>
        <v>189.83531623683197</v>
      </c>
      <c r="F35" s="376">
        <f t="shared" si="6"/>
        <v>0</v>
      </c>
      <c r="G35" s="333">
        <f>'Sch4-Cost Savings by ECM'!T35</f>
        <v>0</v>
      </c>
      <c r="H35" s="334">
        <f>VLOOKUP("Natural Gas", 'GHG Emissions'!$D$2:$M$66,4,FALSE)+VLOOKUP("Natural Gas", 'GHG Emissions'!$D$2:$M$66,6,FALSE)*'eGRID subregion name'!$P$3+VLOOKUP("Natural Gas", 'GHG Emissions'!$D$2:$M$66,8,FALSE)*'eGRID subregion name'!$P$4</f>
        <v>53.114800000000002</v>
      </c>
      <c r="I35" s="334">
        <f t="shared" si="1"/>
        <v>0</v>
      </c>
      <c r="J35" s="333">
        <f>'Sch4-Cost Savings by ECM'!V35</f>
        <v>0</v>
      </c>
      <c r="K3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5" s="334">
        <f t="shared" si="7"/>
        <v>0</v>
      </c>
      <c r="M35" s="333">
        <f>'Sch4-Cost Savings by ECM'!X35</f>
        <v>0</v>
      </c>
      <c r="N3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5" s="334">
        <f t="shared" si="2"/>
        <v>0</v>
      </c>
      <c r="P35" s="334">
        <f t="shared" si="3"/>
        <v>0</v>
      </c>
      <c r="Q35" s="334">
        <f t="shared" si="4"/>
        <v>0</v>
      </c>
      <c r="R35" s="334">
        <f t="shared" si="5"/>
        <v>0</v>
      </c>
    </row>
    <row r="36" spans="1:18" ht="16.5" thickBot="1">
      <c r="A36" s="40" t="str">
        <f>IF('Sch2a-Imp Price by ECM'!B37="","",'Sch2a-Imp Price by ECM'!B37)</f>
        <v/>
      </c>
      <c r="B36" s="76" t="str">
        <f>IF('Sch2a-Imp Price by ECM'!D37="","",'Sch2a-Imp Price by ECM'!D37)</f>
        <v/>
      </c>
      <c r="C36" s="331" t="s">
        <v>333</v>
      </c>
      <c r="D36" s="332">
        <f>'Sch4-Cost Savings by ECM'!P36</f>
        <v>0</v>
      </c>
      <c r="E36" s="376">
        <f>VLOOKUP(C36,'eGRID subregion name'!$A$2:$N$30,8,0)</f>
        <v>189.83531623683197</v>
      </c>
      <c r="F36" s="376">
        <f t="shared" si="6"/>
        <v>0</v>
      </c>
      <c r="G36" s="333">
        <f>'Sch4-Cost Savings by ECM'!T36</f>
        <v>0</v>
      </c>
      <c r="H36" s="334">
        <f>VLOOKUP("Natural Gas", 'GHG Emissions'!$D$2:$M$66,4,FALSE)+VLOOKUP("Natural Gas", 'GHG Emissions'!$D$2:$M$66,6,FALSE)*'eGRID subregion name'!$P$3+VLOOKUP("Natural Gas", 'GHG Emissions'!$D$2:$M$66,8,FALSE)*'eGRID subregion name'!$P$4</f>
        <v>53.114800000000002</v>
      </c>
      <c r="I36" s="334">
        <f t="shared" si="1"/>
        <v>0</v>
      </c>
      <c r="J36" s="333">
        <f>'Sch4-Cost Savings by ECM'!V36</f>
        <v>0</v>
      </c>
      <c r="K3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6" s="334">
        <f t="shared" si="7"/>
        <v>0</v>
      </c>
      <c r="M36" s="333">
        <f>'Sch4-Cost Savings by ECM'!X36</f>
        <v>0</v>
      </c>
      <c r="N3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6" s="334">
        <f t="shared" si="2"/>
        <v>0</v>
      </c>
      <c r="P36" s="334">
        <f t="shared" si="3"/>
        <v>0</v>
      </c>
      <c r="Q36" s="334">
        <f t="shared" si="4"/>
        <v>0</v>
      </c>
      <c r="R36" s="334">
        <f t="shared" si="5"/>
        <v>0</v>
      </c>
    </row>
    <row r="37" spans="1:18" ht="16.5" thickBot="1">
      <c r="A37" s="40" t="str">
        <f>IF('Sch2a-Imp Price by ECM'!B38="","",'Sch2a-Imp Price by ECM'!B38)</f>
        <v/>
      </c>
      <c r="B37" s="76" t="str">
        <f>IF('Sch2a-Imp Price by ECM'!D38="","",'Sch2a-Imp Price by ECM'!D38)</f>
        <v/>
      </c>
      <c r="C37" s="331" t="s">
        <v>333</v>
      </c>
      <c r="D37" s="332">
        <f>'Sch4-Cost Savings by ECM'!P37</f>
        <v>0</v>
      </c>
      <c r="E37" s="376">
        <f>VLOOKUP(C37,'eGRID subregion name'!$A$2:$N$30,8,0)</f>
        <v>189.83531623683197</v>
      </c>
      <c r="F37" s="376">
        <f t="shared" si="6"/>
        <v>0</v>
      </c>
      <c r="G37" s="333">
        <f>'Sch4-Cost Savings by ECM'!T37</f>
        <v>0</v>
      </c>
      <c r="H37" s="334">
        <f>VLOOKUP("Natural Gas", 'GHG Emissions'!$D$2:$M$66,4,FALSE)+VLOOKUP("Natural Gas", 'GHG Emissions'!$D$2:$M$66,6,FALSE)*'eGRID subregion name'!$P$3+VLOOKUP("Natural Gas", 'GHG Emissions'!$D$2:$M$66,8,FALSE)*'eGRID subregion name'!$P$4</f>
        <v>53.114800000000002</v>
      </c>
      <c r="I37" s="334">
        <f t="shared" si="1"/>
        <v>0</v>
      </c>
      <c r="J37" s="333">
        <f>'Sch4-Cost Savings by ECM'!V37</f>
        <v>0</v>
      </c>
      <c r="K3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7" s="334">
        <f t="shared" si="7"/>
        <v>0</v>
      </c>
      <c r="M37" s="333">
        <f>'Sch4-Cost Savings by ECM'!X37</f>
        <v>0</v>
      </c>
      <c r="N3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7" s="334">
        <f t="shared" si="2"/>
        <v>0</v>
      </c>
      <c r="P37" s="334">
        <f t="shared" si="3"/>
        <v>0</v>
      </c>
      <c r="Q37" s="334">
        <f t="shared" si="4"/>
        <v>0</v>
      </c>
      <c r="R37" s="334">
        <f t="shared" si="5"/>
        <v>0</v>
      </c>
    </row>
    <row r="38" spans="1:18" ht="16.5" thickBot="1">
      <c r="A38" s="40" t="str">
        <f>IF('Sch2a-Imp Price by ECM'!B39="","",'Sch2a-Imp Price by ECM'!B39)</f>
        <v/>
      </c>
      <c r="B38" s="76" t="str">
        <f>IF('Sch2a-Imp Price by ECM'!D39="","",'Sch2a-Imp Price by ECM'!D39)</f>
        <v/>
      </c>
      <c r="C38" s="331" t="s">
        <v>333</v>
      </c>
      <c r="D38" s="332">
        <f>'Sch4-Cost Savings by ECM'!P38</f>
        <v>0</v>
      </c>
      <c r="E38" s="376">
        <f>VLOOKUP(C38,'eGRID subregion name'!$A$2:$N$30,8,0)</f>
        <v>189.83531623683197</v>
      </c>
      <c r="F38" s="376">
        <f t="shared" si="6"/>
        <v>0</v>
      </c>
      <c r="G38" s="333">
        <f>'Sch4-Cost Savings by ECM'!T38</f>
        <v>0</v>
      </c>
      <c r="H38" s="334">
        <f>VLOOKUP("Natural Gas", 'GHG Emissions'!$D$2:$M$66,4,FALSE)+VLOOKUP("Natural Gas", 'GHG Emissions'!$D$2:$M$66,6,FALSE)*'eGRID subregion name'!$P$3+VLOOKUP("Natural Gas", 'GHG Emissions'!$D$2:$M$66,8,FALSE)*'eGRID subregion name'!$P$4</f>
        <v>53.114800000000002</v>
      </c>
      <c r="I38" s="334">
        <f t="shared" si="1"/>
        <v>0</v>
      </c>
      <c r="J38" s="333">
        <f>'Sch4-Cost Savings by ECM'!V38</f>
        <v>0</v>
      </c>
      <c r="K3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8" s="334">
        <f t="shared" si="7"/>
        <v>0</v>
      </c>
      <c r="M38" s="333">
        <f>'Sch4-Cost Savings by ECM'!X38</f>
        <v>0</v>
      </c>
      <c r="N3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8" s="334">
        <f t="shared" si="2"/>
        <v>0</v>
      </c>
      <c r="P38" s="334">
        <f t="shared" si="3"/>
        <v>0</v>
      </c>
      <c r="Q38" s="334">
        <f t="shared" si="4"/>
        <v>0</v>
      </c>
      <c r="R38" s="334">
        <f t="shared" si="5"/>
        <v>0</v>
      </c>
    </row>
    <row r="39" spans="1:18" ht="16.5" thickBot="1">
      <c r="A39" s="40" t="str">
        <f>IF('Sch2a-Imp Price by ECM'!B40="","",'Sch2a-Imp Price by ECM'!B40)</f>
        <v/>
      </c>
      <c r="B39" s="76" t="str">
        <f>IF('Sch2a-Imp Price by ECM'!D40="","",'Sch2a-Imp Price by ECM'!D40)</f>
        <v/>
      </c>
      <c r="C39" s="331" t="s">
        <v>333</v>
      </c>
      <c r="D39" s="332">
        <f>'Sch4-Cost Savings by ECM'!P39</f>
        <v>0</v>
      </c>
      <c r="E39" s="376">
        <f>VLOOKUP(C39,'eGRID subregion name'!$A$2:$N$30,8,0)</f>
        <v>189.83531623683197</v>
      </c>
      <c r="F39" s="376">
        <f t="shared" si="6"/>
        <v>0</v>
      </c>
      <c r="G39" s="333">
        <f>'Sch4-Cost Savings by ECM'!T39</f>
        <v>0</v>
      </c>
      <c r="H39" s="334">
        <f>VLOOKUP("Natural Gas", 'GHG Emissions'!$D$2:$M$66,4,FALSE)+VLOOKUP("Natural Gas", 'GHG Emissions'!$D$2:$M$66,6,FALSE)*'eGRID subregion name'!$P$3+VLOOKUP("Natural Gas", 'GHG Emissions'!$D$2:$M$66,8,FALSE)*'eGRID subregion name'!$P$4</f>
        <v>53.114800000000002</v>
      </c>
      <c r="I39" s="334">
        <f t="shared" si="1"/>
        <v>0</v>
      </c>
      <c r="J39" s="333">
        <f>'Sch4-Cost Savings by ECM'!V39</f>
        <v>0</v>
      </c>
      <c r="K3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39" s="334">
        <f t="shared" si="7"/>
        <v>0</v>
      </c>
      <c r="M39" s="333">
        <f>'Sch4-Cost Savings by ECM'!X39</f>
        <v>0</v>
      </c>
      <c r="N3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39" s="334">
        <f t="shared" si="2"/>
        <v>0</v>
      </c>
      <c r="P39" s="334">
        <f t="shared" si="3"/>
        <v>0</v>
      </c>
      <c r="Q39" s="334">
        <f t="shared" si="4"/>
        <v>0</v>
      </c>
      <c r="R39" s="334">
        <f t="shared" si="5"/>
        <v>0</v>
      </c>
    </row>
    <row r="40" spans="1:18" ht="16.5" thickBot="1">
      <c r="A40" s="40" t="str">
        <f>IF('Sch2a-Imp Price by ECM'!B41="","",'Sch2a-Imp Price by ECM'!B41)</f>
        <v/>
      </c>
      <c r="B40" s="76" t="str">
        <f>IF('Sch2a-Imp Price by ECM'!D41="","",'Sch2a-Imp Price by ECM'!D41)</f>
        <v/>
      </c>
      <c r="C40" s="331" t="s">
        <v>333</v>
      </c>
      <c r="D40" s="332">
        <f>'Sch4-Cost Savings by ECM'!P40</f>
        <v>0</v>
      </c>
      <c r="E40" s="376">
        <f>VLOOKUP(C40,'eGRID subregion name'!$A$2:$N$30,8,0)</f>
        <v>189.83531623683197</v>
      </c>
      <c r="F40" s="376">
        <f t="shared" si="6"/>
        <v>0</v>
      </c>
      <c r="G40" s="333">
        <f>'Sch4-Cost Savings by ECM'!T40</f>
        <v>0</v>
      </c>
      <c r="H40" s="334">
        <f>VLOOKUP("Natural Gas", 'GHG Emissions'!$D$2:$M$66,4,FALSE)+VLOOKUP("Natural Gas", 'GHG Emissions'!$D$2:$M$66,6,FALSE)*'eGRID subregion name'!$P$3+VLOOKUP("Natural Gas", 'GHG Emissions'!$D$2:$M$66,8,FALSE)*'eGRID subregion name'!$P$4</f>
        <v>53.114800000000002</v>
      </c>
      <c r="I40" s="334">
        <f t="shared" si="1"/>
        <v>0</v>
      </c>
      <c r="J40" s="333">
        <f>'Sch4-Cost Savings by ECM'!V40</f>
        <v>0</v>
      </c>
      <c r="K4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0" s="334">
        <f t="shared" si="7"/>
        <v>0</v>
      </c>
      <c r="M40" s="333">
        <f>'Sch4-Cost Savings by ECM'!X40</f>
        <v>0</v>
      </c>
      <c r="N4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0" s="334">
        <f t="shared" si="2"/>
        <v>0</v>
      </c>
      <c r="P40" s="334">
        <f t="shared" si="3"/>
        <v>0</v>
      </c>
      <c r="Q40" s="334">
        <f t="shared" si="4"/>
        <v>0</v>
      </c>
      <c r="R40" s="334">
        <f t="shared" si="5"/>
        <v>0</v>
      </c>
    </row>
    <row r="41" spans="1:18" ht="16.5" thickBot="1">
      <c r="A41" s="40" t="str">
        <f>IF('Sch2a-Imp Price by ECM'!B42="","",'Sch2a-Imp Price by ECM'!B42)</f>
        <v/>
      </c>
      <c r="B41" s="76" t="str">
        <f>IF('Sch2a-Imp Price by ECM'!D42="","",'Sch2a-Imp Price by ECM'!D42)</f>
        <v/>
      </c>
      <c r="C41" s="331" t="s">
        <v>333</v>
      </c>
      <c r="D41" s="332">
        <f>'Sch4-Cost Savings by ECM'!P41</f>
        <v>0</v>
      </c>
      <c r="E41" s="376">
        <f>VLOOKUP(C41,'eGRID subregion name'!$A$2:$N$30,8,0)</f>
        <v>189.83531623683197</v>
      </c>
      <c r="F41" s="376">
        <f t="shared" si="6"/>
        <v>0</v>
      </c>
      <c r="G41" s="333">
        <f>'Sch4-Cost Savings by ECM'!T41</f>
        <v>0</v>
      </c>
      <c r="H41" s="334">
        <f>VLOOKUP("Natural Gas", 'GHG Emissions'!$D$2:$M$66,4,FALSE)+VLOOKUP("Natural Gas", 'GHG Emissions'!$D$2:$M$66,6,FALSE)*'eGRID subregion name'!$P$3+VLOOKUP("Natural Gas", 'GHG Emissions'!$D$2:$M$66,8,FALSE)*'eGRID subregion name'!$P$4</f>
        <v>53.114800000000002</v>
      </c>
      <c r="I41" s="334">
        <f t="shared" si="1"/>
        <v>0</v>
      </c>
      <c r="J41" s="333">
        <f>'Sch4-Cost Savings by ECM'!V41</f>
        <v>0</v>
      </c>
      <c r="K4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1" s="334">
        <f t="shared" si="7"/>
        <v>0</v>
      </c>
      <c r="M41" s="333">
        <f>'Sch4-Cost Savings by ECM'!X41</f>
        <v>0</v>
      </c>
      <c r="N4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1" s="334">
        <f t="shared" si="2"/>
        <v>0</v>
      </c>
      <c r="P41" s="334">
        <f t="shared" si="3"/>
        <v>0</v>
      </c>
      <c r="Q41" s="334">
        <f t="shared" si="4"/>
        <v>0</v>
      </c>
      <c r="R41" s="334">
        <f t="shared" si="5"/>
        <v>0</v>
      </c>
    </row>
    <row r="42" spans="1:18" ht="16.5" thickBot="1">
      <c r="A42" s="40" t="str">
        <f>IF('Sch2a-Imp Price by ECM'!B43="","",'Sch2a-Imp Price by ECM'!B43)</f>
        <v/>
      </c>
      <c r="B42" s="76" t="str">
        <f>IF('Sch2a-Imp Price by ECM'!D43="","",'Sch2a-Imp Price by ECM'!D43)</f>
        <v/>
      </c>
      <c r="C42" s="331" t="s">
        <v>333</v>
      </c>
      <c r="D42" s="332">
        <f>'Sch4-Cost Savings by ECM'!P42</f>
        <v>0</v>
      </c>
      <c r="E42" s="376">
        <f>VLOOKUP(C42,'eGRID subregion name'!$A$2:$N$30,8,0)</f>
        <v>189.83531623683197</v>
      </c>
      <c r="F42" s="376">
        <f t="shared" si="6"/>
        <v>0</v>
      </c>
      <c r="G42" s="333">
        <f>'Sch4-Cost Savings by ECM'!T42</f>
        <v>0</v>
      </c>
      <c r="H42" s="334">
        <f>VLOOKUP("Natural Gas", 'GHG Emissions'!$D$2:$M$66,4,FALSE)+VLOOKUP("Natural Gas", 'GHG Emissions'!$D$2:$M$66,6,FALSE)*'eGRID subregion name'!$P$3+VLOOKUP("Natural Gas", 'GHG Emissions'!$D$2:$M$66,8,FALSE)*'eGRID subregion name'!$P$4</f>
        <v>53.114800000000002</v>
      </c>
      <c r="I42" s="334">
        <f t="shared" si="1"/>
        <v>0</v>
      </c>
      <c r="J42" s="333">
        <f>'Sch4-Cost Savings by ECM'!V42</f>
        <v>0</v>
      </c>
      <c r="K4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2" s="334">
        <f t="shared" si="7"/>
        <v>0</v>
      </c>
      <c r="M42" s="333">
        <f>'Sch4-Cost Savings by ECM'!X42</f>
        <v>0</v>
      </c>
      <c r="N4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2" s="334">
        <f t="shared" si="2"/>
        <v>0</v>
      </c>
      <c r="P42" s="334">
        <f t="shared" si="3"/>
        <v>0</v>
      </c>
      <c r="Q42" s="334">
        <f t="shared" si="4"/>
        <v>0</v>
      </c>
      <c r="R42" s="334">
        <f t="shared" si="5"/>
        <v>0</v>
      </c>
    </row>
    <row r="43" spans="1:18" ht="16.5" thickBot="1">
      <c r="A43" s="40" t="str">
        <f>IF('Sch2a-Imp Price by ECM'!B44="","",'Sch2a-Imp Price by ECM'!B44)</f>
        <v/>
      </c>
      <c r="B43" s="76" t="str">
        <f>IF('Sch2a-Imp Price by ECM'!D44="","",'Sch2a-Imp Price by ECM'!D44)</f>
        <v/>
      </c>
      <c r="C43" s="331" t="s">
        <v>333</v>
      </c>
      <c r="D43" s="332">
        <f>'Sch4-Cost Savings by ECM'!P43</f>
        <v>0</v>
      </c>
      <c r="E43" s="376">
        <f>VLOOKUP(C43,'eGRID subregion name'!$A$2:$N$30,8,0)</f>
        <v>189.83531623683197</v>
      </c>
      <c r="F43" s="376">
        <f t="shared" si="6"/>
        <v>0</v>
      </c>
      <c r="G43" s="333">
        <f>'Sch4-Cost Savings by ECM'!T43</f>
        <v>0</v>
      </c>
      <c r="H43" s="334">
        <f>VLOOKUP("Natural Gas", 'GHG Emissions'!$D$2:$M$66,4,FALSE)+VLOOKUP("Natural Gas", 'GHG Emissions'!$D$2:$M$66,6,FALSE)*'eGRID subregion name'!$P$3+VLOOKUP("Natural Gas", 'GHG Emissions'!$D$2:$M$66,8,FALSE)*'eGRID subregion name'!$P$4</f>
        <v>53.114800000000002</v>
      </c>
      <c r="I43" s="334">
        <f t="shared" si="1"/>
        <v>0</v>
      </c>
      <c r="J43" s="333">
        <f>'Sch4-Cost Savings by ECM'!V43</f>
        <v>0</v>
      </c>
      <c r="K4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3" s="334">
        <f t="shared" si="7"/>
        <v>0</v>
      </c>
      <c r="M43" s="333">
        <f>'Sch4-Cost Savings by ECM'!X43</f>
        <v>0</v>
      </c>
      <c r="N4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3" s="334">
        <f t="shared" si="2"/>
        <v>0</v>
      </c>
      <c r="P43" s="334">
        <f t="shared" si="3"/>
        <v>0</v>
      </c>
      <c r="Q43" s="334">
        <f t="shared" si="4"/>
        <v>0</v>
      </c>
      <c r="R43" s="334">
        <f t="shared" si="5"/>
        <v>0</v>
      </c>
    </row>
    <row r="44" spans="1:18" ht="16.5" thickBot="1">
      <c r="A44" s="40" t="str">
        <f>IF('Sch2a-Imp Price by ECM'!B45="","",'Sch2a-Imp Price by ECM'!B45)</f>
        <v/>
      </c>
      <c r="B44" s="76" t="str">
        <f>IF('Sch2a-Imp Price by ECM'!D45="","",'Sch2a-Imp Price by ECM'!D45)</f>
        <v/>
      </c>
      <c r="C44" s="331" t="s">
        <v>333</v>
      </c>
      <c r="D44" s="332">
        <f>'Sch4-Cost Savings by ECM'!P44</f>
        <v>0</v>
      </c>
      <c r="E44" s="376">
        <f>VLOOKUP(C44,'eGRID subregion name'!$A$2:$N$30,8,0)</f>
        <v>189.83531623683197</v>
      </c>
      <c r="F44" s="376">
        <f t="shared" si="6"/>
        <v>0</v>
      </c>
      <c r="G44" s="333">
        <f>'Sch4-Cost Savings by ECM'!T44</f>
        <v>0</v>
      </c>
      <c r="H44" s="334">
        <f>VLOOKUP("Natural Gas", 'GHG Emissions'!$D$2:$M$66,4,FALSE)+VLOOKUP("Natural Gas", 'GHG Emissions'!$D$2:$M$66,6,FALSE)*'eGRID subregion name'!$P$3+VLOOKUP("Natural Gas", 'GHG Emissions'!$D$2:$M$66,8,FALSE)*'eGRID subregion name'!$P$4</f>
        <v>53.114800000000002</v>
      </c>
      <c r="I44" s="334">
        <f t="shared" si="1"/>
        <v>0</v>
      </c>
      <c r="J44" s="333">
        <f>'Sch4-Cost Savings by ECM'!V44</f>
        <v>0</v>
      </c>
      <c r="K4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4" s="334">
        <f t="shared" si="7"/>
        <v>0</v>
      </c>
      <c r="M44" s="333">
        <f>'Sch4-Cost Savings by ECM'!X44</f>
        <v>0</v>
      </c>
      <c r="N4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4" s="334">
        <f t="shared" si="2"/>
        <v>0</v>
      </c>
      <c r="P44" s="334">
        <f t="shared" si="3"/>
        <v>0</v>
      </c>
      <c r="Q44" s="334">
        <f t="shared" si="4"/>
        <v>0</v>
      </c>
      <c r="R44" s="334">
        <f t="shared" si="5"/>
        <v>0</v>
      </c>
    </row>
    <row r="45" spans="1:18" ht="16.5" thickBot="1">
      <c r="A45" s="40" t="str">
        <f>IF('Sch2a-Imp Price by ECM'!B46="","",'Sch2a-Imp Price by ECM'!B46)</f>
        <v/>
      </c>
      <c r="B45" s="76" t="str">
        <f>IF('Sch2a-Imp Price by ECM'!D46="","",'Sch2a-Imp Price by ECM'!D46)</f>
        <v/>
      </c>
      <c r="C45" s="331" t="s">
        <v>333</v>
      </c>
      <c r="D45" s="332">
        <f>'Sch4-Cost Savings by ECM'!P45</f>
        <v>0</v>
      </c>
      <c r="E45" s="376">
        <f>VLOOKUP(C45,'eGRID subregion name'!$A$2:$N$30,8,0)</f>
        <v>189.83531623683197</v>
      </c>
      <c r="F45" s="376">
        <f t="shared" si="6"/>
        <v>0</v>
      </c>
      <c r="G45" s="333">
        <f>'Sch4-Cost Savings by ECM'!T45</f>
        <v>0</v>
      </c>
      <c r="H45" s="334">
        <f>VLOOKUP("Natural Gas", 'GHG Emissions'!$D$2:$M$66,4,FALSE)+VLOOKUP("Natural Gas", 'GHG Emissions'!$D$2:$M$66,6,FALSE)*'eGRID subregion name'!$P$3+VLOOKUP("Natural Gas", 'GHG Emissions'!$D$2:$M$66,8,FALSE)*'eGRID subregion name'!$P$4</f>
        <v>53.114800000000002</v>
      </c>
      <c r="I45" s="334">
        <f t="shared" si="1"/>
        <v>0</v>
      </c>
      <c r="J45" s="333">
        <f>'Sch4-Cost Savings by ECM'!V45</f>
        <v>0</v>
      </c>
      <c r="K4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5" s="334">
        <f t="shared" si="7"/>
        <v>0</v>
      </c>
      <c r="M45" s="333">
        <f>'Sch4-Cost Savings by ECM'!X45</f>
        <v>0</v>
      </c>
      <c r="N4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5" s="334">
        <f t="shared" si="2"/>
        <v>0</v>
      </c>
      <c r="P45" s="334">
        <f t="shared" si="3"/>
        <v>0</v>
      </c>
      <c r="Q45" s="334">
        <f t="shared" si="4"/>
        <v>0</v>
      </c>
      <c r="R45" s="334">
        <f t="shared" si="5"/>
        <v>0</v>
      </c>
    </row>
    <row r="46" spans="1:18" ht="16.5" thickBot="1">
      <c r="A46" s="40" t="str">
        <f>IF('Sch2a-Imp Price by ECM'!B47="","",'Sch2a-Imp Price by ECM'!B47)</f>
        <v/>
      </c>
      <c r="B46" s="76" t="str">
        <f>IF('Sch2a-Imp Price by ECM'!D47="","",'Sch2a-Imp Price by ECM'!D47)</f>
        <v/>
      </c>
      <c r="C46" s="331" t="s">
        <v>333</v>
      </c>
      <c r="D46" s="332">
        <f>'Sch4-Cost Savings by ECM'!P46</f>
        <v>0</v>
      </c>
      <c r="E46" s="376">
        <f>VLOOKUP(C46,'eGRID subregion name'!$A$2:$N$30,8,0)</f>
        <v>189.83531623683197</v>
      </c>
      <c r="F46" s="376">
        <f t="shared" si="6"/>
        <v>0</v>
      </c>
      <c r="G46" s="333">
        <f>'Sch4-Cost Savings by ECM'!T46</f>
        <v>0</v>
      </c>
      <c r="H46" s="334">
        <f>VLOOKUP("Natural Gas", 'GHG Emissions'!$D$2:$M$66,4,FALSE)+VLOOKUP("Natural Gas", 'GHG Emissions'!$D$2:$M$66,6,FALSE)*'eGRID subregion name'!$P$3+VLOOKUP("Natural Gas", 'GHG Emissions'!$D$2:$M$66,8,FALSE)*'eGRID subregion name'!$P$4</f>
        <v>53.114800000000002</v>
      </c>
      <c r="I46" s="334">
        <f t="shared" si="1"/>
        <v>0</v>
      </c>
      <c r="J46" s="333">
        <f>'Sch4-Cost Savings by ECM'!V46</f>
        <v>0</v>
      </c>
      <c r="K4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6" s="334">
        <f t="shared" si="7"/>
        <v>0</v>
      </c>
      <c r="M46" s="333">
        <f>'Sch4-Cost Savings by ECM'!X46</f>
        <v>0</v>
      </c>
      <c r="N4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6" s="334">
        <f t="shared" si="2"/>
        <v>0</v>
      </c>
      <c r="P46" s="334">
        <f t="shared" si="3"/>
        <v>0</v>
      </c>
      <c r="Q46" s="334">
        <f t="shared" si="4"/>
        <v>0</v>
      </c>
      <c r="R46" s="334">
        <f t="shared" si="5"/>
        <v>0</v>
      </c>
    </row>
    <row r="47" spans="1:18" ht="16.5" thickBot="1">
      <c r="A47" s="40" t="str">
        <f>IF('Sch2a-Imp Price by ECM'!B48="","",'Sch2a-Imp Price by ECM'!B48)</f>
        <v/>
      </c>
      <c r="B47" s="76" t="str">
        <f>IF('Sch2a-Imp Price by ECM'!D48="","",'Sch2a-Imp Price by ECM'!D48)</f>
        <v/>
      </c>
      <c r="C47" s="331" t="s">
        <v>333</v>
      </c>
      <c r="D47" s="332">
        <f>'Sch4-Cost Savings by ECM'!P47</f>
        <v>0</v>
      </c>
      <c r="E47" s="376">
        <f>VLOOKUP(C47,'eGRID subregion name'!$A$2:$N$30,8,0)</f>
        <v>189.83531623683197</v>
      </c>
      <c r="F47" s="376">
        <f t="shared" si="6"/>
        <v>0</v>
      </c>
      <c r="G47" s="333">
        <f>'Sch4-Cost Savings by ECM'!T47</f>
        <v>0</v>
      </c>
      <c r="H47" s="334">
        <f>VLOOKUP("Natural Gas", 'GHG Emissions'!$D$2:$M$66,4,FALSE)+VLOOKUP("Natural Gas", 'GHG Emissions'!$D$2:$M$66,6,FALSE)*'eGRID subregion name'!$P$3+VLOOKUP("Natural Gas", 'GHG Emissions'!$D$2:$M$66,8,FALSE)*'eGRID subregion name'!$P$4</f>
        <v>53.114800000000002</v>
      </c>
      <c r="I47" s="334">
        <f t="shared" si="1"/>
        <v>0</v>
      </c>
      <c r="J47" s="333">
        <f>'Sch4-Cost Savings by ECM'!V47</f>
        <v>0</v>
      </c>
      <c r="K4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7" s="334">
        <f t="shared" si="7"/>
        <v>0</v>
      </c>
      <c r="M47" s="333">
        <f>'Sch4-Cost Savings by ECM'!X47</f>
        <v>0</v>
      </c>
      <c r="N4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7" s="334">
        <f t="shared" si="2"/>
        <v>0</v>
      </c>
      <c r="P47" s="334">
        <f t="shared" si="3"/>
        <v>0</v>
      </c>
      <c r="Q47" s="334">
        <f t="shared" si="4"/>
        <v>0</v>
      </c>
      <c r="R47" s="334">
        <f t="shared" si="5"/>
        <v>0</v>
      </c>
    </row>
    <row r="48" spans="1:18" ht="16.5" thickBot="1">
      <c r="A48" s="40" t="str">
        <f>IF('Sch2a-Imp Price by ECM'!B49="","",'Sch2a-Imp Price by ECM'!B49)</f>
        <v/>
      </c>
      <c r="B48" s="76" t="str">
        <f>IF('Sch2a-Imp Price by ECM'!D49="","",'Sch2a-Imp Price by ECM'!D49)</f>
        <v/>
      </c>
      <c r="C48" s="331" t="s">
        <v>333</v>
      </c>
      <c r="D48" s="332">
        <f>'Sch4-Cost Savings by ECM'!P48</f>
        <v>0</v>
      </c>
      <c r="E48" s="376">
        <f>VLOOKUP(C48,'eGRID subregion name'!$A$2:$N$30,8,0)</f>
        <v>189.83531623683197</v>
      </c>
      <c r="F48" s="376">
        <f t="shared" si="6"/>
        <v>0</v>
      </c>
      <c r="G48" s="333">
        <f>'Sch4-Cost Savings by ECM'!T48</f>
        <v>0</v>
      </c>
      <c r="H48" s="334">
        <f>VLOOKUP("Natural Gas", 'GHG Emissions'!$D$2:$M$66,4,FALSE)+VLOOKUP("Natural Gas", 'GHG Emissions'!$D$2:$M$66,6,FALSE)*'eGRID subregion name'!$P$3+VLOOKUP("Natural Gas", 'GHG Emissions'!$D$2:$M$66,8,FALSE)*'eGRID subregion name'!$P$4</f>
        <v>53.114800000000002</v>
      </c>
      <c r="I48" s="334">
        <f t="shared" si="1"/>
        <v>0</v>
      </c>
      <c r="J48" s="333">
        <f>'Sch4-Cost Savings by ECM'!V48</f>
        <v>0</v>
      </c>
      <c r="K4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8" s="334">
        <f t="shared" si="7"/>
        <v>0</v>
      </c>
      <c r="M48" s="333">
        <f>'Sch4-Cost Savings by ECM'!X48</f>
        <v>0</v>
      </c>
      <c r="N4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8" s="334">
        <f t="shared" si="2"/>
        <v>0</v>
      </c>
      <c r="P48" s="334">
        <f t="shared" si="3"/>
        <v>0</v>
      </c>
      <c r="Q48" s="334">
        <f t="shared" si="4"/>
        <v>0</v>
      </c>
      <c r="R48" s="334">
        <f t="shared" si="5"/>
        <v>0</v>
      </c>
    </row>
    <row r="49" spans="1:18" ht="16.5" thickBot="1">
      <c r="A49" s="40" t="str">
        <f>IF('Sch2a-Imp Price by ECM'!B50="","",'Sch2a-Imp Price by ECM'!B50)</f>
        <v/>
      </c>
      <c r="B49" s="76" t="str">
        <f>IF('Sch2a-Imp Price by ECM'!D50="","",'Sch2a-Imp Price by ECM'!D50)</f>
        <v/>
      </c>
      <c r="C49" s="331" t="s">
        <v>333</v>
      </c>
      <c r="D49" s="332">
        <f>'Sch4-Cost Savings by ECM'!P49</f>
        <v>0</v>
      </c>
      <c r="E49" s="376">
        <f>VLOOKUP(C49,'eGRID subregion name'!$A$2:$N$30,8,0)</f>
        <v>189.83531623683197</v>
      </c>
      <c r="F49" s="376">
        <f t="shared" si="6"/>
        <v>0</v>
      </c>
      <c r="G49" s="333">
        <f>'Sch4-Cost Savings by ECM'!T49</f>
        <v>0</v>
      </c>
      <c r="H49" s="334">
        <f>VLOOKUP("Natural Gas", 'GHG Emissions'!$D$2:$M$66,4,FALSE)+VLOOKUP("Natural Gas", 'GHG Emissions'!$D$2:$M$66,6,FALSE)*'eGRID subregion name'!$P$3+VLOOKUP("Natural Gas", 'GHG Emissions'!$D$2:$M$66,8,FALSE)*'eGRID subregion name'!$P$4</f>
        <v>53.114800000000002</v>
      </c>
      <c r="I49" s="334">
        <f t="shared" si="1"/>
        <v>0</v>
      </c>
      <c r="J49" s="333">
        <f>'Sch4-Cost Savings by ECM'!V49</f>
        <v>0</v>
      </c>
      <c r="K4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49" s="334">
        <f t="shared" si="7"/>
        <v>0</v>
      </c>
      <c r="M49" s="333">
        <f>'Sch4-Cost Savings by ECM'!X49</f>
        <v>0</v>
      </c>
      <c r="N4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49" s="334">
        <f t="shared" si="2"/>
        <v>0</v>
      </c>
      <c r="P49" s="334">
        <f t="shared" si="3"/>
        <v>0</v>
      </c>
      <c r="Q49" s="334">
        <f t="shared" si="4"/>
        <v>0</v>
      </c>
      <c r="R49" s="334">
        <f t="shared" si="5"/>
        <v>0</v>
      </c>
    </row>
    <row r="50" spans="1:18" ht="16.5" thickBot="1">
      <c r="A50" s="40" t="str">
        <f>IF('Sch2a-Imp Price by ECM'!B51="","",'Sch2a-Imp Price by ECM'!B51)</f>
        <v/>
      </c>
      <c r="B50" s="76" t="str">
        <f>IF('Sch2a-Imp Price by ECM'!D51="","",'Sch2a-Imp Price by ECM'!D51)</f>
        <v/>
      </c>
      <c r="C50" s="331" t="s">
        <v>333</v>
      </c>
      <c r="D50" s="332">
        <f>'Sch4-Cost Savings by ECM'!P50</f>
        <v>0</v>
      </c>
      <c r="E50" s="376">
        <f>VLOOKUP(C50,'eGRID subregion name'!$A$2:$N$30,8,0)</f>
        <v>189.83531623683197</v>
      </c>
      <c r="F50" s="376">
        <f t="shared" si="6"/>
        <v>0</v>
      </c>
      <c r="G50" s="333">
        <f>'Sch4-Cost Savings by ECM'!T50</f>
        <v>0</v>
      </c>
      <c r="H50" s="334">
        <f>VLOOKUP("Natural Gas", 'GHG Emissions'!$D$2:$M$66,4,FALSE)+VLOOKUP("Natural Gas", 'GHG Emissions'!$D$2:$M$66,6,FALSE)*'eGRID subregion name'!$P$3+VLOOKUP("Natural Gas", 'GHG Emissions'!$D$2:$M$66,8,FALSE)*'eGRID subregion name'!$P$4</f>
        <v>53.114800000000002</v>
      </c>
      <c r="I50" s="334">
        <f t="shared" si="1"/>
        <v>0</v>
      </c>
      <c r="J50" s="333">
        <f>'Sch4-Cost Savings by ECM'!V50</f>
        <v>0</v>
      </c>
      <c r="K5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0" s="334">
        <f t="shared" si="7"/>
        <v>0</v>
      </c>
      <c r="M50" s="333">
        <f>'Sch4-Cost Savings by ECM'!X50</f>
        <v>0</v>
      </c>
      <c r="N5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0" s="334">
        <f t="shared" si="2"/>
        <v>0</v>
      </c>
      <c r="P50" s="334">
        <f t="shared" si="3"/>
        <v>0</v>
      </c>
      <c r="Q50" s="334">
        <f t="shared" si="4"/>
        <v>0</v>
      </c>
      <c r="R50" s="334">
        <f t="shared" si="5"/>
        <v>0</v>
      </c>
    </row>
    <row r="51" spans="1:18" ht="16.5" thickBot="1">
      <c r="A51" s="40" t="str">
        <f>IF('Sch2a-Imp Price by ECM'!B52="","",'Sch2a-Imp Price by ECM'!B52)</f>
        <v/>
      </c>
      <c r="B51" s="76" t="str">
        <f>IF('Sch2a-Imp Price by ECM'!D52="","",'Sch2a-Imp Price by ECM'!D52)</f>
        <v/>
      </c>
      <c r="C51" s="331" t="s">
        <v>333</v>
      </c>
      <c r="D51" s="332">
        <f>'Sch4-Cost Savings by ECM'!P51</f>
        <v>0</v>
      </c>
      <c r="E51" s="376">
        <f>VLOOKUP(C51,'eGRID subregion name'!$A$2:$N$30,8,0)</f>
        <v>189.83531623683197</v>
      </c>
      <c r="F51" s="376">
        <f t="shared" si="6"/>
        <v>0</v>
      </c>
      <c r="G51" s="333">
        <f>'Sch4-Cost Savings by ECM'!T51</f>
        <v>0</v>
      </c>
      <c r="H51" s="334">
        <f>VLOOKUP("Natural Gas", 'GHG Emissions'!$D$2:$M$66,4,FALSE)+VLOOKUP("Natural Gas", 'GHG Emissions'!$D$2:$M$66,6,FALSE)*'eGRID subregion name'!$P$3+VLOOKUP("Natural Gas", 'GHG Emissions'!$D$2:$M$66,8,FALSE)*'eGRID subregion name'!$P$4</f>
        <v>53.114800000000002</v>
      </c>
      <c r="I51" s="334">
        <f t="shared" si="1"/>
        <v>0</v>
      </c>
      <c r="J51" s="333">
        <f>'Sch4-Cost Savings by ECM'!V51</f>
        <v>0</v>
      </c>
      <c r="K5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1" s="334">
        <f t="shared" si="7"/>
        <v>0</v>
      </c>
      <c r="M51" s="333">
        <f>'Sch4-Cost Savings by ECM'!X51</f>
        <v>0</v>
      </c>
      <c r="N5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1" s="334">
        <f t="shared" si="2"/>
        <v>0</v>
      </c>
      <c r="P51" s="334">
        <f t="shared" si="3"/>
        <v>0</v>
      </c>
      <c r="Q51" s="334">
        <f t="shared" si="4"/>
        <v>0</v>
      </c>
      <c r="R51" s="334">
        <f t="shared" si="5"/>
        <v>0</v>
      </c>
    </row>
    <row r="52" spans="1:18" ht="16.5" thickBot="1">
      <c r="A52" s="40" t="str">
        <f>IF('Sch2a-Imp Price by ECM'!B53="","",'Sch2a-Imp Price by ECM'!B53)</f>
        <v/>
      </c>
      <c r="B52" s="76" t="str">
        <f>IF('Sch2a-Imp Price by ECM'!D53="","",'Sch2a-Imp Price by ECM'!D53)</f>
        <v/>
      </c>
      <c r="C52" s="331" t="s">
        <v>333</v>
      </c>
      <c r="D52" s="332">
        <f>'Sch4-Cost Savings by ECM'!P52</f>
        <v>0</v>
      </c>
      <c r="E52" s="376">
        <f>VLOOKUP(C52,'eGRID subregion name'!$A$2:$N$30,8,0)</f>
        <v>189.83531623683197</v>
      </c>
      <c r="F52" s="376">
        <f t="shared" si="6"/>
        <v>0</v>
      </c>
      <c r="G52" s="333">
        <f>'Sch4-Cost Savings by ECM'!T52</f>
        <v>0</v>
      </c>
      <c r="H52" s="334">
        <f>VLOOKUP("Natural Gas", 'GHG Emissions'!$D$2:$M$66,4,FALSE)+VLOOKUP("Natural Gas", 'GHG Emissions'!$D$2:$M$66,6,FALSE)*'eGRID subregion name'!$P$3+VLOOKUP("Natural Gas", 'GHG Emissions'!$D$2:$M$66,8,FALSE)*'eGRID subregion name'!$P$4</f>
        <v>53.114800000000002</v>
      </c>
      <c r="I52" s="334">
        <f t="shared" si="1"/>
        <v>0</v>
      </c>
      <c r="J52" s="333">
        <f>'Sch4-Cost Savings by ECM'!V52</f>
        <v>0</v>
      </c>
      <c r="K5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2" s="334">
        <f t="shared" si="7"/>
        <v>0</v>
      </c>
      <c r="M52" s="333">
        <f>'Sch4-Cost Savings by ECM'!X52</f>
        <v>0</v>
      </c>
      <c r="N5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2" s="334">
        <f t="shared" si="2"/>
        <v>0</v>
      </c>
      <c r="P52" s="334">
        <f t="shared" si="3"/>
        <v>0</v>
      </c>
      <c r="Q52" s="334">
        <f t="shared" si="4"/>
        <v>0</v>
      </c>
      <c r="R52" s="334">
        <f t="shared" si="5"/>
        <v>0</v>
      </c>
    </row>
    <row r="53" spans="1:18" ht="16.5" thickBot="1">
      <c r="A53" s="40" t="str">
        <f>IF('Sch2a-Imp Price by ECM'!B54="","",'Sch2a-Imp Price by ECM'!B54)</f>
        <v/>
      </c>
      <c r="B53" s="76" t="str">
        <f>IF('Sch2a-Imp Price by ECM'!D54="","",'Sch2a-Imp Price by ECM'!D54)</f>
        <v/>
      </c>
      <c r="C53" s="331" t="s">
        <v>333</v>
      </c>
      <c r="D53" s="332">
        <f>'Sch4-Cost Savings by ECM'!P53</f>
        <v>0</v>
      </c>
      <c r="E53" s="376">
        <f>VLOOKUP(C53,'eGRID subregion name'!$A$2:$N$30,8,0)</f>
        <v>189.83531623683197</v>
      </c>
      <c r="F53" s="376">
        <f t="shared" si="6"/>
        <v>0</v>
      </c>
      <c r="G53" s="333">
        <f>'Sch4-Cost Savings by ECM'!T53</f>
        <v>0</v>
      </c>
      <c r="H53" s="334">
        <f>VLOOKUP("Natural Gas", 'GHG Emissions'!$D$2:$M$66,4,FALSE)+VLOOKUP("Natural Gas", 'GHG Emissions'!$D$2:$M$66,6,FALSE)*'eGRID subregion name'!$P$3+VLOOKUP("Natural Gas", 'GHG Emissions'!$D$2:$M$66,8,FALSE)*'eGRID subregion name'!$P$4</f>
        <v>53.114800000000002</v>
      </c>
      <c r="I53" s="334">
        <f t="shared" si="1"/>
        <v>0</v>
      </c>
      <c r="J53" s="333">
        <f>'Sch4-Cost Savings by ECM'!V53</f>
        <v>0</v>
      </c>
      <c r="K5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3" s="334">
        <f t="shared" si="7"/>
        <v>0</v>
      </c>
      <c r="M53" s="333">
        <f>'Sch4-Cost Savings by ECM'!X53</f>
        <v>0</v>
      </c>
      <c r="N5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3" s="334">
        <f t="shared" si="2"/>
        <v>0</v>
      </c>
      <c r="P53" s="334">
        <f t="shared" si="3"/>
        <v>0</v>
      </c>
      <c r="Q53" s="334">
        <f t="shared" si="4"/>
        <v>0</v>
      </c>
      <c r="R53" s="334">
        <f t="shared" si="5"/>
        <v>0</v>
      </c>
    </row>
    <row r="54" spans="1:18" ht="16.5" thickBot="1">
      <c r="A54" s="40" t="str">
        <f>IF('Sch2a-Imp Price by ECM'!B55="","",'Sch2a-Imp Price by ECM'!B55)</f>
        <v/>
      </c>
      <c r="B54" s="76" t="str">
        <f>IF('Sch2a-Imp Price by ECM'!D55="","",'Sch2a-Imp Price by ECM'!D55)</f>
        <v/>
      </c>
      <c r="C54" s="331" t="s">
        <v>333</v>
      </c>
      <c r="D54" s="332">
        <f>'Sch4-Cost Savings by ECM'!P54</f>
        <v>0</v>
      </c>
      <c r="E54" s="376">
        <f>VLOOKUP(C54,'eGRID subregion name'!$A$2:$N$30,8,0)</f>
        <v>189.83531623683197</v>
      </c>
      <c r="F54" s="376">
        <f t="shared" si="6"/>
        <v>0</v>
      </c>
      <c r="G54" s="333">
        <f>'Sch4-Cost Savings by ECM'!T54</f>
        <v>0</v>
      </c>
      <c r="H54" s="334">
        <f>VLOOKUP("Natural Gas", 'GHG Emissions'!$D$2:$M$66,4,FALSE)+VLOOKUP("Natural Gas", 'GHG Emissions'!$D$2:$M$66,6,FALSE)*'eGRID subregion name'!$P$3+VLOOKUP("Natural Gas", 'GHG Emissions'!$D$2:$M$66,8,FALSE)*'eGRID subregion name'!$P$4</f>
        <v>53.114800000000002</v>
      </c>
      <c r="I54" s="334">
        <f t="shared" si="1"/>
        <v>0</v>
      </c>
      <c r="J54" s="333">
        <f>'Sch4-Cost Savings by ECM'!V54</f>
        <v>0</v>
      </c>
      <c r="K5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4" s="334">
        <f t="shared" si="7"/>
        <v>0</v>
      </c>
      <c r="M54" s="333">
        <f>'Sch4-Cost Savings by ECM'!X54</f>
        <v>0</v>
      </c>
      <c r="N5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4" s="334">
        <f t="shared" si="2"/>
        <v>0</v>
      </c>
      <c r="P54" s="334">
        <f t="shared" si="3"/>
        <v>0</v>
      </c>
      <c r="Q54" s="334">
        <f t="shared" si="4"/>
        <v>0</v>
      </c>
      <c r="R54" s="334">
        <f t="shared" si="5"/>
        <v>0</v>
      </c>
    </row>
    <row r="55" spans="1:18" ht="18" customHeight="1" thickBot="1">
      <c r="A55" s="40" t="str">
        <f>IF('Sch2a-Imp Price by ECM'!B56="","",'Sch2a-Imp Price by ECM'!B56)</f>
        <v/>
      </c>
      <c r="B55" s="76" t="str">
        <f>IF('Sch2a-Imp Price by ECM'!D56="","",'Sch2a-Imp Price by ECM'!D56)</f>
        <v/>
      </c>
      <c r="C55" s="331" t="s">
        <v>333</v>
      </c>
      <c r="D55" s="332">
        <f>'Sch4-Cost Savings by ECM'!P55</f>
        <v>0</v>
      </c>
      <c r="E55" s="376">
        <f>VLOOKUP(C55,'eGRID subregion name'!$A$2:$N$30,8,0)</f>
        <v>189.83531623683197</v>
      </c>
      <c r="F55" s="376">
        <f t="shared" si="6"/>
        <v>0</v>
      </c>
      <c r="G55" s="333">
        <f>'Sch4-Cost Savings by ECM'!T55</f>
        <v>0</v>
      </c>
      <c r="H55" s="334">
        <f>VLOOKUP("Natural Gas", 'GHG Emissions'!$D$2:$M$66,4,FALSE)+VLOOKUP("Natural Gas", 'GHG Emissions'!$D$2:$M$66,6,FALSE)*'eGRID subregion name'!$P$3+VLOOKUP("Natural Gas", 'GHG Emissions'!$D$2:$M$66,8,FALSE)*'eGRID subregion name'!$P$4</f>
        <v>53.114800000000002</v>
      </c>
      <c r="I55" s="334">
        <f t="shared" si="1"/>
        <v>0</v>
      </c>
      <c r="J55" s="333">
        <f>'Sch4-Cost Savings by ECM'!V55</f>
        <v>0</v>
      </c>
      <c r="K5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5" s="334">
        <f t="shared" si="7"/>
        <v>0</v>
      </c>
      <c r="M55" s="333">
        <f>'Sch4-Cost Savings by ECM'!X55</f>
        <v>0</v>
      </c>
      <c r="N5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5" s="334">
        <f t="shared" si="2"/>
        <v>0</v>
      </c>
      <c r="P55" s="334">
        <f t="shared" si="3"/>
        <v>0</v>
      </c>
      <c r="Q55" s="334">
        <f t="shared" si="4"/>
        <v>0</v>
      </c>
      <c r="R55" s="334">
        <f t="shared" si="5"/>
        <v>0</v>
      </c>
    </row>
    <row r="56" spans="1:18" ht="16.5" thickBot="1">
      <c r="A56" s="40" t="str">
        <f>IF('Sch2a-Imp Price by ECM'!B57="","",'Sch2a-Imp Price by ECM'!B57)</f>
        <v/>
      </c>
      <c r="B56" s="76" t="str">
        <f>IF('Sch2a-Imp Price by ECM'!D57="","",'Sch2a-Imp Price by ECM'!D57)</f>
        <v/>
      </c>
      <c r="C56" s="331" t="s">
        <v>333</v>
      </c>
      <c r="D56" s="332">
        <f>'Sch4-Cost Savings by ECM'!P56</f>
        <v>0</v>
      </c>
      <c r="E56" s="376">
        <f>VLOOKUP(C56,'eGRID subregion name'!$A$2:$N$30,8,0)</f>
        <v>189.83531623683197</v>
      </c>
      <c r="F56" s="376">
        <f t="shared" si="6"/>
        <v>0</v>
      </c>
      <c r="G56" s="333">
        <f>'Sch4-Cost Savings by ECM'!T56</f>
        <v>0</v>
      </c>
      <c r="H56" s="334">
        <f>VLOOKUP("Natural Gas", 'GHG Emissions'!$D$2:$M$66,4,FALSE)+VLOOKUP("Natural Gas", 'GHG Emissions'!$D$2:$M$66,6,FALSE)*'eGRID subregion name'!$P$3+VLOOKUP("Natural Gas", 'GHG Emissions'!$D$2:$M$66,8,FALSE)*'eGRID subregion name'!$P$4</f>
        <v>53.114800000000002</v>
      </c>
      <c r="I56" s="334">
        <f t="shared" si="1"/>
        <v>0</v>
      </c>
      <c r="J56" s="333">
        <f>'Sch4-Cost Savings by ECM'!V56</f>
        <v>0</v>
      </c>
      <c r="K5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6" s="334">
        <f t="shared" si="7"/>
        <v>0</v>
      </c>
      <c r="M56" s="333">
        <f>'Sch4-Cost Savings by ECM'!X56</f>
        <v>0</v>
      </c>
      <c r="N5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6" s="334">
        <f t="shared" si="2"/>
        <v>0</v>
      </c>
      <c r="P56" s="334">
        <f t="shared" si="3"/>
        <v>0</v>
      </c>
      <c r="Q56" s="334">
        <f t="shared" si="4"/>
        <v>0</v>
      </c>
      <c r="R56" s="334">
        <f t="shared" si="5"/>
        <v>0</v>
      </c>
    </row>
    <row r="57" spans="1:18" ht="16.5" thickBot="1">
      <c r="A57" s="40" t="str">
        <f>IF('Sch2a-Imp Price by ECM'!B58="","",'Sch2a-Imp Price by ECM'!B58)</f>
        <v/>
      </c>
      <c r="B57" s="76" t="str">
        <f>IF('Sch2a-Imp Price by ECM'!D58="","",'Sch2a-Imp Price by ECM'!D58)</f>
        <v/>
      </c>
      <c r="C57" s="331" t="s">
        <v>333</v>
      </c>
      <c r="D57" s="332">
        <f>'Sch4-Cost Savings by ECM'!P57</f>
        <v>0</v>
      </c>
      <c r="E57" s="376">
        <f>VLOOKUP(C57,'eGRID subregion name'!$A$2:$N$30,8,0)</f>
        <v>189.83531623683197</v>
      </c>
      <c r="F57" s="376">
        <f t="shared" si="6"/>
        <v>0</v>
      </c>
      <c r="G57" s="333">
        <f>'Sch4-Cost Savings by ECM'!T57</f>
        <v>0</v>
      </c>
      <c r="H57" s="334">
        <f>VLOOKUP("Natural Gas", 'GHG Emissions'!$D$2:$M$66,4,FALSE)+VLOOKUP("Natural Gas", 'GHG Emissions'!$D$2:$M$66,6,FALSE)*'eGRID subregion name'!$P$3+VLOOKUP("Natural Gas", 'GHG Emissions'!$D$2:$M$66,8,FALSE)*'eGRID subregion name'!$P$4</f>
        <v>53.114800000000002</v>
      </c>
      <c r="I57" s="334">
        <f t="shared" si="1"/>
        <v>0</v>
      </c>
      <c r="J57" s="333">
        <f>'Sch4-Cost Savings by ECM'!V57</f>
        <v>0</v>
      </c>
      <c r="K5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7" s="334">
        <f t="shared" si="7"/>
        <v>0</v>
      </c>
      <c r="M57" s="333">
        <f>'Sch4-Cost Savings by ECM'!X57</f>
        <v>0</v>
      </c>
      <c r="N5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7" s="334">
        <f t="shared" si="2"/>
        <v>0</v>
      </c>
      <c r="P57" s="334">
        <f t="shared" si="3"/>
        <v>0</v>
      </c>
      <c r="Q57" s="334">
        <f t="shared" si="4"/>
        <v>0</v>
      </c>
      <c r="R57" s="334">
        <f t="shared" si="5"/>
        <v>0</v>
      </c>
    </row>
    <row r="58" spans="1:18" ht="16.5" thickBot="1">
      <c r="A58" s="40" t="str">
        <f>IF('Sch2a-Imp Price by ECM'!B59="","",'Sch2a-Imp Price by ECM'!B59)</f>
        <v/>
      </c>
      <c r="B58" s="76" t="str">
        <f>IF('Sch2a-Imp Price by ECM'!D59="","",'Sch2a-Imp Price by ECM'!D59)</f>
        <v/>
      </c>
      <c r="C58" s="331" t="s">
        <v>333</v>
      </c>
      <c r="D58" s="332">
        <f>'Sch4-Cost Savings by ECM'!P58</f>
        <v>0</v>
      </c>
      <c r="E58" s="376">
        <f>VLOOKUP(C58,'eGRID subregion name'!$A$2:$N$30,8,0)</f>
        <v>189.83531623683197</v>
      </c>
      <c r="F58" s="376">
        <f t="shared" si="6"/>
        <v>0</v>
      </c>
      <c r="G58" s="333">
        <f>'Sch4-Cost Savings by ECM'!T58</f>
        <v>0</v>
      </c>
      <c r="H58" s="334">
        <f>VLOOKUP("Natural Gas", 'GHG Emissions'!$D$2:$M$66,4,FALSE)+VLOOKUP("Natural Gas", 'GHG Emissions'!$D$2:$M$66,6,FALSE)*'eGRID subregion name'!$P$3+VLOOKUP("Natural Gas", 'GHG Emissions'!$D$2:$M$66,8,FALSE)*'eGRID subregion name'!$P$4</f>
        <v>53.114800000000002</v>
      </c>
      <c r="I58" s="334">
        <f t="shared" si="1"/>
        <v>0</v>
      </c>
      <c r="J58" s="333">
        <f>'Sch4-Cost Savings by ECM'!V58</f>
        <v>0</v>
      </c>
      <c r="K5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8" s="334">
        <f t="shared" si="7"/>
        <v>0</v>
      </c>
      <c r="M58" s="333">
        <f>'Sch4-Cost Savings by ECM'!X58</f>
        <v>0</v>
      </c>
      <c r="N5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8" s="334">
        <f t="shared" si="2"/>
        <v>0</v>
      </c>
      <c r="P58" s="334">
        <f t="shared" si="3"/>
        <v>0</v>
      </c>
      <c r="Q58" s="334">
        <f t="shared" si="4"/>
        <v>0</v>
      </c>
      <c r="R58" s="334">
        <f t="shared" si="5"/>
        <v>0</v>
      </c>
    </row>
    <row r="59" spans="1:18" ht="16.5" thickBot="1">
      <c r="A59" s="40" t="str">
        <f>IF('Sch2a-Imp Price by ECM'!B60="","",'Sch2a-Imp Price by ECM'!B60)</f>
        <v/>
      </c>
      <c r="B59" s="76" t="str">
        <f>IF('Sch2a-Imp Price by ECM'!D60="","",'Sch2a-Imp Price by ECM'!D60)</f>
        <v/>
      </c>
      <c r="C59" s="331" t="s">
        <v>333</v>
      </c>
      <c r="D59" s="332">
        <f>'Sch4-Cost Savings by ECM'!P59</f>
        <v>0</v>
      </c>
      <c r="E59" s="376">
        <f>VLOOKUP(C59,'eGRID subregion name'!$A$2:$N$30,8,0)</f>
        <v>189.83531623683197</v>
      </c>
      <c r="F59" s="376">
        <f t="shared" si="6"/>
        <v>0</v>
      </c>
      <c r="G59" s="333">
        <f>'Sch4-Cost Savings by ECM'!T59</f>
        <v>0</v>
      </c>
      <c r="H59" s="334">
        <f>VLOOKUP("Natural Gas", 'GHG Emissions'!$D$2:$M$66,4,FALSE)+VLOOKUP("Natural Gas", 'GHG Emissions'!$D$2:$M$66,6,FALSE)*'eGRID subregion name'!$P$3+VLOOKUP("Natural Gas", 'GHG Emissions'!$D$2:$M$66,8,FALSE)*'eGRID subregion name'!$P$4</f>
        <v>53.114800000000002</v>
      </c>
      <c r="I59" s="334">
        <f t="shared" si="1"/>
        <v>0</v>
      </c>
      <c r="J59" s="333">
        <f>'Sch4-Cost Savings by ECM'!V59</f>
        <v>0</v>
      </c>
      <c r="K5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59" s="334">
        <f t="shared" si="7"/>
        <v>0</v>
      </c>
      <c r="M59" s="333">
        <f>'Sch4-Cost Savings by ECM'!X59</f>
        <v>0</v>
      </c>
      <c r="N5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59" s="334">
        <f t="shared" si="2"/>
        <v>0</v>
      </c>
      <c r="P59" s="334">
        <f t="shared" si="3"/>
        <v>0</v>
      </c>
      <c r="Q59" s="334">
        <f t="shared" si="4"/>
        <v>0</v>
      </c>
      <c r="R59" s="334">
        <f t="shared" si="5"/>
        <v>0</v>
      </c>
    </row>
    <row r="60" spans="1:18" ht="16.5" thickBot="1">
      <c r="A60" s="40" t="str">
        <f>IF('Sch2a-Imp Price by ECM'!B61="","",'Sch2a-Imp Price by ECM'!B61)</f>
        <v/>
      </c>
      <c r="B60" s="76" t="str">
        <f>IF('Sch2a-Imp Price by ECM'!D61="","",'Sch2a-Imp Price by ECM'!D61)</f>
        <v/>
      </c>
      <c r="C60" s="331" t="s">
        <v>333</v>
      </c>
      <c r="D60" s="332">
        <f>'Sch4-Cost Savings by ECM'!P60</f>
        <v>0</v>
      </c>
      <c r="E60" s="376">
        <f>VLOOKUP(C60,'eGRID subregion name'!$A$2:$N$30,8,0)</f>
        <v>189.83531623683197</v>
      </c>
      <c r="F60" s="376">
        <f t="shared" si="6"/>
        <v>0</v>
      </c>
      <c r="G60" s="333">
        <f>'Sch4-Cost Savings by ECM'!T60</f>
        <v>0</v>
      </c>
      <c r="H60" s="334">
        <f>VLOOKUP("Natural Gas", 'GHG Emissions'!$D$2:$M$66,4,FALSE)+VLOOKUP("Natural Gas", 'GHG Emissions'!$D$2:$M$66,6,FALSE)*'eGRID subregion name'!$P$3+VLOOKUP("Natural Gas", 'GHG Emissions'!$D$2:$M$66,8,FALSE)*'eGRID subregion name'!$P$4</f>
        <v>53.114800000000002</v>
      </c>
      <c r="I60" s="334">
        <f t="shared" si="1"/>
        <v>0</v>
      </c>
      <c r="J60" s="333">
        <f>'Sch4-Cost Savings by ECM'!V60</f>
        <v>0</v>
      </c>
      <c r="K6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0" s="334">
        <f t="shared" si="7"/>
        <v>0</v>
      </c>
      <c r="M60" s="333">
        <f>'Sch4-Cost Savings by ECM'!X60</f>
        <v>0</v>
      </c>
      <c r="N6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0" s="334">
        <f t="shared" si="2"/>
        <v>0</v>
      </c>
      <c r="P60" s="334">
        <f t="shared" si="3"/>
        <v>0</v>
      </c>
      <c r="Q60" s="334">
        <f t="shared" si="4"/>
        <v>0</v>
      </c>
      <c r="R60" s="334">
        <f t="shared" si="5"/>
        <v>0</v>
      </c>
    </row>
    <row r="61" spans="1:18" ht="16.5" thickBot="1">
      <c r="A61" s="40" t="str">
        <f>IF('Sch2a-Imp Price by ECM'!B62="","",'Sch2a-Imp Price by ECM'!B62)</f>
        <v/>
      </c>
      <c r="B61" s="76" t="str">
        <f>IF('Sch2a-Imp Price by ECM'!D62="","",'Sch2a-Imp Price by ECM'!D62)</f>
        <v/>
      </c>
      <c r="C61" s="331" t="s">
        <v>333</v>
      </c>
      <c r="D61" s="332">
        <f>'Sch4-Cost Savings by ECM'!P61</f>
        <v>0</v>
      </c>
      <c r="E61" s="376">
        <f>VLOOKUP(C61,'eGRID subregion name'!$A$2:$N$30,8,0)</f>
        <v>189.83531623683197</v>
      </c>
      <c r="F61" s="376">
        <f t="shared" si="6"/>
        <v>0</v>
      </c>
      <c r="G61" s="333">
        <f>'Sch4-Cost Savings by ECM'!T61</f>
        <v>0</v>
      </c>
      <c r="H61" s="334">
        <f>VLOOKUP("Natural Gas", 'GHG Emissions'!$D$2:$M$66,4,FALSE)+VLOOKUP("Natural Gas", 'GHG Emissions'!$D$2:$M$66,6,FALSE)*'eGRID subregion name'!$P$3+VLOOKUP("Natural Gas", 'GHG Emissions'!$D$2:$M$66,8,FALSE)*'eGRID subregion name'!$P$4</f>
        <v>53.114800000000002</v>
      </c>
      <c r="I61" s="334">
        <f t="shared" si="1"/>
        <v>0</v>
      </c>
      <c r="J61" s="333">
        <f>'Sch4-Cost Savings by ECM'!V61</f>
        <v>0</v>
      </c>
      <c r="K6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1" s="334">
        <f t="shared" si="7"/>
        <v>0</v>
      </c>
      <c r="M61" s="333">
        <f>'Sch4-Cost Savings by ECM'!X61</f>
        <v>0</v>
      </c>
      <c r="N6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1" s="334">
        <f t="shared" si="2"/>
        <v>0</v>
      </c>
      <c r="P61" s="334">
        <f t="shared" si="3"/>
        <v>0</v>
      </c>
      <c r="Q61" s="334">
        <f t="shared" si="4"/>
        <v>0</v>
      </c>
      <c r="R61" s="334">
        <f t="shared" si="5"/>
        <v>0</v>
      </c>
    </row>
    <row r="62" spans="1:18" ht="16.5" thickBot="1">
      <c r="A62" s="40" t="str">
        <f>IF('Sch2a-Imp Price by ECM'!B63="","",'Sch2a-Imp Price by ECM'!B63)</f>
        <v/>
      </c>
      <c r="B62" s="76" t="str">
        <f>IF('Sch2a-Imp Price by ECM'!D63="","",'Sch2a-Imp Price by ECM'!D63)</f>
        <v/>
      </c>
      <c r="C62" s="331" t="s">
        <v>333</v>
      </c>
      <c r="D62" s="332">
        <f>'Sch4-Cost Savings by ECM'!P62</f>
        <v>0</v>
      </c>
      <c r="E62" s="376">
        <f>VLOOKUP(C62,'eGRID subregion name'!$A$2:$N$30,8,0)</f>
        <v>189.83531623683197</v>
      </c>
      <c r="F62" s="376">
        <f t="shared" si="6"/>
        <v>0</v>
      </c>
      <c r="G62" s="333">
        <f>'Sch4-Cost Savings by ECM'!T62</f>
        <v>0</v>
      </c>
      <c r="H62" s="334">
        <f>VLOOKUP("Natural Gas", 'GHG Emissions'!$D$2:$M$66,4,FALSE)+VLOOKUP("Natural Gas", 'GHG Emissions'!$D$2:$M$66,6,FALSE)*'eGRID subregion name'!$P$3+VLOOKUP("Natural Gas", 'GHG Emissions'!$D$2:$M$66,8,FALSE)*'eGRID subregion name'!$P$4</f>
        <v>53.114800000000002</v>
      </c>
      <c r="I62" s="334">
        <f t="shared" si="1"/>
        <v>0</v>
      </c>
      <c r="J62" s="333">
        <f>'Sch4-Cost Savings by ECM'!V62</f>
        <v>0</v>
      </c>
      <c r="K6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2" s="334">
        <f t="shared" si="7"/>
        <v>0</v>
      </c>
      <c r="M62" s="333">
        <f>'Sch4-Cost Savings by ECM'!X62</f>
        <v>0</v>
      </c>
      <c r="N6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2" s="334">
        <f t="shared" si="2"/>
        <v>0</v>
      </c>
      <c r="P62" s="334">
        <f t="shared" si="3"/>
        <v>0</v>
      </c>
      <c r="Q62" s="334">
        <f t="shared" si="4"/>
        <v>0</v>
      </c>
      <c r="R62" s="334">
        <f t="shared" si="5"/>
        <v>0</v>
      </c>
    </row>
    <row r="63" spans="1:18" ht="16.5" thickBot="1">
      <c r="A63" s="40" t="str">
        <f>IF('Sch2a-Imp Price by ECM'!B64="","",'Sch2a-Imp Price by ECM'!B64)</f>
        <v/>
      </c>
      <c r="B63" s="76" t="str">
        <f>IF('Sch2a-Imp Price by ECM'!D64="","",'Sch2a-Imp Price by ECM'!D64)</f>
        <v/>
      </c>
      <c r="C63" s="331" t="s">
        <v>333</v>
      </c>
      <c r="D63" s="332">
        <f>'Sch4-Cost Savings by ECM'!P63</f>
        <v>0</v>
      </c>
      <c r="E63" s="376">
        <f>VLOOKUP(C63,'eGRID subregion name'!$A$2:$N$30,8,0)</f>
        <v>189.83531623683197</v>
      </c>
      <c r="F63" s="376">
        <f t="shared" si="6"/>
        <v>0</v>
      </c>
      <c r="G63" s="333">
        <f>'Sch4-Cost Savings by ECM'!T63</f>
        <v>0</v>
      </c>
      <c r="H63" s="334">
        <f>VLOOKUP("Natural Gas", 'GHG Emissions'!$D$2:$M$66,4,FALSE)+VLOOKUP("Natural Gas", 'GHG Emissions'!$D$2:$M$66,6,FALSE)*'eGRID subregion name'!$P$3+VLOOKUP("Natural Gas", 'GHG Emissions'!$D$2:$M$66,8,FALSE)*'eGRID subregion name'!$P$4</f>
        <v>53.114800000000002</v>
      </c>
      <c r="I63" s="334">
        <f t="shared" si="1"/>
        <v>0</v>
      </c>
      <c r="J63" s="333">
        <f>'Sch4-Cost Savings by ECM'!V63</f>
        <v>0</v>
      </c>
      <c r="K6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3" s="334">
        <f t="shared" si="7"/>
        <v>0</v>
      </c>
      <c r="M63" s="333">
        <f>'Sch4-Cost Savings by ECM'!X63</f>
        <v>0</v>
      </c>
      <c r="N6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3" s="334">
        <f t="shared" si="2"/>
        <v>0</v>
      </c>
      <c r="P63" s="334">
        <f t="shared" si="3"/>
        <v>0</v>
      </c>
      <c r="Q63" s="334">
        <f t="shared" si="4"/>
        <v>0</v>
      </c>
      <c r="R63" s="334">
        <f t="shared" si="5"/>
        <v>0</v>
      </c>
    </row>
    <row r="64" spans="1:18" ht="16.5" thickBot="1">
      <c r="A64" s="40" t="str">
        <f>IF('Sch2a-Imp Price by ECM'!B65="","",'Sch2a-Imp Price by ECM'!B65)</f>
        <v/>
      </c>
      <c r="B64" s="76" t="str">
        <f>IF('Sch2a-Imp Price by ECM'!D65="","",'Sch2a-Imp Price by ECM'!D65)</f>
        <v/>
      </c>
      <c r="C64" s="331" t="s">
        <v>333</v>
      </c>
      <c r="D64" s="332">
        <f>'Sch4-Cost Savings by ECM'!P64</f>
        <v>0</v>
      </c>
      <c r="E64" s="376">
        <f>VLOOKUP(C64,'eGRID subregion name'!$A$2:$N$30,8,0)</f>
        <v>189.83531623683197</v>
      </c>
      <c r="F64" s="376">
        <f t="shared" si="6"/>
        <v>0</v>
      </c>
      <c r="G64" s="333">
        <f>'Sch4-Cost Savings by ECM'!T64</f>
        <v>0</v>
      </c>
      <c r="H64" s="334">
        <f>VLOOKUP("Natural Gas", 'GHG Emissions'!$D$2:$M$66,4,FALSE)+VLOOKUP("Natural Gas", 'GHG Emissions'!$D$2:$M$66,6,FALSE)*'eGRID subregion name'!$P$3+VLOOKUP("Natural Gas", 'GHG Emissions'!$D$2:$M$66,8,FALSE)*'eGRID subregion name'!$P$4</f>
        <v>53.114800000000002</v>
      </c>
      <c r="I64" s="334">
        <f t="shared" si="1"/>
        <v>0</v>
      </c>
      <c r="J64" s="333">
        <f>'Sch4-Cost Savings by ECM'!V64</f>
        <v>0</v>
      </c>
      <c r="K6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4" s="334">
        <f t="shared" si="7"/>
        <v>0</v>
      </c>
      <c r="M64" s="333">
        <f>'Sch4-Cost Savings by ECM'!X64</f>
        <v>0</v>
      </c>
      <c r="N6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4" s="334">
        <f t="shared" si="2"/>
        <v>0</v>
      </c>
      <c r="P64" s="334">
        <f t="shared" si="3"/>
        <v>0</v>
      </c>
      <c r="Q64" s="334">
        <f t="shared" si="4"/>
        <v>0</v>
      </c>
      <c r="R64" s="334">
        <f t="shared" si="5"/>
        <v>0</v>
      </c>
    </row>
    <row r="65" spans="1:18" ht="16.5" thickBot="1">
      <c r="A65" s="40" t="str">
        <f>IF('Sch2a-Imp Price by ECM'!B66="","",'Sch2a-Imp Price by ECM'!B66)</f>
        <v/>
      </c>
      <c r="B65" s="76" t="str">
        <f>IF('Sch2a-Imp Price by ECM'!D66="","",'Sch2a-Imp Price by ECM'!D66)</f>
        <v/>
      </c>
      <c r="C65" s="331" t="s">
        <v>333</v>
      </c>
      <c r="D65" s="332">
        <f>'Sch4-Cost Savings by ECM'!P65</f>
        <v>0</v>
      </c>
      <c r="E65" s="376">
        <f>VLOOKUP(C65,'eGRID subregion name'!$A$2:$N$30,8,0)</f>
        <v>189.83531623683197</v>
      </c>
      <c r="F65" s="376">
        <f t="shared" si="6"/>
        <v>0</v>
      </c>
      <c r="G65" s="333">
        <f>'Sch4-Cost Savings by ECM'!T65</f>
        <v>0</v>
      </c>
      <c r="H65" s="334">
        <f>VLOOKUP("Natural Gas", 'GHG Emissions'!$D$2:$M$66,4,FALSE)+VLOOKUP("Natural Gas", 'GHG Emissions'!$D$2:$M$66,6,FALSE)*'eGRID subregion name'!$P$3+VLOOKUP("Natural Gas", 'GHG Emissions'!$D$2:$M$66,8,FALSE)*'eGRID subregion name'!$P$4</f>
        <v>53.114800000000002</v>
      </c>
      <c r="I65" s="334">
        <f t="shared" si="1"/>
        <v>0</v>
      </c>
      <c r="J65" s="333">
        <f>'Sch4-Cost Savings by ECM'!V65</f>
        <v>0</v>
      </c>
      <c r="K6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5" s="334">
        <f t="shared" si="7"/>
        <v>0</v>
      </c>
      <c r="M65" s="333">
        <f>'Sch4-Cost Savings by ECM'!X65</f>
        <v>0</v>
      </c>
      <c r="N6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5" s="334">
        <f t="shared" si="2"/>
        <v>0</v>
      </c>
      <c r="P65" s="334">
        <f t="shared" si="3"/>
        <v>0</v>
      </c>
      <c r="Q65" s="334">
        <f t="shared" si="4"/>
        <v>0</v>
      </c>
      <c r="R65" s="334">
        <f t="shared" si="5"/>
        <v>0</v>
      </c>
    </row>
    <row r="66" spans="1:18" ht="16.5" thickBot="1">
      <c r="A66" s="40" t="str">
        <f>IF('Sch2a-Imp Price by ECM'!B67="","",'Sch2a-Imp Price by ECM'!B67)</f>
        <v/>
      </c>
      <c r="B66" s="76" t="str">
        <f>IF('Sch2a-Imp Price by ECM'!D67="","",'Sch2a-Imp Price by ECM'!D67)</f>
        <v/>
      </c>
      <c r="C66" s="331" t="s">
        <v>333</v>
      </c>
      <c r="D66" s="332">
        <f>'Sch4-Cost Savings by ECM'!P66</f>
        <v>0</v>
      </c>
      <c r="E66" s="376">
        <f>VLOOKUP(C66,'eGRID subregion name'!$A$2:$N$30,8,0)</f>
        <v>189.83531623683197</v>
      </c>
      <c r="F66" s="376">
        <f t="shared" si="6"/>
        <v>0</v>
      </c>
      <c r="G66" s="333">
        <f>'Sch4-Cost Savings by ECM'!T66</f>
        <v>0</v>
      </c>
      <c r="H66" s="334">
        <f>VLOOKUP("Natural Gas", 'GHG Emissions'!$D$2:$M$66,4,FALSE)+VLOOKUP("Natural Gas", 'GHG Emissions'!$D$2:$M$66,6,FALSE)*'eGRID subregion name'!$P$3+VLOOKUP("Natural Gas", 'GHG Emissions'!$D$2:$M$66,8,FALSE)*'eGRID subregion name'!$P$4</f>
        <v>53.114800000000002</v>
      </c>
      <c r="I66" s="334">
        <f t="shared" si="1"/>
        <v>0</v>
      </c>
      <c r="J66" s="333">
        <f>'Sch4-Cost Savings by ECM'!V66</f>
        <v>0</v>
      </c>
      <c r="K6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6" s="334">
        <f t="shared" si="7"/>
        <v>0</v>
      </c>
      <c r="M66" s="333">
        <f>'Sch4-Cost Savings by ECM'!X66</f>
        <v>0</v>
      </c>
      <c r="N6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6" s="334">
        <f t="shared" si="2"/>
        <v>0</v>
      </c>
      <c r="P66" s="334">
        <f t="shared" si="3"/>
        <v>0</v>
      </c>
      <c r="Q66" s="334">
        <f t="shared" si="4"/>
        <v>0</v>
      </c>
      <c r="R66" s="334">
        <f t="shared" si="5"/>
        <v>0</v>
      </c>
    </row>
    <row r="67" spans="1:18" ht="16.5" thickBot="1">
      <c r="A67" s="40" t="str">
        <f>IF('Sch2a-Imp Price by ECM'!B68="","",'Sch2a-Imp Price by ECM'!B68)</f>
        <v/>
      </c>
      <c r="B67" s="76" t="str">
        <f>IF('Sch2a-Imp Price by ECM'!D68="","",'Sch2a-Imp Price by ECM'!D68)</f>
        <v/>
      </c>
      <c r="C67" s="331" t="s">
        <v>333</v>
      </c>
      <c r="D67" s="332">
        <f>'Sch4-Cost Savings by ECM'!P67</f>
        <v>0</v>
      </c>
      <c r="E67" s="376">
        <f>VLOOKUP(C67,'eGRID subregion name'!$A$2:$N$30,8,0)</f>
        <v>189.83531623683197</v>
      </c>
      <c r="F67" s="376">
        <f t="shared" si="6"/>
        <v>0</v>
      </c>
      <c r="G67" s="333">
        <f>'Sch4-Cost Savings by ECM'!T67</f>
        <v>0</v>
      </c>
      <c r="H67" s="334">
        <f>VLOOKUP("Natural Gas", 'GHG Emissions'!$D$2:$M$66,4,FALSE)+VLOOKUP("Natural Gas", 'GHG Emissions'!$D$2:$M$66,6,FALSE)*'eGRID subregion name'!$P$3+VLOOKUP("Natural Gas", 'GHG Emissions'!$D$2:$M$66,8,FALSE)*'eGRID subregion name'!$P$4</f>
        <v>53.114800000000002</v>
      </c>
      <c r="I67" s="334">
        <f t="shared" si="1"/>
        <v>0</v>
      </c>
      <c r="J67" s="333">
        <f>'Sch4-Cost Savings by ECM'!V67</f>
        <v>0</v>
      </c>
      <c r="K6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7" s="334">
        <f t="shared" si="7"/>
        <v>0</v>
      </c>
      <c r="M67" s="333">
        <f>'Sch4-Cost Savings by ECM'!X67</f>
        <v>0</v>
      </c>
      <c r="N6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7" s="334">
        <f t="shared" si="2"/>
        <v>0</v>
      </c>
      <c r="P67" s="334">
        <f t="shared" si="3"/>
        <v>0</v>
      </c>
      <c r="Q67" s="334">
        <f t="shared" si="4"/>
        <v>0</v>
      </c>
      <c r="R67" s="334">
        <f t="shared" si="5"/>
        <v>0</v>
      </c>
    </row>
    <row r="68" spans="1:18" ht="16.5" thickBot="1">
      <c r="A68" s="40" t="str">
        <f>IF('Sch2a-Imp Price by ECM'!B69="","",'Sch2a-Imp Price by ECM'!B69)</f>
        <v/>
      </c>
      <c r="B68" s="76" t="str">
        <f>IF('Sch2a-Imp Price by ECM'!D69="","",'Sch2a-Imp Price by ECM'!D69)</f>
        <v/>
      </c>
      <c r="C68" s="331" t="s">
        <v>333</v>
      </c>
      <c r="D68" s="332">
        <f>'Sch4-Cost Savings by ECM'!P68</f>
        <v>0</v>
      </c>
      <c r="E68" s="376">
        <f>VLOOKUP(C68,'eGRID subregion name'!$A$2:$N$30,8,0)</f>
        <v>189.83531623683197</v>
      </c>
      <c r="F68" s="376">
        <f t="shared" si="6"/>
        <v>0</v>
      </c>
      <c r="G68" s="333">
        <f>'Sch4-Cost Savings by ECM'!T68</f>
        <v>0</v>
      </c>
      <c r="H68" s="334">
        <f>VLOOKUP("Natural Gas", 'GHG Emissions'!$D$2:$M$66,4,FALSE)+VLOOKUP("Natural Gas", 'GHG Emissions'!$D$2:$M$66,6,FALSE)*'eGRID subregion name'!$P$3+VLOOKUP("Natural Gas", 'GHG Emissions'!$D$2:$M$66,8,FALSE)*'eGRID subregion name'!$P$4</f>
        <v>53.114800000000002</v>
      </c>
      <c r="I68" s="334">
        <f t="shared" si="1"/>
        <v>0</v>
      </c>
      <c r="J68" s="333">
        <f>'Sch4-Cost Savings by ECM'!V68</f>
        <v>0</v>
      </c>
      <c r="K6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8" s="334">
        <f t="shared" si="7"/>
        <v>0</v>
      </c>
      <c r="M68" s="333">
        <f>'Sch4-Cost Savings by ECM'!X68</f>
        <v>0</v>
      </c>
      <c r="N6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8" s="334">
        <f t="shared" si="2"/>
        <v>0</v>
      </c>
      <c r="P68" s="334">
        <f t="shared" si="3"/>
        <v>0</v>
      </c>
      <c r="Q68" s="334">
        <f t="shared" si="4"/>
        <v>0</v>
      </c>
      <c r="R68" s="334">
        <f t="shared" si="5"/>
        <v>0</v>
      </c>
    </row>
    <row r="69" spans="1:18" ht="16.5" thickBot="1">
      <c r="A69" s="40" t="str">
        <f>IF('Sch2a-Imp Price by ECM'!B70="","",'Sch2a-Imp Price by ECM'!B70)</f>
        <v/>
      </c>
      <c r="B69" s="76" t="str">
        <f>IF('Sch2a-Imp Price by ECM'!D70="","",'Sch2a-Imp Price by ECM'!D70)</f>
        <v/>
      </c>
      <c r="C69" s="331" t="s">
        <v>333</v>
      </c>
      <c r="D69" s="332">
        <f>'Sch4-Cost Savings by ECM'!P69</f>
        <v>0</v>
      </c>
      <c r="E69" s="376">
        <f>VLOOKUP(C69,'eGRID subregion name'!$A$2:$N$30,8,0)</f>
        <v>189.83531623683197</v>
      </c>
      <c r="F69" s="376">
        <f t="shared" si="6"/>
        <v>0</v>
      </c>
      <c r="G69" s="333">
        <f>'Sch4-Cost Savings by ECM'!T69</f>
        <v>0</v>
      </c>
      <c r="H69" s="334">
        <f>VLOOKUP("Natural Gas", 'GHG Emissions'!$D$2:$M$66,4,FALSE)+VLOOKUP("Natural Gas", 'GHG Emissions'!$D$2:$M$66,6,FALSE)*'eGRID subregion name'!$P$3+VLOOKUP("Natural Gas", 'GHG Emissions'!$D$2:$M$66,8,FALSE)*'eGRID subregion name'!$P$4</f>
        <v>53.114800000000002</v>
      </c>
      <c r="I69" s="334">
        <f t="shared" si="1"/>
        <v>0</v>
      </c>
      <c r="J69" s="333">
        <f>'Sch4-Cost Savings by ECM'!V69</f>
        <v>0</v>
      </c>
      <c r="K6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69" s="334">
        <f t="shared" si="7"/>
        <v>0</v>
      </c>
      <c r="M69" s="333">
        <f>'Sch4-Cost Savings by ECM'!X69</f>
        <v>0</v>
      </c>
      <c r="N6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69" s="334">
        <f t="shared" si="2"/>
        <v>0</v>
      </c>
      <c r="P69" s="334">
        <f t="shared" si="3"/>
        <v>0</v>
      </c>
      <c r="Q69" s="334">
        <f t="shared" si="4"/>
        <v>0</v>
      </c>
      <c r="R69" s="334">
        <f t="shared" si="5"/>
        <v>0</v>
      </c>
    </row>
    <row r="70" spans="1:18" ht="16.5" thickBot="1">
      <c r="A70" s="40" t="str">
        <f>IF('Sch2a-Imp Price by ECM'!B71="","",'Sch2a-Imp Price by ECM'!B71)</f>
        <v/>
      </c>
      <c r="B70" s="76" t="str">
        <f>IF('Sch2a-Imp Price by ECM'!D71="","",'Sch2a-Imp Price by ECM'!D71)</f>
        <v/>
      </c>
      <c r="C70" s="331" t="s">
        <v>333</v>
      </c>
      <c r="D70" s="332">
        <f>'Sch4-Cost Savings by ECM'!P70</f>
        <v>0</v>
      </c>
      <c r="E70" s="376">
        <f>VLOOKUP(C70,'eGRID subregion name'!$A$2:$N$30,8,0)</f>
        <v>189.83531623683197</v>
      </c>
      <c r="F70" s="376">
        <f t="shared" si="6"/>
        <v>0</v>
      </c>
      <c r="G70" s="333">
        <f>'Sch4-Cost Savings by ECM'!T70</f>
        <v>0</v>
      </c>
      <c r="H70" s="334">
        <f>VLOOKUP("Natural Gas", 'GHG Emissions'!$D$2:$M$66,4,FALSE)+VLOOKUP("Natural Gas", 'GHG Emissions'!$D$2:$M$66,6,FALSE)*'eGRID subregion name'!$P$3+VLOOKUP("Natural Gas", 'GHG Emissions'!$D$2:$M$66,8,FALSE)*'eGRID subregion name'!$P$4</f>
        <v>53.114800000000002</v>
      </c>
      <c r="I70" s="334">
        <f t="shared" si="1"/>
        <v>0</v>
      </c>
      <c r="J70" s="333">
        <f>'Sch4-Cost Savings by ECM'!V70</f>
        <v>0</v>
      </c>
      <c r="K7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0" s="334">
        <f t="shared" si="7"/>
        <v>0</v>
      </c>
      <c r="M70" s="333">
        <f>'Sch4-Cost Savings by ECM'!X70</f>
        <v>0</v>
      </c>
      <c r="N7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0" s="334">
        <f t="shared" si="2"/>
        <v>0</v>
      </c>
      <c r="P70" s="334">
        <f t="shared" si="3"/>
        <v>0</v>
      </c>
      <c r="Q70" s="334">
        <f t="shared" si="4"/>
        <v>0</v>
      </c>
      <c r="R70" s="334">
        <f t="shared" si="5"/>
        <v>0</v>
      </c>
    </row>
    <row r="71" spans="1:18" ht="16.5" thickBot="1">
      <c r="A71" s="40" t="str">
        <f>IF('Sch2a-Imp Price by ECM'!B72="","",'Sch2a-Imp Price by ECM'!B72)</f>
        <v/>
      </c>
      <c r="B71" s="76" t="str">
        <f>IF('Sch2a-Imp Price by ECM'!D72="","",'Sch2a-Imp Price by ECM'!D72)</f>
        <v/>
      </c>
      <c r="C71" s="331" t="s">
        <v>333</v>
      </c>
      <c r="D71" s="332">
        <f>'Sch4-Cost Savings by ECM'!P71</f>
        <v>0</v>
      </c>
      <c r="E71" s="376">
        <f>VLOOKUP(C71,'eGRID subregion name'!$A$2:$N$30,8,0)</f>
        <v>189.83531623683197</v>
      </c>
      <c r="F71" s="376">
        <f t="shared" si="6"/>
        <v>0</v>
      </c>
      <c r="G71" s="333">
        <f>'Sch4-Cost Savings by ECM'!T71</f>
        <v>0</v>
      </c>
      <c r="H71" s="334">
        <f>VLOOKUP("Natural Gas", 'GHG Emissions'!$D$2:$M$66,4,FALSE)+VLOOKUP("Natural Gas", 'GHG Emissions'!$D$2:$M$66,6,FALSE)*'eGRID subregion name'!$P$3+VLOOKUP("Natural Gas", 'GHG Emissions'!$D$2:$M$66,8,FALSE)*'eGRID subregion name'!$P$4</f>
        <v>53.114800000000002</v>
      </c>
      <c r="I71" s="334">
        <f t="shared" si="1"/>
        <v>0</v>
      </c>
      <c r="J71" s="333">
        <f>'Sch4-Cost Savings by ECM'!V71</f>
        <v>0</v>
      </c>
      <c r="K7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1" s="334">
        <f t="shared" si="7"/>
        <v>0</v>
      </c>
      <c r="M71" s="333">
        <f>'Sch4-Cost Savings by ECM'!X71</f>
        <v>0</v>
      </c>
      <c r="N7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1" s="334">
        <f t="shared" si="2"/>
        <v>0</v>
      </c>
      <c r="P71" s="334">
        <f t="shared" si="3"/>
        <v>0</v>
      </c>
      <c r="Q71" s="334">
        <f t="shared" si="4"/>
        <v>0</v>
      </c>
      <c r="R71" s="334">
        <f t="shared" si="5"/>
        <v>0</v>
      </c>
    </row>
    <row r="72" spans="1:18" ht="16.5" thickBot="1">
      <c r="A72" s="40" t="str">
        <f>IF('Sch2a-Imp Price by ECM'!B73="","",'Sch2a-Imp Price by ECM'!B73)</f>
        <v/>
      </c>
      <c r="B72" s="76" t="str">
        <f>IF('Sch2a-Imp Price by ECM'!D73="","",'Sch2a-Imp Price by ECM'!D73)</f>
        <v/>
      </c>
      <c r="C72" s="331" t="s">
        <v>333</v>
      </c>
      <c r="D72" s="332">
        <f>'Sch4-Cost Savings by ECM'!P72</f>
        <v>0</v>
      </c>
      <c r="E72" s="376">
        <f>VLOOKUP(C72,'eGRID subregion name'!$A$2:$N$30,8,0)</f>
        <v>189.83531623683197</v>
      </c>
      <c r="F72" s="376">
        <f t="shared" si="6"/>
        <v>0</v>
      </c>
      <c r="G72" s="333">
        <f>'Sch4-Cost Savings by ECM'!T72</f>
        <v>0</v>
      </c>
      <c r="H72" s="334">
        <f>VLOOKUP("Natural Gas", 'GHG Emissions'!$D$2:$M$66,4,FALSE)+VLOOKUP("Natural Gas", 'GHG Emissions'!$D$2:$M$66,6,FALSE)*'eGRID subregion name'!$P$3+VLOOKUP("Natural Gas", 'GHG Emissions'!$D$2:$M$66,8,FALSE)*'eGRID subregion name'!$P$4</f>
        <v>53.114800000000002</v>
      </c>
      <c r="I72" s="334">
        <f t="shared" si="1"/>
        <v>0</v>
      </c>
      <c r="J72" s="333">
        <f>'Sch4-Cost Savings by ECM'!V72</f>
        <v>0</v>
      </c>
      <c r="K7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2" s="334">
        <f t="shared" si="7"/>
        <v>0</v>
      </c>
      <c r="M72" s="333">
        <f>'Sch4-Cost Savings by ECM'!X72</f>
        <v>0</v>
      </c>
      <c r="N7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2" s="334">
        <f t="shared" si="2"/>
        <v>0</v>
      </c>
      <c r="P72" s="334">
        <f t="shared" si="3"/>
        <v>0</v>
      </c>
      <c r="Q72" s="334">
        <f t="shared" si="4"/>
        <v>0</v>
      </c>
      <c r="R72" s="334">
        <f t="shared" si="5"/>
        <v>0</v>
      </c>
    </row>
    <row r="73" spans="1:18" ht="16.5" thickBot="1">
      <c r="A73" s="40" t="str">
        <f>IF('Sch2a-Imp Price by ECM'!B74="","",'Sch2a-Imp Price by ECM'!B74)</f>
        <v/>
      </c>
      <c r="B73" s="76" t="str">
        <f>IF('Sch2a-Imp Price by ECM'!D74="","",'Sch2a-Imp Price by ECM'!D74)</f>
        <v/>
      </c>
      <c r="C73" s="331" t="s">
        <v>333</v>
      </c>
      <c r="D73" s="332">
        <f>'Sch4-Cost Savings by ECM'!P73</f>
        <v>0</v>
      </c>
      <c r="E73" s="376">
        <f>VLOOKUP(C73,'eGRID subregion name'!$A$2:$N$30,8,0)</f>
        <v>189.83531623683197</v>
      </c>
      <c r="F73" s="376">
        <f t="shared" si="6"/>
        <v>0</v>
      </c>
      <c r="G73" s="333">
        <f>'Sch4-Cost Savings by ECM'!T73</f>
        <v>0</v>
      </c>
      <c r="H73" s="334">
        <f>VLOOKUP("Natural Gas", 'GHG Emissions'!$D$2:$M$66,4,FALSE)+VLOOKUP("Natural Gas", 'GHG Emissions'!$D$2:$M$66,6,FALSE)*'eGRID subregion name'!$P$3+VLOOKUP("Natural Gas", 'GHG Emissions'!$D$2:$M$66,8,FALSE)*'eGRID subregion name'!$P$4</f>
        <v>53.114800000000002</v>
      </c>
      <c r="I73" s="334">
        <f t="shared" ref="I73:I136" si="8">G73*H73</f>
        <v>0</v>
      </c>
      <c r="J73" s="333">
        <f>'Sch4-Cost Savings by ECM'!V73</f>
        <v>0</v>
      </c>
      <c r="K7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3" s="334">
        <f t="shared" si="7"/>
        <v>0</v>
      </c>
      <c r="M73" s="333">
        <f>'Sch4-Cost Savings by ECM'!X73</f>
        <v>0</v>
      </c>
      <c r="N7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3" s="334">
        <f t="shared" ref="O73:O136" si="9">M73*N73</f>
        <v>0</v>
      </c>
      <c r="P73" s="334">
        <f t="shared" ref="P73:P136" si="10">I73+IF(AND($L$5&lt;&gt;"Other Savings Type 1: Chilled Water",$L$5&lt;&gt;"Other Savings Type 1: Purchased Steam"),L73,0)+IF(AND($O$5&lt;&gt;"Other Savings Type 2: Chilled Water",$O$5&lt;&gt;"Other Savings Type 2: Purchased Steam"),O73,0)</f>
        <v>0</v>
      </c>
      <c r="Q73" s="334">
        <f t="shared" ref="Q73:Q136" si="11">F73+IF(OR($L$5="Other Savings Type 1: Chilled Water",$L$5="Other Savings Type 1: Purchased Steam"),L73,0)+IF(OR($O$5="Other Savings Type 2: Chilled Water",$O$5="Other Savings Type 2: Purchased Steam"),O73,0)</f>
        <v>0</v>
      </c>
      <c r="R73" s="334">
        <f t="shared" ref="R73:R136" si="12">P73+Q73</f>
        <v>0</v>
      </c>
    </row>
    <row r="74" spans="1:18" ht="16.5" thickBot="1">
      <c r="A74" s="40" t="str">
        <f>IF('Sch2a-Imp Price by ECM'!B75="","",'Sch2a-Imp Price by ECM'!B75)</f>
        <v/>
      </c>
      <c r="B74" s="76" t="str">
        <f>IF('Sch2a-Imp Price by ECM'!D75="","",'Sch2a-Imp Price by ECM'!D75)</f>
        <v/>
      </c>
      <c r="C74" s="331" t="s">
        <v>333</v>
      </c>
      <c r="D74" s="332">
        <f>'Sch4-Cost Savings by ECM'!P74</f>
        <v>0</v>
      </c>
      <c r="E74" s="376">
        <f>VLOOKUP(C74,'eGRID subregion name'!$A$2:$N$30,8,0)</f>
        <v>189.83531623683197</v>
      </c>
      <c r="F74" s="376">
        <f t="shared" ref="F74:F137" si="13">D74*3412*E74/1000000</f>
        <v>0</v>
      </c>
      <c r="G74" s="333">
        <f>'Sch4-Cost Savings by ECM'!T74</f>
        <v>0</v>
      </c>
      <c r="H74" s="334">
        <f>VLOOKUP("Natural Gas", 'GHG Emissions'!$D$2:$M$66,4,FALSE)+VLOOKUP("Natural Gas", 'GHG Emissions'!$D$2:$M$66,6,FALSE)*'eGRID subregion name'!$P$3+VLOOKUP("Natural Gas", 'GHG Emissions'!$D$2:$M$66,8,FALSE)*'eGRID subregion name'!$P$4</f>
        <v>53.114800000000002</v>
      </c>
      <c r="I74" s="334">
        <f t="shared" si="8"/>
        <v>0</v>
      </c>
      <c r="J74" s="333">
        <f>'Sch4-Cost Savings by ECM'!V74</f>
        <v>0</v>
      </c>
      <c r="K7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4" s="334">
        <f t="shared" ref="L74:L137" si="14">K74*J74</f>
        <v>0</v>
      </c>
      <c r="M74" s="333">
        <f>'Sch4-Cost Savings by ECM'!X74</f>
        <v>0</v>
      </c>
      <c r="N7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4" s="334">
        <f t="shared" si="9"/>
        <v>0</v>
      </c>
      <c r="P74" s="334">
        <f t="shared" si="10"/>
        <v>0</v>
      </c>
      <c r="Q74" s="334">
        <f t="shared" si="11"/>
        <v>0</v>
      </c>
      <c r="R74" s="334">
        <f t="shared" si="12"/>
        <v>0</v>
      </c>
    </row>
    <row r="75" spans="1:18" ht="16.5" thickBot="1">
      <c r="A75" s="40" t="str">
        <f>IF('Sch2a-Imp Price by ECM'!B76="","",'Sch2a-Imp Price by ECM'!B76)</f>
        <v/>
      </c>
      <c r="B75" s="76" t="str">
        <f>IF('Sch2a-Imp Price by ECM'!D76="","",'Sch2a-Imp Price by ECM'!D76)</f>
        <v/>
      </c>
      <c r="C75" s="331" t="s">
        <v>333</v>
      </c>
      <c r="D75" s="332">
        <f>'Sch4-Cost Savings by ECM'!P75</f>
        <v>0</v>
      </c>
      <c r="E75" s="376">
        <f>VLOOKUP(C75,'eGRID subregion name'!$A$2:$N$30,8,0)</f>
        <v>189.83531623683197</v>
      </c>
      <c r="F75" s="376">
        <f t="shared" si="13"/>
        <v>0</v>
      </c>
      <c r="G75" s="333">
        <f>'Sch4-Cost Savings by ECM'!T75</f>
        <v>0</v>
      </c>
      <c r="H75" s="334">
        <f>VLOOKUP("Natural Gas", 'GHG Emissions'!$D$2:$M$66,4,FALSE)+VLOOKUP("Natural Gas", 'GHG Emissions'!$D$2:$M$66,6,FALSE)*'eGRID subregion name'!$P$3+VLOOKUP("Natural Gas", 'GHG Emissions'!$D$2:$M$66,8,FALSE)*'eGRID subregion name'!$P$4</f>
        <v>53.114800000000002</v>
      </c>
      <c r="I75" s="334">
        <f t="shared" si="8"/>
        <v>0</v>
      </c>
      <c r="J75" s="333">
        <f>'Sch4-Cost Savings by ECM'!V75</f>
        <v>0</v>
      </c>
      <c r="K7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5" s="334">
        <f t="shared" si="14"/>
        <v>0</v>
      </c>
      <c r="M75" s="333">
        <f>'Sch4-Cost Savings by ECM'!X75</f>
        <v>0</v>
      </c>
      <c r="N7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5" s="334">
        <f t="shared" si="9"/>
        <v>0</v>
      </c>
      <c r="P75" s="334">
        <f t="shared" si="10"/>
        <v>0</v>
      </c>
      <c r="Q75" s="334">
        <f t="shared" si="11"/>
        <v>0</v>
      </c>
      <c r="R75" s="334">
        <f t="shared" si="12"/>
        <v>0</v>
      </c>
    </row>
    <row r="76" spans="1:18" ht="18" customHeight="1" thickBot="1">
      <c r="A76" s="40" t="str">
        <f>IF('Sch2a-Imp Price by ECM'!B77="","",'Sch2a-Imp Price by ECM'!B77)</f>
        <v/>
      </c>
      <c r="B76" s="76" t="str">
        <f>IF('Sch2a-Imp Price by ECM'!D77="","",'Sch2a-Imp Price by ECM'!D77)</f>
        <v/>
      </c>
      <c r="C76" s="331" t="s">
        <v>333</v>
      </c>
      <c r="D76" s="332">
        <f>'Sch4-Cost Savings by ECM'!P76</f>
        <v>0</v>
      </c>
      <c r="E76" s="376">
        <f>VLOOKUP(C76,'eGRID subregion name'!$A$2:$N$30,8,0)</f>
        <v>189.83531623683197</v>
      </c>
      <c r="F76" s="376">
        <f t="shared" si="13"/>
        <v>0</v>
      </c>
      <c r="G76" s="333">
        <f>'Sch4-Cost Savings by ECM'!T76</f>
        <v>0</v>
      </c>
      <c r="H76" s="334">
        <f>VLOOKUP("Natural Gas", 'GHG Emissions'!$D$2:$M$66,4,FALSE)+VLOOKUP("Natural Gas", 'GHG Emissions'!$D$2:$M$66,6,FALSE)*'eGRID subregion name'!$P$3+VLOOKUP("Natural Gas", 'GHG Emissions'!$D$2:$M$66,8,FALSE)*'eGRID subregion name'!$P$4</f>
        <v>53.114800000000002</v>
      </c>
      <c r="I76" s="334">
        <f t="shared" si="8"/>
        <v>0</v>
      </c>
      <c r="J76" s="333">
        <f>'Sch4-Cost Savings by ECM'!V76</f>
        <v>0</v>
      </c>
      <c r="K7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6" s="334">
        <f t="shared" si="14"/>
        <v>0</v>
      </c>
      <c r="M76" s="333">
        <f>'Sch4-Cost Savings by ECM'!X76</f>
        <v>0</v>
      </c>
      <c r="N7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6" s="334">
        <f t="shared" si="9"/>
        <v>0</v>
      </c>
      <c r="P76" s="334">
        <f t="shared" si="10"/>
        <v>0</v>
      </c>
      <c r="Q76" s="334">
        <f t="shared" si="11"/>
        <v>0</v>
      </c>
      <c r="R76" s="334">
        <f t="shared" si="12"/>
        <v>0</v>
      </c>
    </row>
    <row r="77" spans="1:18" ht="16.5" thickBot="1">
      <c r="A77" s="40" t="str">
        <f>IF('Sch2a-Imp Price by ECM'!B78="","",'Sch2a-Imp Price by ECM'!B78)</f>
        <v/>
      </c>
      <c r="B77" s="76" t="str">
        <f>IF('Sch2a-Imp Price by ECM'!D78="","",'Sch2a-Imp Price by ECM'!D78)</f>
        <v/>
      </c>
      <c r="C77" s="331" t="s">
        <v>333</v>
      </c>
      <c r="D77" s="332">
        <f>'Sch4-Cost Savings by ECM'!P77</f>
        <v>0</v>
      </c>
      <c r="E77" s="376">
        <f>VLOOKUP(C77,'eGRID subregion name'!$A$2:$N$30,8,0)</f>
        <v>189.83531623683197</v>
      </c>
      <c r="F77" s="376">
        <f t="shared" si="13"/>
        <v>0</v>
      </c>
      <c r="G77" s="333">
        <f>'Sch4-Cost Savings by ECM'!T77</f>
        <v>0</v>
      </c>
      <c r="H77" s="334">
        <f>VLOOKUP("Natural Gas", 'GHG Emissions'!$D$2:$M$66,4,FALSE)+VLOOKUP("Natural Gas", 'GHG Emissions'!$D$2:$M$66,6,FALSE)*'eGRID subregion name'!$P$3+VLOOKUP("Natural Gas", 'GHG Emissions'!$D$2:$M$66,8,FALSE)*'eGRID subregion name'!$P$4</f>
        <v>53.114800000000002</v>
      </c>
      <c r="I77" s="334">
        <f t="shared" si="8"/>
        <v>0</v>
      </c>
      <c r="J77" s="333">
        <f>'Sch4-Cost Savings by ECM'!V77</f>
        <v>0</v>
      </c>
      <c r="K7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7" s="334">
        <f t="shared" si="14"/>
        <v>0</v>
      </c>
      <c r="M77" s="333">
        <f>'Sch4-Cost Savings by ECM'!X77</f>
        <v>0</v>
      </c>
      <c r="N7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7" s="334">
        <f t="shared" si="9"/>
        <v>0</v>
      </c>
      <c r="P77" s="334">
        <f t="shared" si="10"/>
        <v>0</v>
      </c>
      <c r="Q77" s="334">
        <f t="shared" si="11"/>
        <v>0</v>
      </c>
      <c r="R77" s="334">
        <f t="shared" si="12"/>
        <v>0</v>
      </c>
    </row>
    <row r="78" spans="1:18" ht="16.5" thickBot="1">
      <c r="A78" s="40" t="str">
        <f>IF('Sch2a-Imp Price by ECM'!B79="","",'Sch2a-Imp Price by ECM'!B79)</f>
        <v/>
      </c>
      <c r="B78" s="76" t="str">
        <f>IF('Sch2a-Imp Price by ECM'!D79="","",'Sch2a-Imp Price by ECM'!D79)</f>
        <v/>
      </c>
      <c r="C78" s="331" t="s">
        <v>333</v>
      </c>
      <c r="D78" s="332">
        <f>'Sch4-Cost Savings by ECM'!P78</f>
        <v>0</v>
      </c>
      <c r="E78" s="376">
        <f>VLOOKUP(C78,'eGRID subregion name'!$A$2:$N$30,8,0)</f>
        <v>189.83531623683197</v>
      </c>
      <c r="F78" s="376">
        <f t="shared" si="13"/>
        <v>0</v>
      </c>
      <c r="G78" s="333">
        <f>'Sch4-Cost Savings by ECM'!T78</f>
        <v>0</v>
      </c>
      <c r="H78" s="334">
        <f>VLOOKUP("Natural Gas", 'GHG Emissions'!$D$2:$M$66,4,FALSE)+VLOOKUP("Natural Gas", 'GHG Emissions'!$D$2:$M$66,6,FALSE)*'eGRID subregion name'!$P$3+VLOOKUP("Natural Gas", 'GHG Emissions'!$D$2:$M$66,8,FALSE)*'eGRID subregion name'!$P$4</f>
        <v>53.114800000000002</v>
      </c>
      <c r="I78" s="334">
        <f t="shared" si="8"/>
        <v>0</v>
      </c>
      <c r="J78" s="333">
        <f>'Sch4-Cost Savings by ECM'!V78</f>
        <v>0</v>
      </c>
      <c r="K7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8" s="334">
        <f t="shared" si="14"/>
        <v>0</v>
      </c>
      <c r="M78" s="333">
        <f>'Sch4-Cost Savings by ECM'!X78</f>
        <v>0</v>
      </c>
      <c r="N7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8" s="334">
        <f t="shared" si="9"/>
        <v>0</v>
      </c>
      <c r="P78" s="334">
        <f t="shared" si="10"/>
        <v>0</v>
      </c>
      <c r="Q78" s="334">
        <f t="shared" si="11"/>
        <v>0</v>
      </c>
      <c r="R78" s="334">
        <f t="shared" si="12"/>
        <v>0</v>
      </c>
    </row>
    <row r="79" spans="1:18" ht="16.5" thickBot="1">
      <c r="A79" s="40" t="str">
        <f>IF('Sch2a-Imp Price by ECM'!B80="","",'Sch2a-Imp Price by ECM'!B80)</f>
        <v/>
      </c>
      <c r="B79" s="76" t="str">
        <f>IF('Sch2a-Imp Price by ECM'!D80="","",'Sch2a-Imp Price by ECM'!D80)</f>
        <v/>
      </c>
      <c r="C79" s="331" t="s">
        <v>333</v>
      </c>
      <c r="D79" s="332">
        <f>'Sch4-Cost Savings by ECM'!P79</f>
        <v>0</v>
      </c>
      <c r="E79" s="376">
        <f>VLOOKUP(C79,'eGRID subregion name'!$A$2:$N$30,8,0)</f>
        <v>189.83531623683197</v>
      </c>
      <c r="F79" s="376">
        <f t="shared" si="13"/>
        <v>0</v>
      </c>
      <c r="G79" s="333">
        <f>'Sch4-Cost Savings by ECM'!T79</f>
        <v>0</v>
      </c>
      <c r="H79" s="334">
        <f>VLOOKUP("Natural Gas", 'GHG Emissions'!$D$2:$M$66,4,FALSE)+VLOOKUP("Natural Gas", 'GHG Emissions'!$D$2:$M$66,6,FALSE)*'eGRID subregion name'!$P$3+VLOOKUP("Natural Gas", 'GHG Emissions'!$D$2:$M$66,8,FALSE)*'eGRID subregion name'!$P$4</f>
        <v>53.114800000000002</v>
      </c>
      <c r="I79" s="334">
        <f t="shared" si="8"/>
        <v>0</v>
      </c>
      <c r="J79" s="333">
        <f>'Sch4-Cost Savings by ECM'!V79</f>
        <v>0</v>
      </c>
      <c r="K7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79" s="334">
        <f t="shared" si="14"/>
        <v>0</v>
      </c>
      <c r="M79" s="333">
        <f>'Sch4-Cost Savings by ECM'!X79</f>
        <v>0</v>
      </c>
      <c r="N7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79" s="334">
        <f t="shared" si="9"/>
        <v>0</v>
      </c>
      <c r="P79" s="334">
        <f t="shared" si="10"/>
        <v>0</v>
      </c>
      <c r="Q79" s="334">
        <f t="shared" si="11"/>
        <v>0</v>
      </c>
      <c r="R79" s="334">
        <f t="shared" si="12"/>
        <v>0</v>
      </c>
    </row>
    <row r="80" spans="1:18" ht="16.5" thickBot="1">
      <c r="A80" s="40" t="str">
        <f>IF('Sch2a-Imp Price by ECM'!B81="","",'Sch2a-Imp Price by ECM'!B81)</f>
        <v/>
      </c>
      <c r="B80" s="76" t="str">
        <f>IF('Sch2a-Imp Price by ECM'!D81="","",'Sch2a-Imp Price by ECM'!D81)</f>
        <v/>
      </c>
      <c r="C80" s="331" t="s">
        <v>333</v>
      </c>
      <c r="D80" s="332">
        <f>'Sch4-Cost Savings by ECM'!P80</f>
        <v>0</v>
      </c>
      <c r="E80" s="376">
        <f>VLOOKUP(C80,'eGRID subregion name'!$A$2:$N$30,8,0)</f>
        <v>189.83531623683197</v>
      </c>
      <c r="F80" s="376">
        <f t="shared" si="13"/>
        <v>0</v>
      </c>
      <c r="G80" s="333">
        <f>'Sch4-Cost Savings by ECM'!T80</f>
        <v>0</v>
      </c>
      <c r="H80" s="334">
        <f>VLOOKUP("Natural Gas", 'GHG Emissions'!$D$2:$M$66,4,FALSE)+VLOOKUP("Natural Gas", 'GHG Emissions'!$D$2:$M$66,6,FALSE)*'eGRID subregion name'!$P$3+VLOOKUP("Natural Gas", 'GHG Emissions'!$D$2:$M$66,8,FALSE)*'eGRID subregion name'!$P$4</f>
        <v>53.114800000000002</v>
      </c>
      <c r="I80" s="334">
        <f t="shared" si="8"/>
        <v>0</v>
      </c>
      <c r="J80" s="333">
        <f>'Sch4-Cost Savings by ECM'!V80</f>
        <v>0</v>
      </c>
      <c r="K8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0" s="334">
        <f t="shared" si="14"/>
        <v>0</v>
      </c>
      <c r="M80" s="333">
        <f>'Sch4-Cost Savings by ECM'!X80</f>
        <v>0</v>
      </c>
      <c r="N8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0" s="334">
        <f t="shared" si="9"/>
        <v>0</v>
      </c>
      <c r="P80" s="334">
        <f t="shared" si="10"/>
        <v>0</v>
      </c>
      <c r="Q80" s="334">
        <f t="shared" si="11"/>
        <v>0</v>
      </c>
      <c r="R80" s="334">
        <f t="shared" si="12"/>
        <v>0</v>
      </c>
    </row>
    <row r="81" spans="1:18" ht="16.5" thickBot="1">
      <c r="A81" s="40" t="str">
        <f>IF('Sch2a-Imp Price by ECM'!B82="","",'Sch2a-Imp Price by ECM'!B82)</f>
        <v/>
      </c>
      <c r="B81" s="76" t="str">
        <f>IF('Sch2a-Imp Price by ECM'!D82="","",'Sch2a-Imp Price by ECM'!D82)</f>
        <v/>
      </c>
      <c r="C81" s="331" t="s">
        <v>333</v>
      </c>
      <c r="D81" s="332">
        <f>'Sch4-Cost Savings by ECM'!P81</f>
        <v>0</v>
      </c>
      <c r="E81" s="376">
        <f>VLOOKUP(C81,'eGRID subregion name'!$A$2:$N$30,8,0)</f>
        <v>189.83531623683197</v>
      </c>
      <c r="F81" s="376">
        <f t="shared" si="13"/>
        <v>0</v>
      </c>
      <c r="G81" s="333">
        <f>'Sch4-Cost Savings by ECM'!T81</f>
        <v>0</v>
      </c>
      <c r="H81" s="334">
        <f>VLOOKUP("Natural Gas", 'GHG Emissions'!$D$2:$M$66,4,FALSE)+VLOOKUP("Natural Gas", 'GHG Emissions'!$D$2:$M$66,6,FALSE)*'eGRID subregion name'!$P$3+VLOOKUP("Natural Gas", 'GHG Emissions'!$D$2:$M$66,8,FALSE)*'eGRID subregion name'!$P$4</f>
        <v>53.114800000000002</v>
      </c>
      <c r="I81" s="334">
        <f t="shared" si="8"/>
        <v>0</v>
      </c>
      <c r="J81" s="333">
        <f>'Sch4-Cost Savings by ECM'!V81</f>
        <v>0</v>
      </c>
      <c r="K8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1" s="334">
        <f t="shared" si="14"/>
        <v>0</v>
      </c>
      <c r="M81" s="333">
        <f>'Sch4-Cost Savings by ECM'!X81</f>
        <v>0</v>
      </c>
      <c r="N8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1" s="334">
        <f t="shared" si="9"/>
        <v>0</v>
      </c>
      <c r="P81" s="334">
        <f t="shared" si="10"/>
        <v>0</v>
      </c>
      <c r="Q81" s="334">
        <f t="shared" si="11"/>
        <v>0</v>
      </c>
      <c r="R81" s="334">
        <f t="shared" si="12"/>
        <v>0</v>
      </c>
    </row>
    <row r="82" spans="1:18" ht="16.5" thickBot="1">
      <c r="A82" s="40" t="str">
        <f>IF('Sch2a-Imp Price by ECM'!B83="","",'Sch2a-Imp Price by ECM'!B83)</f>
        <v/>
      </c>
      <c r="B82" s="76" t="str">
        <f>IF('Sch2a-Imp Price by ECM'!D83="","",'Sch2a-Imp Price by ECM'!D83)</f>
        <v/>
      </c>
      <c r="C82" s="331" t="s">
        <v>333</v>
      </c>
      <c r="D82" s="332">
        <f>'Sch4-Cost Savings by ECM'!P82</f>
        <v>0</v>
      </c>
      <c r="E82" s="376">
        <f>VLOOKUP(C82,'eGRID subregion name'!$A$2:$N$30,8,0)</f>
        <v>189.83531623683197</v>
      </c>
      <c r="F82" s="376">
        <f t="shared" si="13"/>
        <v>0</v>
      </c>
      <c r="G82" s="333">
        <f>'Sch4-Cost Savings by ECM'!T82</f>
        <v>0</v>
      </c>
      <c r="H82" s="334">
        <f>VLOOKUP("Natural Gas", 'GHG Emissions'!$D$2:$M$66,4,FALSE)+VLOOKUP("Natural Gas", 'GHG Emissions'!$D$2:$M$66,6,FALSE)*'eGRID subregion name'!$P$3+VLOOKUP("Natural Gas", 'GHG Emissions'!$D$2:$M$66,8,FALSE)*'eGRID subregion name'!$P$4</f>
        <v>53.114800000000002</v>
      </c>
      <c r="I82" s="334">
        <f t="shared" si="8"/>
        <v>0</v>
      </c>
      <c r="J82" s="333">
        <f>'Sch4-Cost Savings by ECM'!V82</f>
        <v>0</v>
      </c>
      <c r="K8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2" s="334">
        <f t="shared" si="14"/>
        <v>0</v>
      </c>
      <c r="M82" s="333">
        <f>'Sch4-Cost Savings by ECM'!X82</f>
        <v>0</v>
      </c>
      <c r="N8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2" s="334">
        <f t="shared" si="9"/>
        <v>0</v>
      </c>
      <c r="P82" s="334">
        <f t="shared" si="10"/>
        <v>0</v>
      </c>
      <c r="Q82" s="334">
        <f t="shared" si="11"/>
        <v>0</v>
      </c>
      <c r="R82" s="334">
        <f t="shared" si="12"/>
        <v>0</v>
      </c>
    </row>
    <row r="83" spans="1:18" ht="16.5" thickBot="1">
      <c r="A83" s="40" t="str">
        <f>IF('Sch2a-Imp Price by ECM'!B84="","",'Sch2a-Imp Price by ECM'!B84)</f>
        <v/>
      </c>
      <c r="B83" s="76" t="str">
        <f>IF('Sch2a-Imp Price by ECM'!D84="","",'Sch2a-Imp Price by ECM'!D84)</f>
        <v/>
      </c>
      <c r="C83" s="331" t="s">
        <v>333</v>
      </c>
      <c r="D83" s="332">
        <f>'Sch4-Cost Savings by ECM'!P83</f>
        <v>0</v>
      </c>
      <c r="E83" s="376">
        <f>VLOOKUP(C83,'eGRID subregion name'!$A$2:$N$30,8,0)</f>
        <v>189.83531623683197</v>
      </c>
      <c r="F83" s="376">
        <f t="shared" si="13"/>
        <v>0</v>
      </c>
      <c r="G83" s="333">
        <f>'Sch4-Cost Savings by ECM'!T83</f>
        <v>0</v>
      </c>
      <c r="H83" s="334">
        <f>VLOOKUP("Natural Gas", 'GHG Emissions'!$D$2:$M$66,4,FALSE)+VLOOKUP("Natural Gas", 'GHG Emissions'!$D$2:$M$66,6,FALSE)*'eGRID subregion name'!$P$3+VLOOKUP("Natural Gas", 'GHG Emissions'!$D$2:$M$66,8,FALSE)*'eGRID subregion name'!$P$4</f>
        <v>53.114800000000002</v>
      </c>
      <c r="I83" s="334">
        <f t="shared" si="8"/>
        <v>0</v>
      </c>
      <c r="J83" s="333">
        <f>'Sch4-Cost Savings by ECM'!V83</f>
        <v>0</v>
      </c>
      <c r="K8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3" s="334">
        <f t="shared" si="14"/>
        <v>0</v>
      </c>
      <c r="M83" s="333">
        <f>'Sch4-Cost Savings by ECM'!X83</f>
        <v>0</v>
      </c>
      <c r="N8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3" s="334">
        <f t="shared" si="9"/>
        <v>0</v>
      </c>
      <c r="P83" s="334">
        <f t="shared" si="10"/>
        <v>0</v>
      </c>
      <c r="Q83" s="334">
        <f t="shared" si="11"/>
        <v>0</v>
      </c>
      <c r="R83" s="334">
        <f t="shared" si="12"/>
        <v>0</v>
      </c>
    </row>
    <row r="84" spans="1:18" ht="16.5" thickBot="1">
      <c r="A84" s="40" t="str">
        <f>IF('Sch2a-Imp Price by ECM'!B85="","",'Sch2a-Imp Price by ECM'!B85)</f>
        <v/>
      </c>
      <c r="B84" s="76" t="str">
        <f>IF('Sch2a-Imp Price by ECM'!D85="","",'Sch2a-Imp Price by ECM'!D85)</f>
        <v/>
      </c>
      <c r="C84" s="331" t="s">
        <v>333</v>
      </c>
      <c r="D84" s="332">
        <f>'Sch4-Cost Savings by ECM'!P84</f>
        <v>0</v>
      </c>
      <c r="E84" s="376">
        <f>VLOOKUP(C84,'eGRID subregion name'!$A$2:$N$30,8,0)</f>
        <v>189.83531623683197</v>
      </c>
      <c r="F84" s="376">
        <f t="shared" si="13"/>
        <v>0</v>
      </c>
      <c r="G84" s="333">
        <f>'Sch4-Cost Savings by ECM'!T84</f>
        <v>0</v>
      </c>
      <c r="H84" s="334">
        <f>VLOOKUP("Natural Gas", 'GHG Emissions'!$D$2:$M$66,4,FALSE)+VLOOKUP("Natural Gas", 'GHG Emissions'!$D$2:$M$66,6,FALSE)*'eGRID subregion name'!$P$3+VLOOKUP("Natural Gas", 'GHG Emissions'!$D$2:$M$66,8,FALSE)*'eGRID subregion name'!$P$4</f>
        <v>53.114800000000002</v>
      </c>
      <c r="I84" s="334">
        <f t="shared" si="8"/>
        <v>0</v>
      </c>
      <c r="J84" s="333">
        <f>'Sch4-Cost Savings by ECM'!V84</f>
        <v>0</v>
      </c>
      <c r="K8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4" s="334">
        <f t="shared" si="14"/>
        <v>0</v>
      </c>
      <c r="M84" s="333">
        <f>'Sch4-Cost Savings by ECM'!X84</f>
        <v>0</v>
      </c>
      <c r="N8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4" s="334">
        <f t="shared" si="9"/>
        <v>0</v>
      </c>
      <c r="P84" s="334">
        <f t="shared" si="10"/>
        <v>0</v>
      </c>
      <c r="Q84" s="334">
        <f t="shared" si="11"/>
        <v>0</v>
      </c>
      <c r="R84" s="334">
        <f t="shared" si="12"/>
        <v>0</v>
      </c>
    </row>
    <row r="85" spans="1:18" ht="16.5" thickBot="1">
      <c r="A85" s="40" t="str">
        <f>IF('Sch2a-Imp Price by ECM'!B86="","",'Sch2a-Imp Price by ECM'!B86)</f>
        <v/>
      </c>
      <c r="B85" s="76" t="str">
        <f>IF('Sch2a-Imp Price by ECM'!D86="","",'Sch2a-Imp Price by ECM'!D86)</f>
        <v/>
      </c>
      <c r="C85" s="331" t="s">
        <v>333</v>
      </c>
      <c r="D85" s="332">
        <f>'Sch4-Cost Savings by ECM'!P85</f>
        <v>0</v>
      </c>
      <c r="E85" s="376">
        <f>VLOOKUP(C85,'eGRID subregion name'!$A$2:$N$30,8,0)</f>
        <v>189.83531623683197</v>
      </c>
      <c r="F85" s="376">
        <f t="shared" si="13"/>
        <v>0</v>
      </c>
      <c r="G85" s="333">
        <f>'Sch4-Cost Savings by ECM'!T85</f>
        <v>0</v>
      </c>
      <c r="H85" s="334">
        <f>VLOOKUP("Natural Gas", 'GHG Emissions'!$D$2:$M$66,4,FALSE)+VLOOKUP("Natural Gas", 'GHG Emissions'!$D$2:$M$66,6,FALSE)*'eGRID subregion name'!$P$3+VLOOKUP("Natural Gas", 'GHG Emissions'!$D$2:$M$66,8,FALSE)*'eGRID subregion name'!$P$4</f>
        <v>53.114800000000002</v>
      </c>
      <c r="I85" s="334">
        <f t="shared" si="8"/>
        <v>0</v>
      </c>
      <c r="J85" s="333">
        <f>'Sch4-Cost Savings by ECM'!V85</f>
        <v>0</v>
      </c>
      <c r="K8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5" s="334">
        <f t="shared" si="14"/>
        <v>0</v>
      </c>
      <c r="M85" s="333">
        <f>'Sch4-Cost Savings by ECM'!X85</f>
        <v>0</v>
      </c>
      <c r="N8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5" s="334">
        <f t="shared" si="9"/>
        <v>0</v>
      </c>
      <c r="P85" s="334">
        <f t="shared" si="10"/>
        <v>0</v>
      </c>
      <c r="Q85" s="334">
        <f t="shared" si="11"/>
        <v>0</v>
      </c>
      <c r="R85" s="334">
        <f t="shared" si="12"/>
        <v>0</v>
      </c>
    </row>
    <row r="86" spans="1:18" ht="16.5" thickBot="1">
      <c r="A86" s="40" t="str">
        <f>IF('Sch2a-Imp Price by ECM'!B87="","",'Sch2a-Imp Price by ECM'!B87)</f>
        <v/>
      </c>
      <c r="B86" s="76" t="str">
        <f>IF('Sch2a-Imp Price by ECM'!D87="","",'Sch2a-Imp Price by ECM'!D87)</f>
        <v/>
      </c>
      <c r="C86" s="331" t="s">
        <v>333</v>
      </c>
      <c r="D86" s="332">
        <f>'Sch4-Cost Savings by ECM'!P86</f>
        <v>0</v>
      </c>
      <c r="E86" s="376">
        <f>VLOOKUP(C86,'eGRID subregion name'!$A$2:$N$30,8,0)</f>
        <v>189.83531623683197</v>
      </c>
      <c r="F86" s="376">
        <f t="shared" si="13"/>
        <v>0</v>
      </c>
      <c r="G86" s="333">
        <f>'Sch4-Cost Savings by ECM'!T86</f>
        <v>0</v>
      </c>
      <c r="H86" s="334">
        <f>VLOOKUP("Natural Gas", 'GHG Emissions'!$D$2:$M$66,4,FALSE)+VLOOKUP("Natural Gas", 'GHG Emissions'!$D$2:$M$66,6,FALSE)*'eGRID subregion name'!$P$3+VLOOKUP("Natural Gas", 'GHG Emissions'!$D$2:$M$66,8,FALSE)*'eGRID subregion name'!$P$4</f>
        <v>53.114800000000002</v>
      </c>
      <c r="I86" s="334">
        <f t="shared" si="8"/>
        <v>0</v>
      </c>
      <c r="J86" s="333">
        <f>'Sch4-Cost Savings by ECM'!V86</f>
        <v>0</v>
      </c>
      <c r="K8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6" s="334">
        <f t="shared" si="14"/>
        <v>0</v>
      </c>
      <c r="M86" s="333">
        <f>'Sch4-Cost Savings by ECM'!X86</f>
        <v>0</v>
      </c>
      <c r="N8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6" s="334">
        <f t="shared" si="9"/>
        <v>0</v>
      </c>
      <c r="P86" s="334">
        <f t="shared" si="10"/>
        <v>0</v>
      </c>
      <c r="Q86" s="334">
        <f t="shared" si="11"/>
        <v>0</v>
      </c>
      <c r="R86" s="334">
        <f t="shared" si="12"/>
        <v>0</v>
      </c>
    </row>
    <row r="87" spans="1:18" ht="16.5" thickBot="1">
      <c r="A87" s="40" t="str">
        <f>IF('Sch2a-Imp Price by ECM'!B88="","",'Sch2a-Imp Price by ECM'!B88)</f>
        <v/>
      </c>
      <c r="B87" s="76" t="str">
        <f>IF('Sch2a-Imp Price by ECM'!D88="","",'Sch2a-Imp Price by ECM'!D88)</f>
        <v/>
      </c>
      <c r="C87" s="331" t="s">
        <v>333</v>
      </c>
      <c r="D87" s="332">
        <f>'Sch4-Cost Savings by ECM'!P87</f>
        <v>0</v>
      </c>
      <c r="E87" s="376">
        <f>VLOOKUP(C87,'eGRID subregion name'!$A$2:$N$30,8,0)</f>
        <v>189.83531623683197</v>
      </c>
      <c r="F87" s="376">
        <f t="shared" si="13"/>
        <v>0</v>
      </c>
      <c r="G87" s="333">
        <f>'Sch4-Cost Savings by ECM'!T87</f>
        <v>0</v>
      </c>
      <c r="H87" s="334">
        <f>VLOOKUP("Natural Gas", 'GHG Emissions'!$D$2:$M$66,4,FALSE)+VLOOKUP("Natural Gas", 'GHG Emissions'!$D$2:$M$66,6,FALSE)*'eGRID subregion name'!$P$3+VLOOKUP("Natural Gas", 'GHG Emissions'!$D$2:$M$66,8,FALSE)*'eGRID subregion name'!$P$4</f>
        <v>53.114800000000002</v>
      </c>
      <c r="I87" s="334">
        <f t="shared" si="8"/>
        <v>0</v>
      </c>
      <c r="J87" s="333">
        <f>'Sch4-Cost Savings by ECM'!V87</f>
        <v>0</v>
      </c>
      <c r="K8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7" s="334">
        <f t="shared" si="14"/>
        <v>0</v>
      </c>
      <c r="M87" s="333">
        <f>'Sch4-Cost Savings by ECM'!X87</f>
        <v>0</v>
      </c>
      <c r="N8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7" s="334">
        <f t="shared" si="9"/>
        <v>0</v>
      </c>
      <c r="P87" s="334">
        <f t="shared" si="10"/>
        <v>0</v>
      </c>
      <c r="Q87" s="334">
        <f t="shared" si="11"/>
        <v>0</v>
      </c>
      <c r="R87" s="334">
        <f t="shared" si="12"/>
        <v>0</v>
      </c>
    </row>
    <row r="88" spans="1:18" ht="16.5" thickBot="1">
      <c r="A88" s="40" t="str">
        <f>IF('Sch2a-Imp Price by ECM'!B89="","",'Sch2a-Imp Price by ECM'!B89)</f>
        <v/>
      </c>
      <c r="B88" s="76" t="str">
        <f>IF('Sch2a-Imp Price by ECM'!D89="","",'Sch2a-Imp Price by ECM'!D89)</f>
        <v/>
      </c>
      <c r="C88" s="331" t="s">
        <v>333</v>
      </c>
      <c r="D88" s="332">
        <f>'Sch4-Cost Savings by ECM'!P88</f>
        <v>0</v>
      </c>
      <c r="E88" s="376">
        <f>VLOOKUP(C88,'eGRID subregion name'!$A$2:$N$30,8,0)</f>
        <v>189.83531623683197</v>
      </c>
      <c r="F88" s="376">
        <f t="shared" si="13"/>
        <v>0</v>
      </c>
      <c r="G88" s="333">
        <f>'Sch4-Cost Savings by ECM'!T88</f>
        <v>0</v>
      </c>
      <c r="H88" s="334">
        <f>VLOOKUP("Natural Gas", 'GHG Emissions'!$D$2:$M$66,4,FALSE)+VLOOKUP("Natural Gas", 'GHG Emissions'!$D$2:$M$66,6,FALSE)*'eGRID subregion name'!$P$3+VLOOKUP("Natural Gas", 'GHG Emissions'!$D$2:$M$66,8,FALSE)*'eGRID subregion name'!$P$4</f>
        <v>53.114800000000002</v>
      </c>
      <c r="I88" s="334">
        <f t="shared" si="8"/>
        <v>0</v>
      </c>
      <c r="J88" s="333">
        <f>'Sch4-Cost Savings by ECM'!V88</f>
        <v>0</v>
      </c>
      <c r="K8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8" s="334">
        <f t="shared" si="14"/>
        <v>0</v>
      </c>
      <c r="M88" s="333">
        <f>'Sch4-Cost Savings by ECM'!X88</f>
        <v>0</v>
      </c>
      <c r="N8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8" s="334">
        <f t="shared" si="9"/>
        <v>0</v>
      </c>
      <c r="P88" s="334">
        <f t="shared" si="10"/>
        <v>0</v>
      </c>
      <c r="Q88" s="334">
        <f t="shared" si="11"/>
        <v>0</v>
      </c>
      <c r="R88" s="334">
        <f t="shared" si="12"/>
        <v>0</v>
      </c>
    </row>
    <row r="89" spans="1:18" ht="16.5" thickBot="1">
      <c r="A89" s="40" t="str">
        <f>IF('Sch2a-Imp Price by ECM'!B90="","",'Sch2a-Imp Price by ECM'!B90)</f>
        <v/>
      </c>
      <c r="B89" s="76" t="str">
        <f>IF('Sch2a-Imp Price by ECM'!D90="","",'Sch2a-Imp Price by ECM'!D90)</f>
        <v/>
      </c>
      <c r="C89" s="331" t="s">
        <v>333</v>
      </c>
      <c r="D89" s="332">
        <f>'Sch4-Cost Savings by ECM'!P89</f>
        <v>0</v>
      </c>
      <c r="E89" s="376">
        <f>VLOOKUP(C89,'eGRID subregion name'!$A$2:$N$30,8,0)</f>
        <v>189.83531623683197</v>
      </c>
      <c r="F89" s="376">
        <f t="shared" si="13"/>
        <v>0</v>
      </c>
      <c r="G89" s="333">
        <f>'Sch4-Cost Savings by ECM'!T89</f>
        <v>0</v>
      </c>
      <c r="H89" s="334">
        <f>VLOOKUP("Natural Gas", 'GHG Emissions'!$D$2:$M$66,4,FALSE)+VLOOKUP("Natural Gas", 'GHG Emissions'!$D$2:$M$66,6,FALSE)*'eGRID subregion name'!$P$3+VLOOKUP("Natural Gas", 'GHG Emissions'!$D$2:$M$66,8,FALSE)*'eGRID subregion name'!$P$4</f>
        <v>53.114800000000002</v>
      </c>
      <c r="I89" s="334">
        <f t="shared" si="8"/>
        <v>0</v>
      </c>
      <c r="J89" s="333">
        <f>'Sch4-Cost Savings by ECM'!V89</f>
        <v>0</v>
      </c>
      <c r="K8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89" s="334">
        <f t="shared" si="14"/>
        <v>0</v>
      </c>
      <c r="M89" s="333">
        <f>'Sch4-Cost Savings by ECM'!X89</f>
        <v>0</v>
      </c>
      <c r="N8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89" s="334">
        <f t="shared" si="9"/>
        <v>0</v>
      </c>
      <c r="P89" s="334">
        <f t="shared" si="10"/>
        <v>0</v>
      </c>
      <c r="Q89" s="334">
        <f t="shared" si="11"/>
        <v>0</v>
      </c>
      <c r="R89" s="334">
        <f t="shared" si="12"/>
        <v>0</v>
      </c>
    </row>
    <row r="90" spans="1:18" ht="16.5" thickBot="1">
      <c r="A90" s="40" t="str">
        <f>IF('Sch2a-Imp Price by ECM'!B91="","",'Sch2a-Imp Price by ECM'!B91)</f>
        <v/>
      </c>
      <c r="B90" s="76" t="str">
        <f>IF('Sch2a-Imp Price by ECM'!D91="","",'Sch2a-Imp Price by ECM'!D91)</f>
        <v/>
      </c>
      <c r="C90" s="331" t="s">
        <v>333</v>
      </c>
      <c r="D90" s="332">
        <f>'Sch4-Cost Savings by ECM'!P90</f>
        <v>0</v>
      </c>
      <c r="E90" s="376">
        <f>VLOOKUP(C90,'eGRID subregion name'!$A$2:$N$30,8,0)</f>
        <v>189.83531623683197</v>
      </c>
      <c r="F90" s="376">
        <f t="shared" si="13"/>
        <v>0</v>
      </c>
      <c r="G90" s="333">
        <f>'Sch4-Cost Savings by ECM'!T90</f>
        <v>0</v>
      </c>
      <c r="H90" s="334">
        <f>VLOOKUP("Natural Gas", 'GHG Emissions'!$D$2:$M$66,4,FALSE)+VLOOKUP("Natural Gas", 'GHG Emissions'!$D$2:$M$66,6,FALSE)*'eGRID subregion name'!$P$3+VLOOKUP("Natural Gas", 'GHG Emissions'!$D$2:$M$66,8,FALSE)*'eGRID subregion name'!$P$4</f>
        <v>53.114800000000002</v>
      </c>
      <c r="I90" s="334">
        <f t="shared" si="8"/>
        <v>0</v>
      </c>
      <c r="J90" s="333">
        <f>'Sch4-Cost Savings by ECM'!V90</f>
        <v>0</v>
      </c>
      <c r="K9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0" s="334">
        <f t="shared" si="14"/>
        <v>0</v>
      </c>
      <c r="M90" s="333">
        <f>'Sch4-Cost Savings by ECM'!X90</f>
        <v>0</v>
      </c>
      <c r="N9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0" s="334">
        <f t="shared" si="9"/>
        <v>0</v>
      </c>
      <c r="P90" s="334">
        <f t="shared" si="10"/>
        <v>0</v>
      </c>
      <c r="Q90" s="334">
        <f t="shared" si="11"/>
        <v>0</v>
      </c>
      <c r="R90" s="334">
        <f t="shared" si="12"/>
        <v>0</v>
      </c>
    </row>
    <row r="91" spans="1:18" ht="16.5" thickBot="1">
      <c r="A91" s="40" t="str">
        <f>IF('Sch2a-Imp Price by ECM'!B92="","",'Sch2a-Imp Price by ECM'!B92)</f>
        <v/>
      </c>
      <c r="B91" s="76" t="str">
        <f>IF('Sch2a-Imp Price by ECM'!D92="","",'Sch2a-Imp Price by ECM'!D92)</f>
        <v/>
      </c>
      <c r="C91" s="331" t="s">
        <v>333</v>
      </c>
      <c r="D91" s="332">
        <f>'Sch4-Cost Savings by ECM'!P91</f>
        <v>0</v>
      </c>
      <c r="E91" s="376">
        <f>VLOOKUP(C91,'eGRID subregion name'!$A$2:$N$30,8,0)</f>
        <v>189.83531623683197</v>
      </c>
      <c r="F91" s="376">
        <f t="shared" si="13"/>
        <v>0</v>
      </c>
      <c r="G91" s="333">
        <f>'Sch4-Cost Savings by ECM'!T91</f>
        <v>0</v>
      </c>
      <c r="H91" s="334">
        <f>VLOOKUP("Natural Gas", 'GHG Emissions'!$D$2:$M$66,4,FALSE)+VLOOKUP("Natural Gas", 'GHG Emissions'!$D$2:$M$66,6,FALSE)*'eGRID subregion name'!$P$3+VLOOKUP("Natural Gas", 'GHG Emissions'!$D$2:$M$66,8,FALSE)*'eGRID subregion name'!$P$4</f>
        <v>53.114800000000002</v>
      </c>
      <c r="I91" s="334">
        <f t="shared" si="8"/>
        <v>0</v>
      </c>
      <c r="J91" s="333">
        <f>'Sch4-Cost Savings by ECM'!V91</f>
        <v>0</v>
      </c>
      <c r="K9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1" s="334">
        <f t="shared" si="14"/>
        <v>0</v>
      </c>
      <c r="M91" s="333">
        <f>'Sch4-Cost Savings by ECM'!X91</f>
        <v>0</v>
      </c>
      <c r="N9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1" s="334">
        <f t="shared" si="9"/>
        <v>0</v>
      </c>
      <c r="P91" s="334">
        <f t="shared" si="10"/>
        <v>0</v>
      </c>
      <c r="Q91" s="334">
        <f t="shared" si="11"/>
        <v>0</v>
      </c>
      <c r="R91" s="334">
        <f t="shared" si="12"/>
        <v>0</v>
      </c>
    </row>
    <row r="92" spans="1:18" ht="16.5" thickBot="1">
      <c r="A92" s="40" t="str">
        <f>IF('Sch2a-Imp Price by ECM'!B93="","",'Sch2a-Imp Price by ECM'!B93)</f>
        <v/>
      </c>
      <c r="B92" s="76" t="str">
        <f>IF('Sch2a-Imp Price by ECM'!D93="","",'Sch2a-Imp Price by ECM'!D93)</f>
        <v/>
      </c>
      <c r="C92" s="331" t="s">
        <v>333</v>
      </c>
      <c r="D92" s="332">
        <f>'Sch4-Cost Savings by ECM'!P92</f>
        <v>0</v>
      </c>
      <c r="E92" s="376">
        <f>VLOOKUP(C92,'eGRID subregion name'!$A$2:$N$30,8,0)</f>
        <v>189.83531623683197</v>
      </c>
      <c r="F92" s="376">
        <f t="shared" si="13"/>
        <v>0</v>
      </c>
      <c r="G92" s="333">
        <f>'Sch4-Cost Savings by ECM'!T92</f>
        <v>0</v>
      </c>
      <c r="H92" s="334">
        <f>VLOOKUP("Natural Gas", 'GHG Emissions'!$D$2:$M$66,4,FALSE)+VLOOKUP("Natural Gas", 'GHG Emissions'!$D$2:$M$66,6,FALSE)*'eGRID subregion name'!$P$3+VLOOKUP("Natural Gas", 'GHG Emissions'!$D$2:$M$66,8,FALSE)*'eGRID subregion name'!$P$4</f>
        <v>53.114800000000002</v>
      </c>
      <c r="I92" s="334">
        <f t="shared" si="8"/>
        <v>0</v>
      </c>
      <c r="J92" s="333">
        <f>'Sch4-Cost Savings by ECM'!V92</f>
        <v>0</v>
      </c>
      <c r="K9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2" s="334">
        <f t="shared" si="14"/>
        <v>0</v>
      </c>
      <c r="M92" s="333">
        <f>'Sch4-Cost Savings by ECM'!X92</f>
        <v>0</v>
      </c>
      <c r="N9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2" s="334">
        <f t="shared" si="9"/>
        <v>0</v>
      </c>
      <c r="P92" s="334">
        <f t="shared" si="10"/>
        <v>0</v>
      </c>
      <c r="Q92" s="334">
        <f t="shared" si="11"/>
        <v>0</v>
      </c>
      <c r="R92" s="334">
        <f t="shared" si="12"/>
        <v>0</v>
      </c>
    </row>
    <row r="93" spans="1:18" ht="16.5" thickBot="1">
      <c r="A93" s="40" t="str">
        <f>IF('Sch2a-Imp Price by ECM'!B94="","",'Sch2a-Imp Price by ECM'!B94)</f>
        <v/>
      </c>
      <c r="B93" s="76" t="str">
        <f>IF('Sch2a-Imp Price by ECM'!D94="","",'Sch2a-Imp Price by ECM'!D94)</f>
        <v/>
      </c>
      <c r="C93" s="331" t="s">
        <v>333</v>
      </c>
      <c r="D93" s="332">
        <f>'Sch4-Cost Savings by ECM'!P93</f>
        <v>0</v>
      </c>
      <c r="E93" s="376">
        <f>VLOOKUP(C93,'eGRID subregion name'!$A$2:$N$30,8,0)</f>
        <v>189.83531623683197</v>
      </c>
      <c r="F93" s="376">
        <f t="shared" si="13"/>
        <v>0</v>
      </c>
      <c r="G93" s="333">
        <f>'Sch4-Cost Savings by ECM'!T93</f>
        <v>0</v>
      </c>
      <c r="H93" s="334">
        <f>VLOOKUP("Natural Gas", 'GHG Emissions'!$D$2:$M$66,4,FALSE)+VLOOKUP("Natural Gas", 'GHG Emissions'!$D$2:$M$66,6,FALSE)*'eGRID subregion name'!$P$3+VLOOKUP("Natural Gas", 'GHG Emissions'!$D$2:$M$66,8,FALSE)*'eGRID subregion name'!$P$4</f>
        <v>53.114800000000002</v>
      </c>
      <c r="I93" s="334">
        <f t="shared" si="8"/>
        <v>0</v>
      </c>
      <c r="J93" s="333">
        <f>'Sch4-Cost Savings by ECM'!V93</f>
        <v>0</v>
      </c>
      <c r="K9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3" s="334">
        <f t="shared" si="14"/>
        <v>0</v>
      </c>
      <c r="M93" s="333">
        <f>'Sch4-Cost Savings by ECM'!X93</f>
        <v>0</v>
      </c>
      <c r="N9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3" s="334">
        <f t="shared" si="9"/>
        <v>0</v>
      </c>
      <c r="P93" s="334">
        <f t="shared" si="10"/>
        <v>0</v>
      </c>
      <c r="Q93" s="334">
        <f t="shared" si="11"/>
        <v>0</v>
      </c>
      <c r="R93" s="334">
        <f t="shared" si="12"/>
        <v>0</v>
      </c>
    </row>
    <row r="94" spans="1:18" ht="16.5" thickBot="1">
      <c r="A94" s="40" t="str">
        <f>IF('Sch2a-Imp Price by ECM'!B95="","",'Sch2a-Imp Price by ECM'!B95)</f>
        <v/>
      </c>
      <c r="B94" s="76" t="str">
        <f>IF('Sch2a-Imp Price by ECM'!D95="","",'Sch2a-Imp Price by ECM'!D95)</f>
        <v/>
      </c>
      <c r="C94" s="331" t="s">
        <v>333</v>
      </c>
      <c r="D94" s="332">
        <f>'Sch4-Cost Savings by ECM'!P94</f>
        <v>0</v>
      </c>
      <c r="E94" s="376">
        <f>VLOOKUP(C94,'eGRID subregion name'!$A$2:$N$30,8,0)</f>
        <v>189.83531623683197</v>
      </c>
      <c r="F94" s="376">
        <f t="shared" si="13"/>
        <v>0</v>
      </c>
      <c r="G94" s="333">
        <f>'Sch4-Cost Savings by ECM'!T94</f>
        <v>0</v>
      </c>
      <c r="H94" s="334">
        <f>VLOOKUP("Natural Gas", 'GHG Emissions'!$D$2:$M$66,4,FALSE)+VLOOKUP("Natural Gas", 'GHG Emissions'!$D$2:$M$66,6,FALSE)*'eGRID subregion name'!$P$3+VLOOKUP("Natural Gas", 'GHG Emissions'!$D$2:$M$66,8,FALSE)*'eGRID subregion name'!$P$4</f>
        <v>53.114800000000002</v>
      </c>
      <c r="I94" s="334">
        <f t="shared" si="8"/>
        <v>0</v>
      </c>
      <c r="J94" s="333">
        <f>'Sch4-Cost Savings by ECM'!V94</f>
        <v>0</v>
      </c>
      <c r="K9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4" s="334">
        <f t="shared" si="14"/>
        <v>0</v>
      </c>
      <c r="M94" s="333">
        <f>'Sch4-Cost Savings by ECM'!X94</f>
        <v>0</v>
      </c>
      <c r="N9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4" s="334">
        <f t="shared" si="9"/>
        <v>0</v>
      </c>
      <c r="P94" s="334">
        <f t="shared" si="10"/>
        <v>0</v>
      </c>
      <c r="Q94" s="334">
        <f t="shared" si="11"/>
        <v>0</v>
      </c>
      <c r="R94" s="334">
        <f t="shared" si="12"/>
        <v>0</v>
      </c>
    </row>
    <row r="95" spans="1:18" ht="16.5" thickBot="1">
      <c r="A95" s="40" t="str">
        <f>IF('Sch2a-Imp Price by ECM'!B96="","",'Sch2a-Imp Price by ECM'!B96)</f>
        <v/>
      </c>
      <c r="B95" s="76" t="str">
        <f>IF('Sch2a-Imp Price by ECM'!D96="","",'Sch2a-Imp Price by ECM'!D96)</f>
        <v/>
      </c>
      <c r="C95" s="331" t="s">
        <v>333</v>
      </c>
      <c r="D95" s="332">
        <f>'Sch4-Cost Savings by ECM'!P95</f>
        <v>0</v>
      </c>
      <c r="E95" s="376">
        <f>VLOOKUP(C95,'eGRID subregion name'!$A$2:$N$30,8,0)</f>
        <v>189.83531623683197</v>
      </c>
      <c r="F95" s="376">
        <f t="shared" si="13"/>
        <v>0</v>
      </c>
      <c r="G95" s="333">
        <f>'Sch4-Cost Savings by ECM'!T95</f>
        <v>0</v>
      </c>
      <c r="H95" s="334">
        <f>VLOOKUP("Natural Gas", 'GHG Emissions'!$D$2:$M$66,4,FALSE)+VLOOKUP("Natural Gas", 'GHG Emissions'!$D$2:$M$66,6,FALSE)*'eGRID subregion name'!$P$3+VLOOKUP("Natural Gas", 'GHG Emissions'!$D$2:$M$66,8,FALSE)*'eGRID subregion name'!$P$4</f>
        <v>53.114800000000002</v>
      </c>
      <c r="I95" s="334">
        <f t="shared" si="8"/>
        <v>0</v>
      </c>
      <c r="J95" s="333">
        <f>'Sch4-Cost Savings by ECM'!V95</f>
        <v>0</v>
      </c>
      <c r="K9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5" s="334">
        <f t="shared" si="14"/>
        <v>0</v>
      </c>
      <c r="M95" s="333">
        <f>'Sch4-Cost Savings by ECM'!X95</f>
        <v>0</v>
      </c>
      <c r="N9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5" s="334">
        <f t="shared" si="9"/>
        <v>0</v>
      </c>
      <c r="P95" s="334">
        <f t="shared" si="10"/>
        <v>0</v>
      </c>
      <c r="Q95" s="334">
        <f t="shared" si="11"/>
        <v>0</v>
      </c>
      <c r="R95" s="334">
        <f t="shared" si="12"/>
        <v>0</v>
      </c>
    </row>
    <row r="96" spans="1:18" ht="16.5" thickBot="1">
      <c r="A96" s="40" t="str">
        <f>IF('Sch2a-Imp Price by ECM'!B97="","",'Sch2a-Imp Price by ECM'!B97)</f>
        <v/>
      </c>
      <c r="B96" s="76" t="str">
        <f>IF('Sch2a-Imp Price by ECM'!D97="","",'Sch2a-Imp Price by ECM'!D97)</f>
        <v/>
      </c>
      <c r="C96" s="331" t="s">
        <v>333</v>
      </c>
      <c r="D96" s="332">
        <f>'Sch4-Cost Savings by ECM'!P96</f>
        <v>0</v>
      </c>
      <c r="E96" s="376">
        <f>VLOOKUP(C96,'eGRID subregion name'!$A$2:$N$30,8,0)</f>
        <v>189.83531623683197</v>
      </c>
      <c r="F96" s="376">
        <f t="shared" si="13"/>
        <v>0</v>
      </c>
      <c r="G96" s="333">
        <f>'Sch4-Cost Savings by ECM'!T96</f>
        <v>0</v>
      </c>
      <c r="H96" s="334">
        <f>VLOOKUP("Natural Gas", 'GHG Emissions'!$D$2:$M$66,4,FALSE)+VLOOKUP("Natural Gas", 'GHG Emissions'!$D$2:$M$66,6,FALSE)*'eGRID subregion name'!$P$3+VLOOKUP("Natural Gas", 'GHG Emissions'!$D$2:$M$66,8,FALSE)*'eGRID subregion name'!$P$4</f>
        <v>53.114800000000002</v>
      </c>
      <c r="I96" s="334">
        <f t="shared" si="8"/>
        <v>0</v>
      </c>
      <c r="J96" s="333">
        <f>'Sch4-Cost Savings by ECM'!V96</f>
        <v>0</v>
      </c>
      <c r="K9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6" s="334">
        <f t="shared" si="14"/>
        <v>0</v>
      </c>
      <c r="M96" s="333">
        <f>'Sch4-Cost Savings by ECM'!X96</f>
        <v>0</v>
      </c>
      <c r="N9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6" s="334">
        <f t="shared" si="9"/>
        <v>0</v>
      </c>
      <c r="P96" s="334">
        <f t="shared" si="10"/>
        <v>0</v>
      </c>
      <c r="Q96" s="334">
        <f t="shared" si="11"/>
        <v>0</v>
      </c>
      <c r="R96" s="334">
        <f t="shared" si="12"/>
        <v>0</v>
      </c>
    </row>
    <row r="97" spans="1:18" ht="18" customHeight="1" thickBot="1">
      <c r="A97" s="40" t="str">
        <f>IF('Sch2a-Imp Price by ECM'!B98="","",'Sch2a-Imp Price by ECM'!B98)</f>
        <v/>
      </c>
      <c r="B97" s="76" t="str">
        <f>IF('Sch2a-Imp Price by ECM'!D98="","",'Sch2a-Imp Price by ECM'!D98)</f>
        <v/>
      </c>
      <c r="C97" s="331" t="s">
        <v>333</v>
      </c>
      <c r="D97" s="332">
        <f>'Sch4-Cost Savings by ECM'!P97</f>
        <v>0</v>
      </c>
      <c r="E97" s="376">
        <f>VLOOKUP(C97,'eGRID subregion name'!$A$2:$N$30,8,0)</f>
        <v>189.83531623683197</v>
      </c>
      <c r="F97" s="376">
        <f t="shared" si="13"/>
        <v>0</v>
      </c>
      <c r="G97" s="333">
        <f>'Sch4-Cost Savings by ECM'!T97</f>
        <v>0</v>
      </c>
      <c r="H97" s="334">
        <f>VLOOKUP("Natural Gas", 'GHG Emissions'!$D$2:$M$66,4,FALSE)+VLOOKUP("Natural Gas", 'GHG Emissions'!$D$2:$M$66,6,FALSE)*'eGRID subregion name'!$P$3+VLOOKUP("Natural Gas", 'GHG Emissions'!$D$2:$M$66,8,FALSE)*'eGRID subregion name'!$P$4</f>
        <v>53.114800000000002</v>
      </c>
      <c r="I97" s="334">
        <f t="shared" si="8"/>
        <v>0</v>
      </c>
      <c r="J97" s="333">
        <f>'Sch4-Cost Savings by ECM'!V97</f>
        <v>0</v>
      </c>
      <c r="K9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7" s="334">
        <f t="shared" si="14"/>
        <v>0</v>
      </c>
      <c r="M97" s="333">
        <f>'Sch4-Cost Savings by ECM'!X97</f>
        <v>0</v>
      </c>
      <c r="N9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7" s="334">
        <f t="shared" si="9"/>
        <v>0</v>
      </c>
      <c r="P97" s="334">
        <f t="shared" si="10"/>
        <v>0</v>
      </c>
      <c r="Q97" s="334">
        <f t="shared" si="11"/>
        <v>0</v>
      </c>
      <c r="R97" s="334">
        <f t="shared" si="12"/>
        <v>0</v>
      </c>
    </row>
    <row r="98" spans="1:18" ht="16.5" thickBot="1">
      <c r="A98" s="40" t="str">
        <f>IF('Sch2a-Imp Price by ECM'!B99="","",'Sch2a-Imp Price by ECM'!B99)</f>
        <v/>
      </c>
      <c r="B98" s="76" t="str">
        <f>IF('Sch2a-Imp Price by ECM'!D99="","",'Sch2a-Imp Price by ECM'!D99)</f>
        <v/>
      </c>
      <c r="C98" s="331" t="s">
        <v>333</v>
      </c>
      <c r="D98" s="332">
        <f>'Sch4-Cost Savings by ECM'!P98</f>
        <v>0</v>
      </c>
      <c r="E98" s="376">
        <f>VLOOKUP(C98,'eGRID subregion name'!$A$2:$N$30,8,0)</f>
        <v>189.83531623683197</v>
      </c>
      <c r="F98" s="376">
        <f t="shared" si="13"/>
        <v>0</v>
      </c>
      <c r="G98" s="333">
        <f>'Sch4-Cost Savings by ECM'!T98</f>
        <v>0</v>
      </c>
      <c r="H98" s="334">
        <f>VLOOKUP("Natural Gas", 'GHG Emissions'!$D$2:$M$66,4,FALSE)+VLOOKUP("Natural Gas", 'GHG Emissions'!$D$2:$M$66,6,FALSE)*'eGRID subregion name'!$P$3+VLOOKUP("Natural Gas", 'GHG Emissions'!$D$2:$M$66,8,FALSE)*'eGRID subregion name'!$P$4</f>
        <v>53.114800000000002</v>
      </c>
      <c r="I98" s="334">
        <f t="shared" si="8"/>
        <v>0</v>
      </c>
      <c r="J98" s="333">
        <f>'Sch4-Cost Savings by ECM'!V98</f>
        <v>0</v>
      </c>
      <c r="K9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8" s="334">
        <f t="shared" si="14"/>
        <v>0</v>
      </c>
      <c r="M98" s="333">
        <f>'Sch4-Cost Savings by ECM'!X98</f>
        <v>0</v>
      </c>
      <c r="N9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8" s="334">
        <f t="shared" si="9"/>
        <v>0</v>
      </c>
      <c r="P98" s="334">
        <f t="shared" si="10"/>
        <v>0</v>
      </c>
      <c r="Q98" s="334">
        <f t="shared" si="11"/>
        <v>0</v>
      </c>
      <c r="R98" s="334">
        <f t="shared" si="12"/>
        <v>0</v>
      </c>
    </row>
    <row r="99" spans="1:18" ht="16.5" thickBot="1">
      <c r="A99" s="40" t="str">
        <f>IF('Sch2a-Imp Price by ECM'!B100="","",'Sch2a-Imp Price by ECM'!B100)</f>
        <v/>
      </c>
      <c r="B99" s="76" t="str">
        <f>IF('Sch2a-Imp Price by ECM'!D100="","",'Sch2a-Imp Price by ECM'!D100)</f>
        <v/>
      </c>
      <c r="C99" s="331" t="s">
        <v>333</v>
      </c>
      <c r="D99" s="332">
        <f>'Sch4-Cost Savings by ECM'!P99</f>
        <v>0</v>
      </c>
      <c r="E99" s="376">
        <f>VLOOKUP(C99,'eGRID subregion name'!$A$2:$N$30,8,0)</f>
        <v>189.83531623683197</v>
      </c>
      <c r="F99" s="376">
        <f t="shared" si="13"/>
        <v>0</v>
      </c>
      <c r="G99" s="333">
        <f>'Sch4-Cost Savings by ECM'!T99</f>
        <v>0</v>
      </c>
      <c r="H99" s="334">
        <f>VLOOKUP("Natural Gas", 'GHG Emissions'!$D$2:$M$66,4,FALSE)+VLOOKUP("Natural Gas", 'GHG Emissions'!$D$2:$M$66,6,FALSE)*'eGRID subregion name'!$P$3+VLOOKUP("Natural Gas", 'GHG Emissions'!$D$2:$M$66,8,FALSE)*'eGRID subregion name'!$P$4</f>
        <v>53.114800000000002</v>
      </c>
      <c r="I99" s="334">
        <f t="shared" si="8"/>
        <v>0</v>
      </c>
      <c r="J99" s="333">
        <f>'Sch4-Cost Savings by ECM'!V99</f>
        <v>0</v>
      </c>
      <c r="K9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99" s="334">
        <f t="shared" si="14"/>
        <v>0</v>
      </c>
      <c r="M99" s="333">
        <f>'Sch4-Cost Savings by ECM'!X99</f>
        <v>0</v>
      </c>
      <c r="N9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99" s="334">
        <f t="shared" si="9"/>
        <v>0</v>
      </c>
      <c r="P99" s="334">
        <f t="shared" si="10"/>
        <v>0</v>
      </c>
      <c r="Q99" s="334">
        <f t="shared" si="11"/>
        <v>0</v>
      </c>
      <c r="R99" s="334">
        <f t="shared" si="12"/>
        <v>0</v>
      </c>
    </row>
    <row r="100" spans="1:18" ht="16.5" thickBot="1">
      <c r="A100" s="40" t="str">
        <f>IF('Sch2a-Imp Price by ECM'!B101="","",'Sch2a-Imp Price by ECM'!B101)</f>
        <v/>
      </c>
      <c r="B100" s="76" t="str">
        <f>IF('Sch2a-Imp Price by ECM'!D101="","",'Sch2a-Imp Price by ECM'!D101)</f>
        <v/>
      </c>
      <c r="C100" s="331" t="s">
        <v>333</v>
      </c>
      <c r="D100" s="332">
        <f>'Sch4-Cost Savings by ECM'!P100</f>
        <v>0</v>
      </c>
      <c r="E100" s="376">
        <f>VLOOKUP(C100,'eGRID subregion name'!$A$2:$N$30,8,0)</f>
        <v>189.83531623683197</v>
      </c>
      <c r="F100" s="376">
        <f t="shared" si="13"/>
        <v>0</v>
      </c>
      <c r="G100" s="333">
        <f>'Sch4-Cost Savings by ECM'!T100</f>
        <v>0</v>
      </c>
      <c r="H100" s="334">
        <f>VLOOKUP("Natural Gas", 'GHG Emissions'!$D$2:$M$66,4,FALSE)+VLOOKUP("Natural Gas", 'GHG Emissions'!$D$2:$M$66,6,FALSE)*'eGRID subregion name'!$P$3+VLOOKUP("Natural Gas", 'GHG Emissions'!$D$2:$M$66,8,FALSE)*'eGRID subregion name'!$P$4</f>
        <v>53.114800000000002</v>
      </c>
      <c r="I100" s="334">
        <f t="shared" si="8"/>
        <v>0</v>
      </c>
      <c r="J100" s="333">
        <f>'Sch4-Cost Savings by ECM'!V100</f>
        <v>0</v>
      </c>
      <c r="K10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0" s="334">
        <f t="shared" si="14"/>
        <v>0</v>
      </c>
      <c r="M100" s="333">
        <f>'Sch4-Cost Savings by ECM'!X100</f>
        <v>0</v>
      </c>
      <c r="N10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0" s="334">
        <f t="shared" si="9"/>
        <v>0</v>
      </c>
      <c r="P100" s="334">
        <f t="shared" si="10"/>
        <v>0</v>
      </c>
      <c r="Q100" s="334">
        <f t="shared" si="11"/>
        <v>0</v>
      </c>
      <c r="R100" s="334">
        <f t="shared" si="12"/>
        <v>0</v>
      </c>
    </row>
    <row r="101" spans="1:18" ht="16.5" thickBot="1">
      <c r="A101" s="40" t="str">
        <f>IF('Sch2a-Imp Price by ECM'!B102="","",'Sch2a-Imp Price by ECM'!B102)</f>
        <v/>
      </c>
      <c r="B101" s="76" t="str">
        <f>IF('Sch2a-Imp Price by ECM'!D102="","",'Sch2a-Imp Price by ECM'!D102)</f>
        <v/>
      </c>
      <c r="C101" s="331" t="s">
        <v>333</v>
      </c>
      <c r="D101" s="332">
        <f>'Sch4-Cost Savings by ECM'!P101</f>
        <v>0</v>
      </c>
      <c r="E101" s="376">
        <f>VLOOKUP(C101,'eGRID subregion name'!$A$2:$N$30,8,0)</f>
        <v>189.83531623683197</v>
      </c>
      <c r="F101" s="376">
        <f t="shared" si="13"/>
        <v>0</v>
      </c>
      <c r="G101" s="333">
        <f>'Sch4-Cost Savings by ECM'!T101</f>
        <v>0</v>
      </c>
      <c r="H101" s="334">
        <f>VLOOKUP("Natural Gas", 'GHG Emissions'!$D$2:$M$66,4,FALSE)+VLOOKUP("Natural Gas", 'GHG Emissions'!$D$2:$M$66,6,FALSE)*'eGRID subregion name'!$P$3+VLOOKUP("Natural Gas", 'GHG Emissions'!$D$2:$M$66,8,FALSE)*'eGRID subregion name'!$P$4</f>
        <v>53.114800000000002</v>
      </c>
      <c r="I101" s="334">
        <f t="shared" si="8"/>
        <v>0</v>
      </c>
      <c r="J101" s="333">
        <f>'Sch4-Cost Savings by ECM'!V101</f>
        <v>0</v>
      </c>
      <c r="K10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1" s="334">
        <f t="shared" si="14"/>
        <v>0</v>
      </c>
      <c r="M101" s="333">
        <f>'Sch4-Cost Savings by ECM'!X101</f>
        <v>0</v>
      </c>
      <c r="N10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1" s="334">
        <f t="shared" si="9"/>
        <v>0</v>
      </c>
      <c r="P101" s="334">
        <f t="shared" si="10"/>
        <v>0</v>
      </c>
      <c r="Q101" s="334">
        <f t="shared" si="11"/>
        <v>0</v>
      </c>
      <c r="R101" s="334">
        <f t="shared" si="12"/>
        <v>0</v>
      </c>
    </row>
    <row r="102" spans="1:18" ht="16.5" thickBot="1">
      <c r="A102" s="40" t="str">
        <f>IF('Sch2a-Imp Price by ECM'!B103="","",'Sch2a-Imp Price by ECM'!B103)</f>
        <v/>
      </c>
      <c r="B102" s="76" t="str">
        <f>IF('Sch2a-Imp Price by ECM'!D103="","",'Sch2a-Imp Price by ECM'!D103)</f>
        <v/>
      </c>
      <c r="C102" s="331" t="s">
        <v>333</v>
      </c>
      <c r="D102" s="332">
        <f>'Sch4-Cost Savings by ECM'!P102</f>
        <v>0</v>
      </c>
      <c r="E102" s="376">
        <f>VLOOKUP(C102,'eGRID subregion name'!$A$2:$N$30,8,0)</f>
        <v>189.83531623683197</v>
      </c>
      <c r="F102" s="376">
        <f t="shared" si="13"/>
        <v>0</v>
      </c>
      <c r="G102" s="333">
        <f>'Sch4-Cost Savings by ECM'!T102</f>
        <v>0</v>
      </c>
      <c r="H102" s="334">
        <f>VLOOKUP("Natural Gas", 'GHG Emissions'!$D$2:$M$66,4,FALSE)+VLOOKUP("Natural Gas", 'GHG Emissions'!$D$2:$M$66,6,FALSE)*'eGRID subregion name'!$P$3+VLOOKUP("Natural Gas", 'GHG Emissions'!$D$2:$M$66,8,FALSE)*'eGRID subregion name'!$P$4</f>
        <v>53.114800000000002</v>
      </c>
      <c r="I102" s="334">
        <f t="shared" si="8"/>
        <v>0</v>
      </c>
      <c r="J102" s="333">
        <f>'Sch4-Cost Savings by ECM'!V102</f>
        <v>0</v>
      </c>
      <c r="K10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2" s="334">
        <f t="shared" si="14"/>
        <v>0</v>
      </c>
      <c r="M102" s="333">
        <f>'Sch4-Cost Savings by ECM'!X102</f>
        <v>0</v>
      </c>
      <c r="N10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2" s="334">
        <f t="shared" si="9"/>
        <v>0</v>
      </c>
      <c r="P102" s="334">
        <f t="shared" si="10"/>
        <v>0</v>
      </c>
      <c r="Q102" s="334">
        <f t="shared" si="11"/>
        <v>0</v>
      </c>
      <c r="R102" s="334">
        <f t="shared" si="12"/>
        <v>0</v>
      </c>
    </row>
    <row r="103" spans="1:18" ht="16.5" thickBot="1">
      <c r="A103" s="40" t="str">
        <f>IF('Sch2a-Imp Price by ECM'!B104="","",'Sch2a-Imp Price by ECM'!B104)</f>
        <v/>
      </c>
      <c r="B103" s="76" t="str">
        <f>IF('Sch2a-Imp Price by ECM'!D104="","",'Sch2a-Imp Price by ECM'!D104)</f>
        <v/>
      </c>
      <c r="C103" s="331" t="s">
        <v>333</v>
      </c>
      <c r="D103" s="332">
        <f>'Sch4-Cost Savings by ECM'!P103</f>
        <v>0</v>
      </c>
      <c r="E103" s="376">
        <f>VLOOKUP(C103,'eGRID subregion name'!$A$2:$N$30,8,0)</f>
        <v>189.83531623683197</v>
      </c>
      <c r="F103" s="376">
        <f t="shared" si="13"/>
        <v>0</v>
      </c>
      <c r="G103" s="333">
        <f>'Sch4-Cost Savings by ECM'!T103</f>
        <v>0</v>
      </c>
      <c r="H103" s="334">
        <f>VLOOKUP("Natural Gas", 'GHG Emissions'!$D$2:$M$66,4,FALSE)+VLOOKUP("Natural Gas", 'GHG Emissions'!$D$2:$M$66,6,FALSE)*'eGRID subregion name'!$P$3+VLOOKUP("Natural Gas", 'GHG Emissions'!$D$2:$M$66,8,FALSE)*'eGRID subregion name'!$P$4</f>
        <v>53.114800000000002</v>
      </c>
      <c r="I103" s="334">
        <f t="shared" si="8"/>
        <v>0</v>
      </c>
      <c r="J103" s="333">
        <f>'Sch4-Cost Savings by ECM'!V103</f>
        <v>0</v>
      </c>
      <c r="K10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3" s="334">
        <f t="shared" si="14"/>
        <v>0</v>
      </c>
      <c r="M103" s="333">
        <f>'Sch4-Cost Savings by ECM'!X103</f>
        <v>0</v>
      </c>
      <c r="N10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3" s="334">
        <f t="shared" si="9"/>
        <v>0</v>
      </c>
      <c r="P103" s="334">
        <f t="shared" si="10"/>
        <v>0</v>
      </c>
      <c r="Q103" s="334">
        <f t="shared" si="11"/>
        <v>0</v>
      </c>
      <c r="R103" s="334">
        <f t="shared" si="12"/>
        <v>0</v>
      </c>
    </row>
    <row r="104" spans="1:18" ht="16.5" thickBot="1">
      <c r="A104" s="40" t="str">
        <f>IF('Sch2a-Imp Price by ECM'!B105="","",'Sch2a-Imp Price by ECM'!B105)</f>
        <v/>
      </c>
      <c r="B104" s="76" t="str">
        <f>IF('Sch2a-Imp Price by ECM'!D105="","",'Sch2a-Imp Price by ECM'!D105)</f>
        <v/>
      </c>
      <c r="C104" s="331" t="s">
        <v>333</v>
      </c>
      <c r="D104" s="332">
        <f>'Sch4-Cost Savings by ECM'!P104</f>
        <v>0</v>
      </c>
      <c r="E104" s="376">
        <f>VLOOKUP(C104,'eGRID subregion name'!$A$2:$N$30,8,0)</f>
        <v>189.83531623683197</v>
      </c>
      <c r="F104" s="376">
        <f t="shared" si="13"/>
        <v>0</v>
      </c>
      <c r="G104" s="333">
        <f>'Sch4-Cost Savings by ECM'!T104</f>
        <v>0</v>
      </c>
      <c r="H104" s="334">
        <f>VLOOKUP("Natural Gas", 'GHG Emissions'!$D$2:$M$66,4,FALSE)+VLOOKUP("Natural Gas", 'GHG Emissions'!$D$2:$M$66,6,FALSE)*'eGRID subregion name'!$P$3+VLOOKUP("Natural Gas", 'GHG Emissions'!$D$2:$M$66,8,FALSE)*'eGRID subregion name'!$P$4</f>
        <v>53.114800000000002</v>
      </c>
      <c r="I104" s="334">
        <f t="shared" si="8"/>
        <v>0</v>
      </c>
      <c r="J104" s="333">
        <f>'Sch4-Cost Savings by ECM'!V104</f>
        <v>0</v>
      </c>
      <c r="K10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4" s="334">
        <f t="shared" si="14"/>
        <v>0</v>
      </c>
      <c r="M104" s="333">
        <f>'Sch4-Cost Savings by ECM'!X104</f>
        <v>0</v>
      </c>
      <c r="N10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4" s="334">
        <f t="shared" si="9"/>
        <v>0</v>
      </c>
      <c r="P104" s="334">
        <f t="shared" si="10"/>
        <v>0</v>
      </c>
      <c r="Q104" s="334">
        <f t="shared" si="11"/>
        <v>0</v>
      </c>
      <c r="R104" s="334">
        <f t="shared" si="12"/>
        <v>0</v>
      </c>
    </row>
    <row r="105" spans="1:18" ht="16.5" thickBot="1">
      <c r="A105" s="40" t="str">
        <f>IF('Sch2a-Imp Price by ECM'!B106="","",'Sch2a-Imp Price by ECM'!B106)</f>
        <v/>
      </c>
      <c r="B105" s="76" t="str">
        <f>IF('Sch2a-Imp Price by ECM'!D106="","",'Sch2a-Imp Price by ECM'!D106)</f>
        <v/>
      </c>
      <c r="C105" s="331" t="s">
        <v>333</v>
      </c>
      <c r="D105" s="332">
        <f>'Sch4-Cost Savings by ECM'!P105</f>
        <v>0</v>
      </c>
      <c r="E105" s="376">
        <f>VLOOKUP(C105,'eGRID subregion name'!$A$2:$N$30,8,0)</f>
        <v>189.83531623683197</v>
      </c>
      <c r="F105" s="376">
        <f t="shared" si="13"/>
        <v>0</v>
      </c>
      <c r="G105" s="333">
        <f>'Sch4-Cost Savings by ECM'!T105</f>
        <v>0</v>
      </c>
      <c r="H105" s="334">
        <f>VLOOKUP("Natural Gas", 'GHG Emissions'!$D$2:$M$66,4,FALSE)+VLOOKUP("Natural Gas", 'GHG Emissions'!$D$2:$M$66,6,FALSE)*'eGRID subregion name'!$P$3+VLOOKUP("Natural Gas", 'GHG Emissions'!$D$2:$M$66,8,FALSE)*'eGRID subregion name'!$P$4</f>
        <v>53.114800000000002</v>
      </c>
      <c r="I105" s="334">
        <f t="shared" si="8"/>
        <v>0</v>
      </c>
      <c r="J105" s="333">
        <f>'Sch4-Cost Savings by ECM'!V105</f>
        <v>0</v>
      </c>
      <c r="K10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5" s="334">
        <f t="shared" si="14"/>
        <v>0</v>
      </c>
      <c r="M105" s="333">
        <f>'Sch4-Cost Savings by ECM'!X105</f>
        <v>0</v>
      </c>
      <c r="N10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5" s="334">
        <f t="shared" si="9"/>
        <v>0</v>
      </c>
      <c r="P105" s="334">
        <f t="shared" si="10"/>
        <v>0</v>
      </c>
      <c r="Q105" s="334">
        <f t="shared" si="11"/>
        <v>0</v>
      </c>
      <c r="R105" s="334">
        <f t="shared" si="12"/>
        <v>0</v>
      </c>
    </row>
    <row r="106" spans="1:18" ht="16.5" thickBot="1">
      <c r="A106" s="40" t="str">
        <f>IF('Sch2a-Imp Price by ECM'!B107="","",'Sch2a-Imp Price by ECM'!B107)</f>
        <v/>
      </c>
      <c r="B106" s="76" t="str">
        <f>IF('Sch2a-Imp Price by ECM'!D107="","",'Sch2a-Imp Price by ECM'!D107)</f>
        <v/>
      </c>
      <c r="C106" s="331" t="s">
        <v>333</v>
      </c>
      <c r="D106" s="332">
        <f>'Sch4-Cost Savings by ECM'!P106</f>
        <v>0</v>
      </c>
      <c r="E106" s="376">
        <f>VLOOKUP(C106,'eGRID subregion name'!$A$2:$N$30,8,0)</f>
        <v>189.83531623683197</v>
      </c>
      <c r="F106" s="376">
        <f t="shared" si="13"/>
        <v>0</v>
      </c>
      <c r="G106" s="333">
        <f>'Sch4-Cost Savings by ECM'!T106</f>
        <v>0</v>
      </c>
      <c r="H106" s="334">
        <f>VLOOKUP("Natural Gas", 'GHG Emissions'!$D$2:$M$66,4,FALSE)+VLOOKUP("Natural Gas", 'GHG Emissions'!$D$2:$M$66,6,FALSE)*'eGRID subregion name'!$P$3+VLOOKUP("Natural Gas", 'GHG Emissions'!$D$2:$M$66,8,FALSE)*'eGRID subregion name'!$P$4</f>
        <v>53.114800000000002</v>
      </c>
      <c r="I106" s="334">
        <f t="shared" si="8"/>
        <v>0</v>
      </c>
      <c r="J106" s="333">
        <f>'Sch4-Cost Savings by ECM'!V106</f>
        <v>0</v>
      </c>
      <c r="K10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6" s="334">
        <f t="shared" si="14"/>
        <v>0</v>
      </c>
      <c r="M106" s="333">
        <f>'Sch4-Cost Savings by ECM'!X106</f>
        <v>0</v>
      </c>
      <c r="N10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6" s="334">
        <f t="shared" si="9"/>
        <v>0</v>
      </c>
      <c r="P106" s="334">
        <f t="shared" si="10"/>
        <v>0</v>
      </c>
      <c r="Q106" s="334">
        <f t="shared" si="11"/>
        <v>0</v>
      </c>
      <c r="R106" s="334">
        <f t="shared" si="12"/>
        <v>0</v>
      </c>
    </row>
    <row r="107" spans="1:18" ht="16.5" thickBot="1">
      <c r="A107" s="40" t="str">
        <f>IF('Sch2a-Imp Price by ECM'!B108="","",'Sch2a-Imp Price by ECM'!B108)</f>
        <v/>
      </c>
      <c r="B107" s="76" t="str">
        <f>IF('Sch2a-Imp Price by ECM'!D108="","",'Sch2a-Imp Price by ECM'!D108)</f>
        <v/>
      </c>
      <c r="C107" s="331" t="s">
        <v>333</v>
      </c>
      <c r="D107" s="332">
        <f>'Sch4-Cost Savings by ECM'!P107</f>
        <v>0</v>
      </c>
      <c r="E107" s="376">
        <f>VLOOKUP(C107,'eGRID subregion name'!$A$2:$N$30,8,0)</f>
        <v>189.83531623683197</v>
      </c>
      <c r="F107" s="376">
        <f t="shared" si="13"/>
        <v>0</v>
      </c>
      <c r="G107" s="333">
        <f>'Sch4-Cost Savings by ECM'!T107</f>
        <v>0</v>
      </c>
      <c r="H107" s="334">
        <f>VLOOKUP("Natural Gas", 'GHG Emissions'!$D$2:$M$66,4,FALSE)+VLOOKUP("Natural Gas", 'GHG Emissions'!$D$2:$M$66,6,FALSE)*'eGRID subregion name'!$P$3+VLOOKUP("Natural Gas", 'GHG Emissions'!$D$2:$M$66,8,FALSE)*'eGRID subregion name'!$P$4</f>
        <v>53.114800000000002</v>
      </c>
      <c r="I107" s="334">
        <f t="shared" si="8"/>
        <v>0</v>
      </c>
      <c r="J107" s="333">
        <f>'Sch4-Cost Savings by ECM'!V107</f>
        <v>0</v>
      </c>
      <c r="K10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7" s="334">
        <f t="shared" si="14"/>
        <v>0</v>
      </c>
      <c r="M107" s="333">
        <f>'Sch4-Cost Savings by ECM'!X107</f>
        <v>0</v>
      </c>
      <c r="N10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7" s="334">
        <f t="shared" si="9"/>
        <v>0</v>
      </c>
      <c r="P107" s="334">
        <f t="shared" si="10"/>
        <v>0</v>
      </c>
      <c r="Q107" s="334">
        <f t="shared" si="11"/>
        <v>0</v>
      </c>
      <c r="R107" s="334">
        <f t="shared" si="12"/>
        <v>0</v>
      </c>
    </row>
    <row r="108" spans="1:18" ht="16.5" thickBot="1">
      <c r="A108" s="40" t="str">
        <f>IF('Sch2a-Imp Price by ECM'!B109="","",'Sch2a-Imp Price by ECM'!B109)</f>
        <v/>
      </c>
      <c r="B108" s="76" t="str">
        <f>IF('Sch2a-Imp Price by ECM'!D109="","",'Sch2a-Imp Price by ECM'!D109)</f>
        <v/>
      </c>
      <c r="C108" s="331" t="s">
        <v>333</v>
      </c>
      <c r="D108" s="332">
        <f>'Sch4-Cost Savings by ECM'!P108</f>
        <v>0</v>
      </c>
      <c r="E108" s="376">
        <f>VLOOKUP(C108,'eGRID subregion name'!$A$2:$N$30,8,0)</f>
        <v>189.83531623683197</v>
      </c>
      <c r="F108" s="376">
        <f t="shared" si="13"/>
        <v>0</v>
      </c>
      <c r="G108" s="333">
        <f>'Sch4-Cost Savings by ECM'!T108</f>
        <v>0</v>
      </c>
      <c r="H108" s="334">
        <f>VLOOKUP("Natural Gas", 'GHG Emissions'!$D$2:$M$66,4,FALSE)+VLOOKUP("Natural Gas", 'GHG Emissions'!$D$2:$M$66,6,FALSE)*'eGRID subregion name'!$P$3+VLOOKUP("Natural Gas", 'GHG Emissions'!$D$2:$M$66,8,FALSE)*'eGRID subregion name'!$P$4</f>
        <v>53.114800000000002</v>
      </c>
      <c r="I108" s="334">
        <f t="shared" si="8"/>
        <v>0</v>
      </c>
      <c r="J108" s="333">
        <f>'Sch4-Cost Savings by ECM'!V108</f>
        <v>0</v>
      </c>
      <c r="K10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8" s="334">
        <f t="shared" si="14"/>
        <v>0</v>
      </c>
      <c r="M108" s="333">
        <f>'Sch4-Cost Savings by ECM'!X108</f>
        <v>0</v>
      </c>
      <c r="N10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8" s="334">
        <f t="shared" si="9"/>
        <v>0</v>
      </c>
      <c r="P108" s="334">
        <f t="shared" si="10"/>
        <v>0</v>
      </c>
      <c r="Q108" s="334">
        <f t="shared" si="11"/>
        <v>0</v>
      </c>
      <c r="R108" s="334">
        <f t="shared" si="12"/>
        <v>0</v>
      </c>
    </row>
    <row r="109" spans="1:18" ht="16.5" thickBot="1">
      <c r="A109" s="40" t="str">
        <f>IF('Sch2a-Imp Price by ECM'!B110="","",'Sch2a-Imp Price by ECM'!B110)</f>
        <v/>
      </c>
      <c r="B109" s="76" t="str">
        <f>IF('Sch2a-Imp Price by ECM'!D110="","",'Sch2a-Imp Price by ECM'!D110)</f>
        <v/>
      </c>
      <c r="C109" s="331" t="s">
        <v>333</v>
      </c>
      <c r="D109" s="332">
        <f>'Sch4-Cost Savings by ECM'!P109</f>
        <v>0</v>
      </c>
      <c r="E109" s="376">
        <f>VLOOKUP(C109,'eGRID subregion name'!$A$2:$N$30,8,0)</f>
        <v>189.83531623683197</v>
      </c>
      <c r="F109" s="376">
        <f t="shared" si="13"/>
        <v>0</v>
      </c>
      <c r="G109" s="333">
        <f>'Sch4-Cost Savings by ECM'!T109</f>
        <v>0</v>
      </c>
      <c r="H109" s="334">
        <f>VLOOKUP("Natural Gas", 'GHG Emissions'!$D$2:$M$66,4,FALSE)+VLOOKUP("Natural Gas", 'GHG Emissions'!$D$2:$M$66,6,FALSE)*'eGRID subregion name'!$P$3+VLOOKUP("Natural Gas", 'GHG Emissions'!$D$2:$M$66,8,FALSE)*'eGRID subregion name'!$P$4</f>
        <v>53.114800000000002</v>
      </c>
      <c r="I109" s="334">
        <f t="shared" si="8"/>
        <v>0</v>
      </c>
      <c r="J109" s="333">
        <f>'Sch4-Cost Savings by ECM'!V109</f>
        <v>0</v>
      </c>
      <c r="K10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09" s="334">
        <f t="shared" si="14"/>
        <v>0</v>
      </c>
      <c r="M109" s="333">
        <f>'Sch4-Cost Savings by ECM'!X109</f>
        <v>0</v>
      </c>
      <c r="N10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09" s="334">
        <f t="shared" si="9"/>
        <v>0</v>
      </c>
      <c r="P109" s="334">
        <f t="shared" si="10"/>
        <v>0</v>
      </c>
      <c r="Q109" s="334">
        <f t="shared" si="11"/>
        <v>0</v>
      </c>
      <c r="R109" s="334">
        <f t="shared" si="12"/>
        <v>0</v>
      </c>
    </row>
    <row r="110" spans="1:18" ht="16.5" thickBot="1">
      <c r="A110" s="40" t="str">
        <f>IF('Sch2a-Imp Price by ECM'!B111="","",'Sch2a-Imp Price by ECM'!B111)</f>
        <v/>
      </c>
      <c r="B110" s="76" t="str">
        <f>IF('Sch2a-Imp Price by ECM'!D111="","",'Sch2a-Imp Price by ECM'!D111)</f>
        <v/>
      </c>
      <c r="C110" s="331" t="s">
        <v>333</v>
      </c>
      <c r="D110" s="332">
        <f>'Sch4-Cost Savings by ECM'!P110</f>
        <v>0</v>
      </c>
      <c r="E110" s="376">
        <f>VLOOKUP(C110,'eGRID subregion name'!$A$2:$N$30,8,0)</f>
        <v>189.83531623683197</v>
      </c>
      <c r="F110" s="376">
        <f t="shared" si="13"/>
        <v>0</v>
      </c>
      <c r="G110" s="333">
        <f>'Sch4-Cost Savings by ECM'!T110</f>
        <v>0</v>
      </c>
      <c r="H110" s="334">
        <f>VLOOKUP("Natural Gas", 'GHG Emissions'!$D$2:$M$66,4,FALSE)+VLOOKUP("Natural Gas", 'GHG Emissions'!$D$2:$M$66,6,FALSE)*'eGRID subregion name'!$P$3+VLOOKUP("Natural Gas", 'GHG Emissions'!$D$2:$M$66,8,FALSE)*'eGRID subregion name'!$P$4</f>
        <v>53.114800000000002</v>
      </c>
      <c r="I110" s="334">
        <f t="shared" si="8"/>
        <v>0</v>
      </c>
      <c r="J110" s="333">
        <f>'Sch4-Cost Savings by ECM'!V110</f>
        <v>0</v>
      </c>
      <c r="K11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0" s="334">
        <f t="shared" si="14"/>
        <v>0</v>
      </c>
      <c r="M110" s="333">
        <f>'Sch4-Cost Savings by ECM'!X110</f>
        <v>0</v>
      </c>
      <c r="N11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0" s="334">
        <f t="shared" si="9"/>
        <v>0</v>
      </c>
      <c r="P110" s="334">
        <f t="shared" si="10"/>
        <v>0</v>
      </c>
      <c r="Q110" s="334">
        <f t="shared" si="11"/>
        <v>0</v>
      </c>
      <c r="R110" s="334">
        <f t="shared" si="12"/>
        <v>0</v>
      </c>
    </row>
    <row r="111" spans="1:18" ht="16.5" thickBot="1">
      <c r="A111" s="40" t="str">
        <f>IF('Sch2a-Imp Price by ECM'!B112="","",'Sch2a-Imp Price by ECM'!B112)</f>
        <v/>
      </c>
      <c r="B111" s="76" t="str">
        <f>IF('Sch2a-Imp Price by ECM'!D112="","",'Sch2a-Imp Price by ECM'!D112)</f>
        <v/>
      </c>
      <c r="C111" s="331" t="s">
        <v>333</v>
      </c>
      <c r="D111" s="332">
        <f>'Sch4-Cost Savings by ECM'!P111</f>
        <v>0</v>
      </c>
      <c r="E111" s="376">
        <f>VLOOKUP(C111,'eGRID subregion name'!$A$2:$N$30,8,0)</f>
        <v>189.83531623683197</v>
      </c>
      <c r="F111" s="376">
        <f t="shared" si="13"/>
        <v>0</v>
      </c>
      <c r="G111" s="333">
        <f>'Sch4-Cost Savings by ECM'!T111</f>
        <v>0</v>
      </c>
      <c r="H111" s="334">
        <f>VLOOKUP("Natural Gas", 'GHG Emissions'!$D$2:$M$66,4,FALSE)+VLOOKUP("Natural Gas", 'GHG Emissions'!$D$2:$M$66,6,FALSE)*'eGRID subregion name'!$P$3+VLOOKUP("Natural Gas", 'GHG Emissions'!$D$2:$M$66,8,FALSE)*'eGRID subregion name'!$P$4</f>
        <v>53.114800000000002</v>
      </c>
      <c r="I111" s="334">
        <f t="shared" si="8"/>
        <v>0</v>
      </c>
      <c r="J111" s="333">
        <f>'Sch4-Cost Savings by ECM'!V111</f>
        <v>0</v>
      </c>
      <c r="K11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1" s="334">
        <f t="shared" si="14"/>
        <v>0</v>
      </c>
      <c r="M111" s="333">
        <f>'Sch4-Cost Savings by ECM'!X111</f>
        <v>0</v>
      </c>
      <c r="N11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1" s="334">
        <f t="shared" si="9"/>
        <v>0</v>
      </c>
      <c r="P111" s="334">
        <f t="shared" si="10"/>
        <v>0</v>
      </c>
      <c r="Q111" s="334">
        <f t="shared" si="11"/>
        <v>0</v>
      </c>
      <c r="R111" s="334">
        <f t="shared" si="12"/>
        <v>0</v>
      </c>
    </row>
    <row r="112" spans="1:18" ht="16.5" thickBot="1">
      <c r="A112" s="40" t="str">
        <f>IF('Sch2a-Imp Price by ECM'!B113="","",'Sch2a-Imp Price by ECM'!B113)</f>
        <v/>
      </c>
      <c r="B112" s="76" t="str">
        <f>IF('Sch2a-Imp Price by ECM'!D113="","",'Sch2a-Imp Price by ECM'!D113)</f>
        <v/>
      </c>
      <c r="C112" s="331" t="s">
        <v>333</v>
      </c>
      <c r="D112" s="332">
        <f>'Sch4-Cost Savings by ECM'!P112</f>
        <v>0</v>
      </c>
      <c r="E112" s="376">
        <f>VLOOKUP(C112,'eGRID subregion name'!$A$2:$N$30,8,0)</f>
        <v>189.83531623683197</v>
      </c>
      <c r="F112" s="376">
        <f t="shared" si="13"/>
        <v>0</v>
      </c>
      <c r="G112" s="333">
        <f>'Sch4-Cost Savings by ECM'!T112</f>
        <v>0</v>
      </c>
      <c r="H112" s="334">
        <f>VLOOKUP("Natural Gas", 'GHG Emissions'!$D$2:$M$66,4,FALSE)+VLOOKUP("Natural Gas", 'GHG Emissions'!$D$2:$M$66,6,FALSE)*'eGRID subregion name'!$P$3+VLOOKUP("Natural Gas", 'GHG Emissions'!$D$2:$M$66,8,FALSE)*'eGRID subregion name'!$P$4</f>
        <v>53.114800000000002</v>
      </c>
      <c r="I112" s="334">
        <f t="shared" si="8"/>
        <v>0</v>
      </c>
      <c r="J112" s="333">
        <f>'Sch4-Cost Savings by ECM'!V112</f>
        <v>0</v>
      </c>
      <c r="K11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2" s="334">
        <f t="shared" si="14"/>
        <v>0</v>
      </c>
      <c r="M112" s="333">
        <f>'Sch4-Cost Savings by ECM'!X112</f>
        <v>0</v>
      </c>
      <c r="N11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2" s="334">
        <f t="shared" si="9"/>
        <v>0</v>
      </c>
      <c r="P112" s="334">
        <f t="shared" si="10"/>
        <v>0</v>
      </c>
      <c r="Q112" s="334">
        <f t="shared" si="11"/>
        <v>0</v>
      </c>
      <c r="R112" s="334">
        <f t="shared" si="12"/>
        <v>0</v>
      </c>
    </row>
    <row r="113" spans="1:18" ht="16.5" thickBot="1">
      <c r="A113" s="40" t="str">
        <f>IF('Sch2a-Imp Price by ECM'!B114="","",'Sch2a-Imp Price by ECM'!B114)</f>
        <v/>
      </c>
      <c r="B113" s="76" t="str">
        <f>IF('Sch2a-Imp Price by ECM'!D114="","",'Sch2a-Imp Price by ECM'!D114)</f>
        <v/>
      </c>
      <c r="C113" s="331" t="s">
        <v>333</v>
      </c>
      <c r="D113" s="332">
        <f>'Sch4-Cost Savings by ECM'!P113</f>
        <v>0</v>
      </c>
      <c r="E113" s="376">
        <f>VLOOKUP(C113,'eGRID subregion name'!$A$2:$N$30,8,0)</f>
        <v>189.83531623683197</v>
      </c>
      <c r="F113" s="376">
        <f t="shared" si="13"/>
        <v>0</v>
      </c>
      <c r="G113" s="333">
        <f>'Sch4-Cost Savings by ECM'!T113</f>
        <v>0</v>
      </c>
      <c r="H113" s="334">
        <f>VLOOKUP("Natural Gas", 'GHG Emissions'!$D$2:$M$66,4,FALSE)+VLOOKUP("Natural Gas", 'GHG Emissions'!$D$2:$M$66,6,FALSE)*'eGRID subregion name'!$P$3+VLOOKUP("Natural Gas", 'GHG Emissions'!$D$2:$M$66,8,FALSE)*'eGRID subregion name'!$P$4</f>
        <v>53.114800000000002</v>
      </c>
      <c r="I113" s="334">
        <f t="shared" si="8"/>
        <v>0</v>
      </c>
      <c r="J113" s="333">
        <f>'Sch4-Cost Savings by ECM'!V113</f>
        <v>0</v>
      </c>
      <c r="K11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3" s="334">
        <f t="shared" si="14"/>
        <v>0</v>
      </c>
      <c r="M113" s="333">
        <f>'Sch4-Cost Savings by ECM'!X113</f>
        <v>0</v>
      </c>
      <c r="N11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3" s="334">
        <f t="shared" si="9"/>
        <v>0</v>
      </c>
      <c r="P113" s="334">
        <f t="shared" si="10"/>
        <v>0</v>
      </c>
      <c r="Q113" s="334">
        <f t="shared" si="11"/>
        <v>0</v>
      </c>
      <c r="R113" s="334">
        <f t="shared" si="12"/>
        <v>0</v>
      </c>
    </row>
    <row r="114" spans="1:18" ht="16.5" thickBot="1">
      <c r="A114" s="40" t="str">
        <f>IF('Sch2a-Imp Price by ECM'!B115="","",'Sch2a-Imp Price by ECM'!B115)</f>
        <v/>
      </c>
      <c r="B114" s="76" t="str">
        <f>IF('Sch2a-Imp Price by ECM'!D115="","",'Sch2a-Imp Price by ECM'!D115)</f>
        <v/>
      </c>
      <c r="C114" s="331" t="s">
        <v>333</v>
      </c>
      <c r="D114" s="332">
        <f>'Sch4-Cost Savings by ECM'!P114</f>
        <v>0</v>
      </c>
      <c r="E114" s="376">
        <f>VLOOKUP(C114,'eGRID subregion name'!$A$2:$N$30,8,0)</f>
        <v>189.83531623683197</v>
      </c>
      <c r="F114" s="376">
        <f t="shared" si="13"/>
        <v>0</v>
      </c>
      <c r="G114" s="333">
        <f>'Sch4-Cost Savings by ECM'!T114</f>
        <v>0</v>
      </c>
      <c r="H114" s="334">
        <f>VLOOKUP("Natural Gas", 'GHG Emissions'!$D$2:$M$66,4,FALSE)+VLOOKUP("Natural Gas", 'GHG Emissions'!$D$2:$M$66,6,FALSE)*'eGRID subregion name'!$P$3+VLOOKUP("Natural Gas", 'GHG Emissions'!$D$2:$M$66,8,FALSE)*'eGRID subregion name'!$P$4</f>
        <v>53.114800000000002</v>
      </c>
      <c r="I114" s="334">
        <f t="shared" si="8"/>
        <v>0</v>
      </c>
      <c r="J114" s="333">
        <f>'Sch4-Cost Savings by ECM'!V114</f>
        <v>0</v>
      </c>
      <c r="K11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4" s="334">
        <f t="shared" si="14"/>
        <v>0</v>
      </c>
      <c r="M114" s="333">
        <f>'Sch4-Cost Savings by ECM'!X114</f>
        <v>0</v>
      </c>
      <c r="N11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4" s="334">
        <f t="shared" si="9"/>
        <v>0</v>
      </c>
      <c r="P114" s="334">
        <f t="shared" si="10"/>
        <v>0</v>
      </c>
      <c r="Q114" s="334">
        <f t="shared" si="11"/>
        <v>0</v>
      </c>
      <c r="R114" s="334">
        <f t="shared" si="12"/>
        <v>0</v>
      </c>
    </row>
    <row r="115" spans="1:18" ht="16.5" thickBot="1">
      <c r="A115" s="40" t="str">
        <f>IF('Sch2a-Imp Price by ECM'!B116="","",'Sch2a-Imp Price by ECM'!B116)</f>
        <v/>
      </c>
      <c r="B115" s="76" t="str">
        <f>IF('Sch2a-Imp Price by ECM'!D116="","",'Sch2a-Imp Price by ECM'!D116)</f>
        <v/>
      </c>
      <c r="C115" s="331" t="s">
        <v>333</v>
      </c>
      <c r="D115" s="332">
        <f>'Sch4-Cost Savings by ECM'!P115</f>
        <v>0</v>
      </c>
      <c r="E115" s="376">
        <f>VLOOKUP(C115,'eGRID subregion name'!$A$2:$N$30,8,0)</f>
        <v>189.83531623683197</v>
      </c>
      <c r="F115" s="376">
        <f t="shared" si="13"/>
        <v>0</v>
      </c>
      <c r="G115" s="333">
        <f>'Sch4-Cost Savings by ECM'!T115</f>
        <v>0</v>
      </c>
      <c r="H115" s="334">
        <f>VLOOKUP("Natural Gas", 'GHG Emissions'!$D$2:$M$66,4,FALSE)+VLOOKUP("Natural Gas", 'GHG Emissions'!$D$2:$M$66,6,FALSE)*'eGRID subregion name'!$P$3+VLOOKUP("Natural Gas", 'GHG Emissions'!$D$2:$M$66,8,FALSE)*'eGRID subregion name'!$P$4</f>
        <v>53.114800000000002</v>
      </c>
      <c r="I115" s="334">
        <f t="shared" si="8"/>
        <v>0</v>
      </c>
      <c r="J115" s="333">
        <f>'Sch4-Cost Savings by ECM'!V115</f>
        <v>0</v>
      </c>
      <c r="K11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5" s="334">
        <f t="shared" si="14"/>
        <v>0</v>
      </c>
      <c r="M115" s="333">
        <f>'Sch4-Cost Savings by ECM'!X115</f>
        <v>0</v>
      </c>
      <c r="N11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5" s="334">
        <f t="shared" si="9"/>
        <v>0</v>
      </c>
      <c r="P115" s="334">
        <f t="shared" si="10"/>
        <v>0</v>
      </c>
      <c r="Q115" s="334">
        <f t="shared" si="11"/>
        <v>0</v>
      </c>
      <c r="R115" s="334">
        <f t="shared" si="12"/>
        <v>0</v>
      </c>
    </row>
    <row r="116" spans="1:18" ht="16.5" thickBot="1">
      <c r="A116" s="40" t="str">
        <f>IF('Sch2a-Imp Price by ECM'!B117="","",'Sch2a-Imp Price by ECM'!B117)</f>
        <v/>
      </c>
      <c r="B116" s="76" t="str">
        <f>IF('Sch2a-Imp Price by ECM'!D117="","",'Sch2a-Imp Price by ECM'!D117)</f>
        <v/>
      </c>
      <c r="C116" s="331" t="s">
        <v>333</v>
      </c>
      <c r="D116" s="332">
        <f>'Sch4-Cost Savings by ECM'!P116</f>
        <v>0</v>
      </c>
      <c r="E116" s="376">
        <f>VLOOKUP(C116,'eGRID subregion name'!$A$2:$N$30,8,0)</f>
        <v>189.83531623683197</v>
      </c>
      <c r="F116" s="376">
        <f t="shared" si="13"/>
        <v>0</v>
      </c>
      <c r="G116" s="333">
        <f>'Sch4-Cost Savings by ECM'!T116</f>
        <v>0</v>
      </c>
      <c r="H116" s="334">
        <f>VLOOKUP("Natural Gas", 'GHG Emissions'!$D$2:$M$66,4,FALSE)+VLOOKUP("Natural Gas", 'GHG Emissions'!$D$2:$M$66,6,FALSE)*'eGRID subregion name'!$P$3+VLOOKUP("Natural Gas", 'GHG Emissions'!$D$2:$M$66,8,FALSE)*'eGRID subregion name'!$P$4</f>
        <v>53.114800000000002</v>
      </c>
      <c r="I116" s="334">
        <f t="shared" si="8"/>
        <v>0</v>
      </c>
      <c r="J116" s="333">
        <f>'Sch4-Cost Savings by ECM'!V116</f>
        <v>0</v>
      </c>
      <c r="K11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6" s="334">
        <f t="shared" si="14"/>
        <v>0</v>
      </c>
      <c r="M116" s="333">
        <f>'Sch4-Cost Savings by ECM'!X116</f>
        <v>0</v>
      </c>
      <c r="N11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6" s="334">
        <f t="shared" si="9"/>
        <v>0</v>
      </c>
      <c r="P116" s="334">
        <f t="shared" si="10"/>
        <v>0</v>
      </c>
      <c r="Q116" s="334">
        <f t="shared" si="11"/>
        <v>0</v>
      </c>
      <c r="R116" s="334">
        <f t="shared" si="12"/>
        <v>0</v>
      </c>
    </row>
    <row r="117" spans="1:18" ht="16.5" thickBot="1">
      <c r="A117" s="40" t="str">
        <f>IF('Sch2a-Imp Price by ECM'!B118="","",'Sch2a-Imp Price by ECM'!B118)</f>
        <v/>
      </c>
      <c r="B117" s="76" t="str">
        <f>IF('Sch2a-Imp Price by ECM'!D118="","",'Sch2a-Imp Price by ECM'!D118)</f>
        <v/>
      </c>
      <c r="C117" s="331" t="s">
        <v>333</v>
      </c>
      <c r="D117" s="332">
        <f>'Sch4-Cost Savings by ECM'!P117</f>
        <v>0</v>
      </c>
      <c r="E117" s="376">
        <f>VLOOKUP(C117,'eGRID subregion name'!$A$2:$N$30,8,0)</f>
        <v>189.83531623683197</v>
      </c>
      <c r="F117" s="376">
        <f t="shared" si="13"/>
        <v>0</v>
      </c>
      <c r="G117" s="333">
        <f>'Sch4-Cost Savings by ECM'!T117</f>
        <v>0</v>
      </c>
      <c r="H117" s="334">
        <f>VLOOKUP("Natural Gas", 'GHG Emissions'!$D$2:$M$66,4,FALSE)+VLOOKUP("Natural Gas", 'GHG Emissions'!$D$2:$M$66,6,FALSE)*'eGRID subregion name'!$P$3+VLOOKUP("Natural Gas", 'GHG Emissions'!$D$2:$M$66,8,FALSE)*'eGRID subregion name'!$P$4</f>
        <v>53.114800000000002</v>
      </c>
      <c r="I117" s="334">
        <f t="shared" si="8"/>
        <v>0</v>
      </c>
      <c r="J117" s="333">
        <f>'Sch4-Cost Savings by ECM'!V117</f>
        <v>0</v>
      </c>
      <c r="K11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7" s="334">
        <f t="shared" si="14"/>
        <v>0</v>
      </c>
      <c r="M117" s="333">
        <f>'Sch4-Cost Savings by ECM'!X117</f>
        <v>0</v>
      </c>
      <c r="N11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7" s="334">
        <f t="shared" si="9"/>
        <v>0</v>
      </c>
      <c r="P117" s="334">
        <f t="shared" si="10"/>
        <v>0</v>
      </c>
      <c r="Q117" s="334">
        <f t="shared" si="11"/>
        <v>0</v>
      </c>
      <c r="R117" s="334">
        <f t="shared" si="12"/>
        <v>0</v>
      </c>
    </row>
    <row r="118" spans="1:18" ht="18" customHeight="1" thickBot="1">
      <c r="A118" s="40" t="str">
        <f>IF('Sch2a-Imp Price by ECM'!B119="","",'Sch2a-Imp Price by ECM'!B119)</f>
        <v/>
      </c>
      <c r="B118" s="76" t="str">
        <f>IF('Sch2a-Imp Price by ECM'!D119="","",'Sch2a-Imp Price by ECM'!D119)</f>
        <v/>
      </c>
      <c r="C118" s="331" t="s">
        <v>333</v>
      </c>
      <c r="D118" s="332">
        <f>'Sch4-Cost Savings by ECM'!P118</f>
        <v>0</v>
      </c>
      <c r="E118" s="376">
        <f>VLOOKUP(C118,'eGRID subregion name'!$A$2:$N$30,8,0)</f>
        <v>189.83531623683197</v>
      </c>
      <c r="F118" s="376">
        <f t="shared" si="13"/>
        <v>0</v>
      </c>
      <c r="G118" s="333">
        <f>'Sch4-Cost Savings by ECM'!T118</f>
        <v>0</v>
      </c>
      <c r="H118" s="334">
        <f>VLOOKUP("Natural Gas", 'GHG Emissions'!$D$2:$M$66,4,FALSE)+VLOOKUP("Natural Gas", 'GHG Emissions'!$D$2:$M$66,6,FALSE)*'eGRID subregion name'!$P$3+VLOOKUP("Natural Gas", 'GHG Emissions'!$D$2:$M$66,8,FALSE)*'eGRID subregion name'!$P$4</f>
        <v>53.114800000000002</v>
      </c>
      <c r="I118" s="334">
        <f t="shared" si="8"/>
        <v>0</v>
      </c>
      <c r="J118" s="333">
        <f>'Sch4-Cost Savings by ECM'!V118</f>
        <v>0</v>
      </c>
      <c r="K11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8" s="334">
        <f t="shared" si="14"/>
        <v>0</v>
      </c>
      <c r="M118" s="333">
        <f>'Sch4-Cost Savings by ECM'!X118</f>
        <v>0</v>
      </c>
      <c r="N11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8" s="334">
        <f t="shared" si="9"/>
        <v>0</v>
      </c>
      <c r="P118" s="334">
        <f t="shared" si="10"/>
        <v>0</v>
      </c>
      <c r="Q118" s="334">
        <f t="shared" si="11"/>
        <v>0</v>
      </c>
      <c r="R118" s="334">
        <f t="shared" si="12"/>
        <v>0</v>
      </c>
    </row>
    <row r="119" spans="1:18" ht="16.5" thickBot="1">
      <c r="A119" s="40" t="str">
        <f>IF('Sch2a-Imp Price by ECM'!B120="","",'Sch2a-Imp Price by ECM'!B120)</f>
        <v/>
      </c>
      <c r="B119" s="76" t="str">
        <f>IF('Sch2a-Imp Price by ECM'!D120="","",'Sch2a-Imp Price by ECM'!D120)</f>
        <v/>
      </c>
      <c r="C119" s="331" t="s">
        <v>333</v>
      </c>
      <c r="D119" s="332">
        <f>'Sch4-Cost Savings by ECM'!P119</f>
        <v>0</v>
      </c>
      <c r="E119" s="376">
        <f>VLOOKUP(C119,'eGRID subregion name'!$A$2:$N$30,8,0)</f>
        <v>189.83531623683197</v>
      </c>
      <c r="F119" s="376">
        <f t="shared" si="13"/>
        <v>0</v>
      </c>
      <c r="G119" s="333">
        <f>'Sch4-Cost Savings by ECM'!T119</f>
        <v>0</v>
      </c>
      <c r="H119" s="334">
        <f>VLOOKUP("Natural Gas", 'GHG Emissions'!$D$2:$M$66,4,FALSE)+VLOOKUP("Natural Gas", 'GHG Emissions'!$D$2:$M$66,6,FALSE)*'eGRID subregion name'!$P$3+VLOOKUP("Natural Gas", 'GHG Emissions'!$D$2:$M$66,8,FALSE)*'eGRID subregion name'!$P$4</f>
        <v>53.114800000000002</v>
      </c>
      <c r="I119" s="334">
        <f t="shared" si="8"/>
        <v>0</v>
      </c>
      <c r="J119" s="333">
        <f>'Sch4-Cost Savings by ECM'!V119</f>
        <v>0</v>
      </c>
      <c r="K11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19" s="334">
        <f t="shared" si="14"/>
        <v>0</v>
      </c>
      <c r="M119" s="333">
        <f>'Sch4-Cost Savings by ECM'!X119</f>
        <v>0</v>
      </c>
      <c r="N11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19" s="334">
        <f t="shared" si="9"/>
        <v>0</v>
      </c>
      <c r="P119" s="334">
        <f t="shared" si="10"/>
        <v>0</v>
      </c>
      <c r="Q119" s="334">
        <f t="shared" si="11"/>
        <v>0</v>
      </c>
      <c r="R119" s="334">
        <f t="shared" si="12"/>
        <v>0</v>
      </c>
    </row>
    <row r="120" spans="1:18" ht="16.5" thickBot="1">
      <c r="A120" s="40" t="str">
        <f>IF('Sch2a-Imp Price by ECM'!B121="","",'Sch2a-Imp Price by ECM'!B121)</f>
        <v/>
      </c>
      <c r="B120" s="76" t="str">
        <f>IF('Sch2a-Imp Price by ECM'!D121="","",'Sch2a-Imp Price by ECM'!D121)</f>
        <v/>
      </c>
      <c r="C120" s="331" t="s">
        <v>333</v>
      </c>
      <c r="D120" s="332">
        <f>'Sch4-Cost Savings by ECM'!P120</f>
        <v>0</v>
      </c>
      <c r="E120" s="376">
        <f>VLOOKUP(C120,'eGRID subregion name'!$A$2:$N$30,8,0)</f>
        <v>189.83531623683197</v>
      </c>
      <c r="F120" s="376">
        <f t="shared" si="13"/>
        <v>0</v>
      </c>
      <c r="G120" s="333">
        <f>'Sch4-Cost Savings by ECM'!T120</f>
        <v>0</v>
      </c>
      <c r="H120" s="334">
        <f>VLOOKUP("Natural Gas", 'GHG Emissions'!$D$2:$M$66,4,FALSE)+VLOOKUP("Natural Gas", 'GHG Emissions'!$D$2:$M$66,6,FALSE)*'eGRID subregion name'!$P$3+VLOOKUP("Natural Gas", 'GHG Emissions'!$D$2:$M$66,8,FALSE)*'eGRID subregion name'!$P$4</f>
        <v>53.114800000000002</v>
      </c>
      <c r="I120" s="334">
        <f t="shared" si="8"/>
        <v>0</v>
      </c>
      <c r="J120" s="333">
        <f>'Sch4-Cost Savings by ECM'!V120</f>
        <v>0</v>
      </c>
      <c r="K12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0" s="334">
        <f t="shared" si="14"/>
        <v>0</v>
      </c>
      <c r="M120" s="333">
        <f>'Sch4-Cost Savings by ECM'!X120</f>
        <v>0</v>
      </c>
      <c r="N12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0" s="334">
        <f t="shared" si="9"/>
        <v>0</v>
      </c>
      <c r="P120" s="334">
        <f t="shared" si="10"/>
        <v>0</v>
      </c>
      <c r="Q120" s="334">
        <f t="shared" si="11"/>
        <v>0</v>
      </c>
      <c r="R120" s="334">
        <f t="shared" si="12"/>
        <v>0</v>
      </c>
    </row>
    <row r="121" spans="1:18" ht="16.5" thickBot="1">
      <c r="A121" s="40" t="str">
        <f>IF('Sch2a-Imp Price by ECM'!B122="","",'Sch2a-Imp Price by ECM'!B122)</f>
        <v/>
      </c>
      <c r="B121" s="76" t="str">
        <f>IF('Sch2a-Imp Price by ECM'!D122="","",'Sch2a-Imp Price by ECM'!D122)</f>
        <v/>
      </c>
      <c r="C121" s="331" t="s">
        <v>333</v>
      </c>
      <c r="D121" s="332">
        <f>'Sch4-Cost Savings by ECM'!P121</f>
        <v>0</v>
      </c>
      <c r="E121" s="376">
        <f>VLOOKUP(C121,'eGRID subregion name'!$A$2:$N$30,8,0)</f>
        <v>189.83531623683197</v>
      </c>
      <c r="F121" s="376">
        <f t="shared" si="13"/>
        <v>0</v>
      </c>
      <c r="G121" s="333">
        <f>'Sch4-Cost Savings by ECM'!T121</f>
        <v>0</v>
      </c>
      <c r="H121" s="334">
        <f>VLOOKUP("Natural Gas", 'GHG Emissions'!$D$2:$M$66,4,FALSE)+VLOOKUP("Natural Gas", 'GHG Emissions'!$D$2:$M$66,6,FALSE)*'eGRID subregion name'!$P$3+VLOOKUP("Natural Gas", 'GHG Emissions'!$D$2:$M$66,8,FALSE)*'eGRID subregion name'!$P$4</f>
        <v>53.114800000000002</v>
      </c>
      <c r="I121" s="334">
        <f t="shared" si="8"/>
        <v>0</v>
      </c>
      <c r="J121" s="333">
        <f>'Sch4-Cost Savings by ECM'!V121</f>
        <v>0</v>
      </c>
      <c r="K12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1" s="334">
        <f t="shared" si="14"/>
        <v>0</v>
      </c>
      <c r="M121" s="333">
        <f>'Sch4-Cost Savings by ECM'!X121</f>
        <v>0</v>
      </c>
      <c r="N12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1" s="334">
        <f t="shared" si="9"/>
        <v>0</v>
      </c>
      <c r="P121" s="334">
        <f t="shared" si="10"/>
        <v>0</v>
      </c>
      <c r="Q121" s="334">
        <f t="shared" si="11"/>
        <v>0</v>
      </c>
      <c r="R121" s="334">
        <f t="shared" si="12"/>
        <v>0</v>
      </c>
    </row>
    <row r="122" spans="1:18" ht="16.5" thickBot="1">
      <c r="A122" s="40" t="str">
        <f>IF('Sch2a-Imp Price by ECM'!B123="","",'Sch2a-Imp Price by ECM'!B123)</f>
        <v/>
      </c>
      <c r="B122" s="76" t="str">
        <f>IF('Sch2a-Imp Price by ECM'!D123="","",'Sch2a-Imp Price by ECM'!D123)</f>
        <v/>
      </c>
      <c r="C122" s="331" t="s">
        <v>333</v>
      </c>
      <c r="D122" s="332">
        <f>'Sch4-Cost Savings by ECM'!P122</f>
        <v>0</v>
      </c>
      <c r="E122" s="376">
        <f>VLOOKUP(C122,'eGRID subregion name'!$A$2:$N$30,8,0)</f>
        <v>189.83531623683197</v>
      </c>
      <c r="F122" s="376">
        <f t="shared" si="13"/>
        <v>0</v>
      </c>
      <c r="G122" s="333">
        <f>'Sch4-Cost Savings by ECM'!T122</f>
        <v>0</v>
      </c>
      <c r="H122" s="334">
        <f>VLOOKUP("Natural Gas", 'GHG Emissions'!$D$2:$M$66,4,FALSE)+VLOOKUP("Natural Gas", 'GHG Emissions'!$D$2:$M$66,6,FALSE)*'eGRID subregion name'!$P$3+VLOOKUP("Natural Gas", 'GHG Emissions'!$D$2:$M$66,8,FALSE)*'eGRID subregion name'!$P$4</f>
        <v>53.114800000000002</v>
      </c>
      <c r="I122" s="334">
        <f t="shared" si="8"/>
        <v>0</v>
      </c>
      <c r="J122" s="333">
        <f>'Sch4-Cost Savings by ECM'!V122</f>
        <v>0</v>
      </c>
      <c r="K12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2" s="334">
        <f t="shared" si="14"/>
        <v>0</v>
      </c>
      <c r="M122" s="333">
        <f>'Sch4-Cost Savings by ECM'!X122</f>
        <v>0</v>
      </c>
      <c r="N12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2" s="334">
        <f t="shared" si="9"/>
        <v>0</v>
      </c>
      <c r="P122" s="334">
        <f t="shared" si="10"/>
        <v>0</v>
      </c>
      <c r="Q122" s="334">
        <f t="shared" si="11"/>
        <v>0</v>
      </c>
      <c r="R122" s="334">
        <f t="shared" si="12"/>
        <v>0</v>
      </c>
    </row>
    <row r="123" spans="1:18" ht="16.5" thickBot="1">
      <c r="A123" s="40" t="str">
        <f>IF('Sch2a-Imp Price by ECM'!B124="","",'Sch2a-Imp Price by ECM'!B124)</f>
        <v/>
      </c>
      <c r="B123" s="76" t="str">
        <f>IF('Sch2a-Imp Price by ECM'!D124="","",'Sch2a-Imp Price by ECM'!D124)</f>
        <v/>
      </c>
      <c r="C123" s="331" t="s">
        <v>333</v>
      </c>
      <c r="D123" s="332">
        <f>'Sch4-Cost Savings by ECM'!P123</f>
        <v>0</v>
      </c>
      <c r="E123" s="376">
        <f>VLOOKUP(C123,'eGRID subregion name'!$A$2:$N$30,8,0)</f>
        <v>189.83531623683197</v>
      </c>
      <c r="F123" s="376">
        <f t="shared" si="13"/>
        <v>0</v>
      </c>
      <c r="G123" s="333">
        <f>'Sch4-Cost Savings by ECM'!T123</f>
        <v>0</v>
      </c>
      <c r="H123" s="334">
        <f>VLOOKUP("Natural Gas", 'GHG Emissions'!$D$2:$M$66,4,FALSE)+VLOOKUP("Natural Gas", 'GHG Emissions'!$D$2:$M$66,6,FALSE)*'eGRID subregion name'!$P$3+VLOOKUP("Natural Gas", 'GHG Emissions'!$D$2:$M$66,8,FALSE)*'eGRID subregion name'!$P$4</f>
        <v>53.114800000000002</v>
      </c>
      <c r="I123" s="334">
        <f t="shared" si="8"/>
        <v>0</v>
      </c>
      <c r="J123" s="333">
        <f>'Sch4-Cost Savings by ECM'!V123</f>
        <v>0</v>
      </c>
      <c r="K12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3" s="334">
        <f t="shared" si="14"/>
        <v>0</v>
      </c>
      <c r="M123" s="333">
        <f>'Sch4-Cost Savings by ECM'!X123</f>
        <v>0</v>
      </c>
      <c r="N12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3" s="334">
        <f t="shared" si="9"/>
        <v>0</v>
      </c>
      <c r="P123" s="334">
        <f t="shared" si="10"/>
        <v>0</v>
      </c>
      <c r="Q123" s="334">
        <f t="shared" si="11"/>
        <v>0</v>
      </c>
      <c r="R123" s="334">
        <f t="shared" si="12"/>
        <v>0</v>
      </c>
    </row>
    <row r="124" spans="1:18" ht="16.5" thickBot="1">
      <c r="A124" s="40" t="str">
        <f>IF('Sch2a-Imp Price by ECM'!B125="","",'Sch2a-Imp Price by ECM'!B125)</f>
        <v/>
      </c>
      <c r="B124" s="76" t="str">
        <f>IF('Sch2a-Imp Price by ECM'!D125="","",'Sch2a-Imp Price by ECM'!D125)</f>
        <v/>
      </c>
      <c r="C124" s="331" t="s">
        <v>333</v>
      </c>
      <c r="D124" s="332">
        <f>'Sch4-Cost Savings by ECM'!P124</f>
        <v>0</v>
      </c>
      <c r="E124" s="376">
        <f>VLOOKUP(C124,'eGRID subregion name'!$A$2:$N$30,8,0)</f>
        <v>189.83531623683197</v>
      </c>
      <c r="F124" s="376">
        <f t="shared" si="13"/>
        <v>0</v>
      </c>
      <c r="G124" s="333">
        <f>'Sch4-Cost Savings by ECM'!T124</f>
        <v>0</v>
      </c>
      <c r="H124" s="334">
        <f>VLOOKUP("Natural Gas", 'GHG Emissions'!$D$2:$M$66,4,FALSE)+VLOOKUP("Natural Gas", 'GHG Emissions'!$D$2:$M$66,6,FALSE)*'eGRID subregion name'!$P$3+VLOOKUP("Natural Gas", 'GHG Emissions'!$D$2:$M$66,8,FALSE)*'eGRID subregion name'!$P$4</f>
        <v>53.114800000000002</v>
      </c>
      <c r="I124" s="334">
        <f t="shared" si="8"/>
        <v>0</v>
      </c>
      <c r="J124" s="333">
        <f>'Sch4-Cost Savings by ECM'!V124</f>
        <v>0</v>
      </c>
      <c r="K12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4" s="334">
        <f t="shared" si="14"/>
        <v>0</v>
      </c>
      <c r="M124" s="333">
        <f>'Sch4-Cost Savings by ECM'!X124</f>
        <v>0</v>
      </c>
      <c r="N12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4" s="334">
        <f t="shared" si="9"/>
        <v>0</v>
      </c>
      <c r="P124" s="334">
        <f t="shared" si="10"/>
        <v>0</v>
      </c>
      <c r="Q124" s="334">
        <f t="shared" si="11"/>
        <v>0</v>
      </c>
      <c r="R124" s="334">
        <f t="shared" si="12"/>
        <v>0</v>
      </c>
    </row>
    <row r="125" spans="1:18" ht="16.5" thickBot="1">
      <c r="A125" s="40" t="str">
        <f>IF('Sch2a-Imp Price by ECM'!B126="","",'Sch2a-Imp Price by ECM'!B126)</f>
        <v/>
      </c>
      <c r="B125" s="76" t="str">
        <f>IF('Sch2a-Imp Price by ECM'!D126="","",'Sch2a-Imp Price by ECM'!D126)</f>
        <v/>
      </c>
      <c r="C125" s="331" t="s">
        <v>333</v>
      </c>
      <c r="D125" s="332">
        <f>'Sch4-Cost Savings by ECM'!P125</f>
        <v>0</v>
      </c>
      <c r="E125" s="376">
        <f>VLOOKUP(C125,'eGRID subregion name'!$A$2:$N$30,8,0)</f>
        <v>189.83531623683197</v>
      </c>
      <c r="F125" s="376">
        <f t="shared" si="13"/>
        <v>0</v>
      </c>
      <c r="G125" s="333">
        <f>'Sch4-Cost Savings by ECM'!T125</f>
        <v>0</v>
      </c>
      <c r="H125" s="334">
        <f>VLOOKUP("Natural Gas", 'GHG Emissions'!$D$2:$M$66,4,FALSE)+VLOOKUP("Natural Gas", 'GHG Emissions'!$D$2:$M$66,6,FALSE)*'eGRID subregion name'!$P$3+VLOOKUP("Natural Gas", 'GHG Emissions'!$D$2:$M$66,8,FALSE)*'eGRID subregion name'!$P$4</f>
        <v>53.114800000000002</v>
      </c>
      <c r="I125" s="334">
        <f t="shared" si="8"/>
        <v>0</v>
      </c>
      <c r="J125" s="333">
        <f>'Sch4-Cost Savings by ECM'!V125</f>
        <v>0</v>
      </c>
      <c r="K12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5" s="334">
        <f t="shared" si="14"/>
        <v>0</v>
      </c>
      <c r="M125" s="333">
        <f>'Sch4-Cost Savings by ECM'!X125</f>
        <v>0</v>
      </c>
      <c r="N12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5" s="334">
        <f t="shared" si="9"/>
        <v>0</v>
      </c>
      <c r="P125" s="334">
        <f t="shared" si="10"/>
        <v>0</v>
      </c>
      <c r="Q125" s="334">
        <f t="shared" si="11"/>
        <v>0</v>
      </c>
      <c r="R125" s="334">
        <f t="shared" si="12"/>
        <v>0</v>
      </c>
    </row>
    <row r="126" spans="1:18" ht="16.5" thickBot="1">
      <c r="A126" s="40" t="str">
        <f>IF('Sch2a-Imp Price by ECM'!B127="","",'Sch2a-Imp Price by ECM'!B127)</f>
        <v/>
      </c>
      <c r="B126" s="76" t="str">
        <f>IF('Sch2a-Imp Price by ECM'!D127="","",'Sch2a-Imp Price by ECM'!D127)</f>
        <v/>
      </c>
      <c r="C126" s="331" t="s">
        <v>333</v>
      </c>
      <c r="D126" s="332">
        <f>'Sch4-Cost Savings by ECM'!P126</f>
        <v>0</v>
      </c>
      <c r="E126" s="376">
        <f>VLOOKUP(C126,'eGRID subregion name'!$A$2:$N$30,8,0)</f>
        <v>189.83531623683197</v>
      </c>
      <c r="F126" s="376">
        <f t="shared" si="13"/>
        <v>0</v>
      </c>
      <c r="G126" s="333">
        <f>'Sch4-Cost Savings by ECM'!T126</f>
        <v>0</v>
      </c>
      <c r="H126" s="334">
        <f>VLOOKUP("Natural Gas", 'GHG Emissions'!$D$2:$M$66,4,FALSE)+VLOOKUP("Natural Gas", 'GHG Emissions'!$D$2:$M$66,6,FALSE)*'eGRID subregion name'!$P$3+VLOOKUP("Natural Gas", 'GHG Emissions'!$D$2:$M$66,8,FALSE)*'eGRID subregion name'!$P$4</f>
        <v>53.114800000000002</v>
      </c>
      <c r="I126" s="334">
        <f t="shared" si="8"/>
        <v>0</v>
      </c>
      <c r="J126" s="333">
        <f>'Sch4-Cost Savings by ECM'!V126</f>
        <v>0</v>
      </c>
      <c r="K12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6" s="334">
        <f t="shared" si="14"/>
        <v>0</v>
      </c>
      <c r="M126" s="333">
        <f>'Sch4-Cost Savings by ECM'!X126</f>
        <v>0</v>
      </c>
      <c r="N12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6" s="334">
        <f t="shared" si="9"/>
        <v>0</v>
      </c>
      <c r="P126" s="334">
        <f t="shared" si="10"/>
        <v>0</v>
      </c>
      <c r="Q126" s="334">
        <f t="shared" si="11"/>
        <v>0</v>
      </c>
      <c r="R126" s="334">
        <f t="shared" si="12"/>
        <v>0</v>
      </c>
    </row>
    <row r="127" spans="1:18" ht="16.5" thickBot="1">
      <c r="A127" s="40" t="str">
        <f>IF('Sch2a-Imp Price by ECM'!B128="","",'Sch2a-Imp Price by ECM'!B128)</f>
        <v/>
      </c>
      <c r="B127" s="76" t="str">
        <f>IF('Sch2a-Imp Price by ECM'!D128="","",'Sch2a-Imp Price by ECM'!D128)</f>
        <v/>
      </c>
      <c r="C127" s="331" t="s">
        <v>333</v>
      </c>
      <c r="D127" s="332">
        <f>'Sch4-Cost Savings by ECM'!P127</f>
        <v>0</v>
      </c>
      <c r="E127" s="376">
        <f>VLOOKUP(C127,'eGRID subregion name'!$A$2:$N$30,8,0)</f>
        <v>189.83531623683197</v>
      </c>
      <c r="F127" s="376">
        <f t="shared" si="13"/>
        <v>0</v>
      </c>
      <c r="G127" s="333">
        <f>'Sch4-Cost Savings by ECM'!T127</f>
        <v>0</v>
      </c>
      <c r="H127" s="334">
        <f>VLOOKUP("Natural Gas", 'GHG Emissions'!$D$2:$M$66,4,FALSE)+VLOOKUP("Natural Gas", 'GHG Emissions'!$D$2:$M$66,6,FALSE)*'eGRID subregion name'!$P$3+VLOOKUP("Natural Gas", 'GHG Emissions'!$D$2:$M$66,8,FALSE)*'eGRID subregion name'!$P$4</f>
        <v>53.114800000000002</v>
      </c>
      <c r="I127" s="334">
        <f t="shared" si="8"/>
        <v>0</v>
      </c>
      <c r="J127" s="333">
        <f>'Sch4-Cost Savings by ECM'!V127</f>
        <v>0</v>
      </c>
      <c r="K12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7" s="334">
        <f t="shared" si="14"/>
        <v>0</v>
      </c>
      <c r="M127" s="333">
        <f>'Sch4-Cost Savings by ECM'!X127</f>
        <v>0</v>
      </c>
      <c r="N12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7" s="334">
        <f t="shared" si="9"/>
        <v>0</v>
      </c>
      <c r="P127" s="334">
        <f t="shared" si="10"/>
        <v>0</v>
      </c>
      <c r="Q127" s="334">
        <f t="shared" si="11"/>
        <v>0</v>
      </c>
      <c r="R127" s="334">
        <f t="shared" si="12"/>
        <v>0</v>
      </c>
    </row>
    <row r="128" spans="1:18" ht="16.5" thickBot="1">
      <c r="A128" s="40" t="str">
        <f>IF('Sch2a-Imp Price by ECM'!B129="","",'Sch2a-Imp Price by ECM'!B129)</f>
        <v/>
      </c>
      <c r="B128" s="76" t="str">
        <f>IF('Sch2a-Imp Price by ECM'!D129="","",'Sch2a-Imp Price by ECM'!D129)</f>
        <v/>
      </c>
      <c r="C128" s="331" t="s">
        <v>333</v>
      </c>
      <c r="D128" s="332">
        <f>'Sch4-Cost Savings by ECM'!P128</f>
        <v>0</v>
      </c>
      <c r="E128" s="376">
        <f>VLOOKUP(C128,'eGRID subregion name'!$A$2:$N$30,8,0)</f>
        <v>189.83531623683197</v>
      </c>
      <c r="F128" s="376">
        <f t="shared" si="13"/>
        <v>0</v>
      </c>
      <c r="G128" s="333">
        <f>'Sch4-Cost Savings by ECM'!T128</f>
        <v>0</v>
      </c>
      <c r="H128" s="334">
        <f>VLOOKUP("Natural Gas", 'GHG Emissions'!$D$2:$M$66,4,FALSE)+VLOOKUP("Natural Gas", 'GHG Emissions'!$D$2:$M$66,6,FALSE)*'eGRID subregion name'!$P$3+VLOOKUP("Natural Gas", 'GHG Emissions'!$D$2:$M$66,8,FALSE)*'eGRID subregion name'!$P$4</f>
        <v>53.114800000000002</v>
      </c>
      <c r="I128" s="334">
        <f t="shared" si="8"/>
        <v>0</v>
      </c>
      <c r="J128" s="333">
        <f>'Sch4-Cost Savings by ECM'!V128</f>
        <v>0</v>
      </c>
      <c r="K12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8" s="334">
        <f t="shared" si="14"/>
        <v>0</v>
      </c>
      <c r="M128" s="333">
        <f>'Sch4-Cost Savings by ECM'!X128</f>
        <v>0</v>
      </c>
      <c r="N12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8" s="334">
        <f t="shared" si="9"/>
        <v>0</v>
      </c>
      <c r="P128" s="334">
        <f t="shared" si="10"/>
        <v>0</v>
      </c>
      <c r="Q128" s="334">
        <f t="shared" si="11"/>
        <v>0</v>
      </c>
      <c r="R128" s="334">
        <f t="shared" si="12"/>
        <v>0</v>
      </c>
    </row>
    <row r="129" spans="1:18" ht="16.5" thickBot="1">
      <c r="A129" s="40" t="str">
        <f>IF('Sch2a-Imp Price by ECM'!B130="","",'Sch2a-Imp Price by ECM'!B130)</f>
        <v/>
      </c>
      <c r="B129" s="76" t="str">
        <f>IF('Sch2a-Imp Price by ECM'!D130="","",'Sch2a-Imp Price by ECM'!D130)</f>
        <v/>
      </c>
      <c r="C129" s="331" t="s">
        <v>333</v>
      </c>
      <c r="D129" s="332">
        <f>'Sch4-Cost Savings by ECM'!P129</f>
        <v>0</v>
      </c>
      <c r="E129" s="376">
        <f>VLOOKUP(C129,'eGRID subregion name'!$A$2:$N$30,8,0)</f>
        <v>189.83531623683197</v>
      </c>
      <c r="F129" s="376">
        <f t="shared" si="13"/>
        <v>0</v>
      </c>
      <c r="G129" s="333">
        <f>'Sch4-Cost Savings by ECM'!T129</f>
        <v>0</v>
      </c>
      <c r="H129" s="334">
        <f>VLOOKUP("Natural Gas", 'GHG Emissions'!$D$2:$M$66,4,FALSE)+VLOOKUP("Natural Gas", 'GHG Emissions'!$D$2:$M$66,6,FALSE)*'eGRID subregion name'!$P$3+VLOOKUP("Natural Gas", 'GHG Emissions'!$D$2:$M$66,8,FALSE)*'eGRID subregion name'!$P$4</f>
        <v>53.114800000000002</v>
      </c>
      <c r="I129" s="334">
        <f t="shared" si="8"/>
        <v>0</v>
      </c>
      <c r="J129" s="333">
        <f>'Sch4-Cost Savings by ECM'!V129</f>
        <v>0</v>
      </c>
      <c r="K12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29" s="334">
        <f t="shared" si="14"/>
        <v>0</v>
      </c>
      <c r="M129" s="333">
        <f>'Sch4-Cost Savings by ECM'!X129</f>
        <v>0</v>
      </c>
      <c r="N12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29" s="334">
        <f t="shared" si="9"/>
        <v>0</v>
      </c>
      <c r="P129" s="334">
        <f t="shared" si="10"/>
        <v>0</v>
      </c>
      <c r="Q129" s="334">
        <f t="shared" si="11"/>
        <v>0</v>
      </c>
      <c r="R129" s="334">
        <f t="shared" si="12"/>
        <v>0</v>
      </c>
    </row>
    <row r="130" spans="1:18" ht="16.5" thickBot="1">
      <c r="A130" s="40" t="str">
        <f>IF('Sch2a-Imp Price by ECM'!B131="","",'Sch2a-Imp Price by ECM'!B131)</f>
        <v/>
      </c>
      <c r="B130" s="76" t="str">
        <f>IF('Sch2a-Imp Price by ECM'!D131="","",'Sch2a-Imp Price by ECM'!D131)</f>
        <v/>
      </c>
      <c r="C130" s="331" t="s">
        <v>333</v>
      </c>
      <c r="D130" s="332">
        <f>'Sch4-Cost Savings by ECM'!P130</f>
        <v>0</v>
      </c>
      <c r="E130" s="376">
        <f>VLOOKUP(C130,'eGRID subregion name'!$A$2:$N$30,8,0)</f>
        <v>189.83531623683197</v>
      </c>
      <c r="F130" s="376">
        <f t="shared" si="13"/>
        <v>0</v>
      </c>
      <c r="G130" s="333">
        <f>'Sch4-Cost Savings by ECM'!T130</f>
        <v>0</v>
      </c>
      <c r="H130" s="334">
        <f>VLOOKUP("Natural Gas", 'GHG Emissions'!$D$2:$M$66,4,FALSE)+VLOOKUP("Natural Gas", 'GHG Emissions'!$D$2:$M$66,6,FALSE)*'eGRID subregion name'!$P$3+VLOOKUP("Natural Gas", 'GHG Emissions'!$D$2:$M$66,8,FALSE)*'eGRID subregion name'!$P$4</f>
        <v>53.114800000000002</v>
      </c>
      <c r="I130" s="334">
        <f t="shared" si="8"/>
        <v>0</v>
      </c>
      <c r="J130" s="333">
        <f>'Sch4-Cost Savings by ECM'!V130</f>
        <v>0</v>
      </c>
      <c r="K13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0" s="334">
        <f t="shared" si="14"/>
        <v>0</v>
      </c>
      <c r="M130" s="333">
        <f>'Sch4-Cost Savings by ECM'!X130</f>
        <v>0</v>
      </c>
      <c r="N13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0" s="334">
        <f t="shared" si="9"/>
        <v>0</v>
      </c>
      <c r="P130" s="334">
        <f t="shared" si="10"/>
        <v>0</v>
      </c>
      <c r="Q130" s="334">
        <f t="shared" si="11"/>
        <v>0</v>
      </c>
      <c r="R130" s="334">
        <f t="shared" si="12"/>
        <v>0</v>
      </c>
    </row>
    <row r="131" spans="1:18" ht="16.5" thickBot="1">
      <c r="A131" s="40" t="str">
        <f>IF('Sch2a-Imp Price by ECM'!B132="","",'Sch2a-Imp Price by ECM'!B132)</f>
        <v/>
      </c>
      <c r="B131" s="76" t="str">
        <f>IF('Sch2a-Imp Price by ECM'!D132="","",'Sch2a-Imp Price by ECM'!D132)</f>
        <v/>
      </c>
      <c r="C131" s="331" t="s">
        <v>333</v>
      </c>
      <c r="D131" s="332">
        <f>'Sch4-Cost Savings by ECM'!P131</f>
        <v>0</v>
      </c>
      <c r="E131" s="376">
        <f>VLOOKUP(C131,'eGRID subregion name'!$A$2:$N$30,8,0)</f>
        <v>189.83531623683197</v>
      </c>
      <c r="F131" s="376">
        <f t="shared" si="13"/>
        <v>0</v>
      </c>
      <c r="G131" s="333">
        <f>'Sch4-Cost Savings by ECM'!T131</f>
        <v>0</v>
      </c>
      <c r="H131" s="334">
        <f>VLOOKUP("Natural Gas", 'GHG Emissions'!$D$2:$M$66,4,FALSE)+VLOOKUP("Natural Gas", 'GHG Emissions'!$D$2:$M$66,6,FALSE)*'eGRID subregion name'!$P$3+VLOOKUP("Natural Gas", 'GHG Emissions'!$D$2:$M$66,8,FALSE)*'eGRID subregion name'!$P$4</f>
        <v>53.114800000000002</v>
      </c>
      <c r="I131" s="334">
        <f t="shared" si="8"/>
        <v>0</v>
      </c>
      <c r="J131" s="333">
        <f>'Sch4-Cost Savings by ECM'!V131</f>
        <v>0</v>
      </c>
      <c r="K13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1" s="334">
        <f t="shared" si="14"/>
        <v>0</v>
      </c>
      <c r="M131" s="333">
        <f>'Sch4-Cost Savings by ECM'!X131</f>
        <v>0</v>
      </c>
      <c r="N13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1" s="334">
        <f t="shared" si="9"/>
        <v>0</v>
      </c>
      <c r="P131" s="334">
        <f t="shared" si="10"/>
        <v>0</v>
      </c>
      <c r="Q131" s="334">
        <f t="shared" si="11"/>
        <v>0</v>
      </c>
      <c r="R131" s="334">
        <f t="shared" si="12"/>
        <v>0</v>
      </c>
    </row>
    <row r="132" spans="1:18" ht="16.5" thickBot="1">
      <c r="A132" s="40" t="str">
        <f>IF('Sch2a-Imp Price by ECM'!B133="","",'Sch2a-Imp Price by ECM'!B133)</f>
        <v/>
      </c>
      <c r="B132" s="76" t="str">
        <f>IF('Sch2a-Imp Price by ECM'!D133="","",'Sch2a-Imp Price by ECM'!D133)</f>
        <v/>
      </c>
      <c r="C132" s="331" t="s">
        <v>333</v>
      </c>
      <c r="D132" s="332">
        <f>'Sch4-Cost Savings by ECM'!P132</f>
        <v>0</v>
      </c>
      <c r="E132" s="376">
        <f>VLOOKUP(C132,'eGRID subregion name'!$A$2:$N$30,8,0)</f>
        <v>189.83531623683197</v>
      </c>
      <c r="F132" s="376">
        <f t="shared" si="13"/>
        <v>0</v>
      </c>
      <c r="G132" s="333">
        <f>'Sch4-Cost Savings by ECM'!T132</f>
        <v>0</v>
      </c>
      <c r="H132" s="334">
        <f>VLOOKUP("Natural Gas", 'GHG Emissions'!$D$2:$M$66,4,FALSE)+VLOOKUP("Natural Gas", 'GHG Emissions'!$D$2:$M$66,6,FALSE)*'eGRID subregion name'!$P$3+VLOOKUP("Natural Gas", 'GHG Emissions'!$D$2:$M$66,8,FALSE)*'eGRID subregion name'!$P$4</f>
        <v>53.114800000000002</v>
      </c>
      <c r="I132" s="334">
        <f t="shared" si="8"/>
        <v>0</v>
      </c>
      <c r="J132" s="333">
        <f>'Sch4-Cost Savings by ECM'!V132</f>
        <v>0</v>
      </c>
      <c r="K13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2" s="334">
        <f t="shared" si="14"/>
        <v>0</v>
      </c>
      <c r="M132" s="333">
        <f>'Sch4-Cost Savings by ECM'!X132</f>
        <v>0</v>
      </c>
      <c r="N13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2" s="334">
        <f t="shared" si="9"/>
        <v>0</v>
      </c>
      <c r="P132" s="334">
        <f t="shared" si="10"/>
        <v>0</v>
      </c>
      <c r="Q132" s="334">
        <f t="shared" si="11"/>
        <v>0</v>
      </c>
      <c r="R132" s="334">
        <f t="shared" si="12"/>
        <v>0</v>
      </c>
    </row>
    <row r="133" spans="1:18" ht="16.5" thickBot="1">
      <c r="A133" s="40" t="str">
        <f>IF('Sch2a-Imp Price by ECM'!B134="","",'Sch2a-Imp Price by ECM'!B134)</f>
        <v/>
      </c>
      <c r="B133" s="76" t="str">
        <f>IF('Sch2a-Imp Price by ECM'!D134="","",'Sch2a-Imp Price by ECM'!D134)</f>
        <v/>
      </c>
      <c r="C133" s="331" t="s">
        <v>333</v>
      </c>
      <c r="D133" s="332">
        <f>'Sch4-Cost Savings by ECM'!P133</f>
        <v>0</v>
      </c>
      <c r="E133" s="376">
        <f>VLOOKUP(C133,'eGRID subregion name'!$A$2:$N$30,8,0)</f>
        <v>189.83531623683197</v>
      </c>
      <c r="F133" s="376">
        <f t="shared" si="13"/>
        <v>0</v>
      </c>
      <c r="G133" s="333">
        <f>'Sch4-Cost Savings by ECM'!T133</f>
        <v>0</v>
      </c>
      <c r="H133" s="334">
        <f>VLOOKUP("Natural Gas", 'GHG Emissions'!$D$2:$M$66,4,FALSE)+VLOOKUP("Natural Gas", 'GHG Emissions'!$D$2:$M$66,6,FALSE)*'eGRID subregion name'!$P$3+VLOOKUP("Natural Gas", 'GHG Emissions'!$D$2:$M$66,8,FALSE)*'eGRID subregion name'!$P$4</f>
        <v>53.114800000000002</v>
      </c>
      <c r="I133" s="334">
        <f t="shared" si="8"/>
        <v>0</v>
      </c>
      <c r="J133" s="333">
        <f>'Sch4-Cost Savings by ECM'!V133</f>
        <v>0</v>
      </c>
      <c r="K13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3" s="334">
        <f t="shared" si="14"/>
        <v>0</v>
      </c>
      <c r="M133" s="333">
        <f>'Sch4-Cost Savings by ECM'!X133</f>
        <v>0</v>
      </c>
      <c r="N13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3" s="334">
        <f t="shared" si="9"/>
        <v>0</v>
      </c>
      <c r="P133" s="334">
        <f t="shared" si="10"/>
        <v>0</v>
      </c>
      <c r="Q133" s="334">
        <f t="shared" si="11"/>
        <v>0</v>
      </c>
      <c r="R133" s="334">
        <f t="shared" si="12"/>
        <v>0</v>
      </c>
    </row>
    <row r="134" spans="1:18" ht="16.5" thickBot="1">
      <c r="A134" s="40" t="str">
        <f>IF('Sch2a-Imp Price by ECM'!B135="","",'Sch2a-Imp Price by ECM'!B135)</f>
        <v/>
      </c>
      <c r="B134" s="76" t="str">
        <f>IF('Sch2a-Imp Price by ECM'!D135="","",'Sch2a-Imp Price by ECM'!D135)</f>
        <v/>
      </c>
      <c r="C134" s="331" t="s">
        <v>333</v>
      </c>
      <c r="D134" s="332">
        <f>'Sch4-Cost Savings by ECM'!P134</f>
        <v>0</v>
      </c>
      <c r="E134" s="376">
        <f>VLOOKUP(C134,'eGRID subregion name'!$A$2:$N$30,8,0)</f>
        <v>189.83531623683197</v>
      </c>
      <c r="F134" s="376">
        <f t="shared" si="13"/>
        <v>0</v>
      </c>
      <c r="G134" s="333">
        <f>'Sch4-Cost Savings by ECM'!T134</f>
        <v>0</v>
      </c>
      <c r="H134" s="334">
        <f>VLOOKUP("Natural Gas", 'GHG Emissions'!$D$2:$M$66,4,FALSE)+VLOOKUP("Natural Gas", 'GHG Emissions'!$D$2:$M$66,6,FALSE)*'eGRID subregion name'!$P$3+VLOOKUP("Natural Gas", 'GHG Emissions'!$D$2:$M$66,8,FALSE)*'eGRID subregion name'!$P$4</f>
        <v>53.114800000000002</v>
      </c>
      <c r="I134" s="334">
        <f t="shared" si="8"/>
        <v>0</v>
      </c>
      <c r="J134" s="333">
        <f>'Sch4-Cost Savings by ECM'!V134</f>
        <v>0</v>
      </c>
      <c r="K13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4" s="334">
        <f t="shared" si="14"/>
        <v>0</v>
      </c>
      <c r="M134" s="333">
        <f>'Sch4-Cost Savings by ECM'!X134</f>
        <v>0</v>
      </c>
      <c r="N13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4" s="334">
        <f t="shared" si="9"/>
        <v>0</v>
      </c>
      <c r="P134" s="334">
        <f t="shared" si="10"/>
        <v>0</v>
      </c>
      <c r="Q134" s="334">
        <f t="shared" si="11"/>
        <v>0</v>
      </c>
      <c r="R134" s="334">
        <f t="shared" si="12"/>
        <v>0</v>
      </c>
    </row>
    <row r="135" spans="1:18" ht="16.5" thickBot="1">
      <c r="A135" s="40" t="str">
        <f>IF('Sch2a-Imp Price by ECM'!B136="","",'Sch2a-Imp Price by ECM'!B136)</f>
        <v/>
      </c>
      <c r="B135" s="76" t="str">
        <f>IF('Sch2a-Imp Price by ECM'!D136="","",'Sch2a-Imp Price by ECM'!D136)</f>
        <v/>
      </c>
      <c r="C135" s="331" t="s">
        <v>333</v>
      </c>
      <c r="D135" s="332">
        <f>'Sch4-Cost Savings by ECM'!P135</f>
        <v>0</v>
      </c>
      <c r="E135" s="376">
        <f>VLOOKUP(C135,'eGRID subregion name'!$A$2:$N$30,8,0)</f>
        <v>189.83531623683197</v>
      </c>
      <c r="F135" s="376">
        <f t="shared" si="13"/>
        <v>0</v>
      </c>
      <c r="G135" s="333">
        <f>'Sch4-Cost Savings by ECM'!T135</f>
        <v>0</v>
      </c>
      <c r="H135" s="334">
        <f>VLOOKUP("Natural Gas", 'GHG Emissions'!$D$2:$M$66,4,FALSE)+VLOOKUP("Natural Gas", 'GHG Emissions'!$D$2:$M$66,6,FALSE)*'eGRID subregion name'!$P$3+VLOOKUP("Natural Gas", 'GHG Emissions'!$D$2:$M$66,8,FALSE)*'eGRID subregion name'!$P$4</f>
        <v>53.114800000000002</v>
      </c>
      <c r="I135" s="334">
        <f t="shared" si="8"/>
        <v>0</v>
      </c>
      <c r="J135" s="333">
        <f>'Sch4-Cost Savings by ECM'!V135</f>
        <v>0</v>
      </c>
      <c r="K13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5" s="334">
        <f t="shared" si="14"/>
        <v>0</v>
      </c>
      <c r="M135" s="333">
        <f>'Sch4-Cost Savings by ECM'!X135</f>
        <v>0</v>
      </c>
      <c r="N13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5" s="334">
        <f t="shared" si="9"/>
        <v>0</v>
      </c>
      <c r="P135" s="334">
        <f t="shared" si="10"/>
        <v>0</v>
      </c>
      <c r="Q135" s="334">
        <f t="shared" si="11"/>
        <v>0</v>
      </c>
      <c r="R135" s="334">
        <f t="shared" si="12"/>
        <v>0</v>
      </c>
    </row>
    <row r="136" spans="1:18" ht="16.5" thickBot="1">
      <c r="A136" s="40" t="str">
        <f>IF('Sch2a-Imp Price by ECM'!B137="","",'Sch2a-Imp Price by ECM'!B137)</f>
        <v/>
      </c>
      <c r="B136" s="76" t="str">
        <f>IF('Sch2a-Imp Price by ECM'!D137="","",'Sch2a-Imp Price by ECM'!D137)</f>
        <v/>
      </c>
      <c r="C136" s="331" t="s">
        <v>333</v>
      </c>
      <c r="D136" s="332">
        <f>'Sch4-Cost Savings by ECM'!P136</f>
        <v>0</v>
      </c>
      <c r="E136" s="376">
        <f>VLOOKUP(C136,'eGRID subregion name'!$A$2:$N$30,8,0)</f>
        <v>189.83531623683197</v>
      </c>
      <c r="F136" s="376">
        <f t="shared" si="13"/>
        <v>0</v>
      </c>
      <c r="G136" s="333">
        <f>'Sch4-Cost Savings by ECM'!T136</f>
        <v>0</v>
      </c>
      <c r="H136" s="334">
        <f>VLOOKUP("Natural Gas", 'GHG Emissions'!$D$2:$M$66,4,FALSE)+VLOOKUP("Natural Gas", 'GHG Emissions'!$D$2:$M$66,6,FALSE)*'eGRID subregion name'!$P$3+VLOOKUP("Natural Gas", 'GHG Emissions'!$D$2:$M$66,8,FALSE)*'eGRID subregion name'!$P$4</f>
        <v>53.114800000000002</v>
      </c>
      <c r="I136" s="334">
        <f t="shared" si="8"/>
        <v>0</v>
      </c>
      <c r="J136" s="333">
        <f>'Sch4-Cost Savings by ECM'!V136</f>
        <v>0</v>
      </c>
      <c r="K13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6" s="334">
        <f t="shared" si="14"/>
        <v>0</v>
      </c>
      <c r="M136" s="333">
        <f>'Sch4-Cost Savings by ECM'!X136</f>
        <v>0</v>
      </c>
      <c r="N13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6" s="334">
        <f t="shared" si="9"/>
        <v>0</v>
      </c>
      <c r="P136" s="334">
        <f t="shared" si="10"/>
        <v>0</v>
      </c>
      <c r="Q136" s="334">
        <f t="shared" si="11"/>
        <v>0</v>
      </c>
      <c r="R136" s="334">
        <f t="shared" si="12"/>
        <v>0</v>
      </c>
    </row>
    <row r="137" spans="1:18" ht="16.5" thickBot="1">
      <c r="A137" s="40" t="str">
        <f>IF('Sch2a-Imp Price by ECM'!B138="","",'Sch2a-Imp Price by ECM'!B138)</f>
        <v/>
      </c>
      <c r="B137" s="76" t="str">
        <f>IF('Sch2a-Imp Price by ECM'!D138="","",'Sch2a-Imp Price by ECM'!D138)</f>
        <v/>
      </c>
      <c r="C137" s="331" t="s">
        <v>333</v>
      </c>
      <c r="D137" s="332">
        <f>'Sch4-Cost Savings by ECM'!P137</f>
        <v>0</v>
      </c>
      <c r="E137" s="376">
        <f>VLOOKUP(C137,'eGRID subregion name'!$A$2:$N$30,8,0)</f>
        <v>189.83531623683197</v>
      </c>
      <c r="F137" s="376">
        <f t="shared" si="13"/>
        <v>0</v>
      </c>
      <c r="G137" s="333">
        <f>'Sch4-Cost Savings by ECM'!T137</f>
        <v>0</v>
      </c>
      <c r="H137" s="334">
        <f>VLOOKUP("Natural Gas", 'GHG Emissions'!$D$2:$M$66,4,FALSE)+VLOOKUP("Natural Gas", 'GHG Emissions'!$D$2:$M$66,6,FALSE)*'eGRID subregion name'!$P$3+VLOOKUP("Natural Gas", 'GHG Emissions'!$D$2:$M$66,8,FALSE)*'eGRID subregion name'!$P$4</f>
        <v>53.114800000000002</v>
      </c>
      <c r="I137" s="334">
        <f t="shared" ref="I137:I200" si="15">G137*H137</f>
        <v>0</v>
      </c>
      <c r="J137" s="333">
        <f>'Sch4-Cost Savings by ECM'!V137</f>
        <v>0</v>
      </c>
      <c r="K13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7" s="334">
        <f t="shared" si="14"/>
        <v>0</v>
      </c>
      <c r="M137" s="333">
        <f>'Sch4-Cost Savings by ECM'!X137</f>
        <v>0</v>
      </c>
      <c r="N13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7" s="334">
        <f t="shared" ref="O137:O200" si="16">M137*N137</f>
        <v>0</v>
      </c>
      <c r="P137" s="334">
        <f t="shared" ref="P137:P200" si="17">I137+IF(AND($L$5&lt;&gt;"Other Savings Type 1: Chilled Water",$L$5&lt;&gt;"Other Savings Type 1: Purchased Steam"),L137,0)+IF(AND($O$5&lt;&gt;"Other Savings Type 2: Chilled Water",$O$5&lt;&gt;"Other Savings Type 2: Purchased Steam"),O137,0)</f>
        <v>0</v>
      </c>
      <c r="Q137" s="334">
        <f t="shared" ref="Q137:Q200" si="18">F137+IF(OR($L$5="Other Savings Type 1: Chilled Water",$L$5="Other Savings Type 1: Purchased Steam"),L137,0)+IF(OR($O$5="Other Savings Type 2: Chilled Water",$O$5="Other Savings Type 2: Purchased Steam"),O137,0)</f>
        <v>0</v>
      </c>
      <c r="R137" s="334">
        <f t="shared" ref="R137:R200" si="19">P137+Q137</f>
        <v>0</v>
      </c>
    </row>
    <row r="138" spans="1:18" ht="16.5" thickBot="1">
      <c r="A138" s="40" t="str">
        <f>IF('Sch2a-Imp Price by ECM'!B139="","",'Sch2a-Imp Price by ECM'!B139)</f>
        <v/>
      </c>
      <c r="B138" s="76" t="str">
        <f>IF('Sch2a-Imp Price by ECM'!D139="","",'Sch2a-Imp Price by ECM'!D139)</f>
        <v/>
      </c>
      <c r="C138" s="331" t="s">
        <v>333</v>
      </c>
      <c r="D138" s="332">
        <f>'Sch4-Cost Savings by ECM'!P138</f>
        <v>0</v>
      </c>
      <c r="E138" s="376">
        <f>VLOOKUP(C138,'eGRID subregion name'!$A$2:$N$30,8,0)</f>
        <v>189.83531623683197</v>
      </c>
      <c r="F138" s="376">
        <f t="shared" ref="F138:F201" si="20">D138*3412*E138/1000000</f>
        <v>0</v>
      </c>
      <c r="G138" s="333">
        <f>'Sch4-Cost Savings by ECM'!T138</f>
        <v>0</v>
      </c>
      <c r="H138" s="334">
        <f>VLOOKUP("Natural Gas", 'GHG Emissions'!$D$2:$M$66,4,FALSE)+VLOOKUP("Natural Gas", 'GHG Emissions'!$D$2:$M$66,6,FALSE)*'eGRID subregion name'!$P$3+VLOOKUP("Natural Gas", 'GHG Emissions'!$D$2:$M$66,8,FALSE)*'eGRID subregion name'!$P$4</f>
        <v>53.114800000000002</v>
      </c>
      <c r="I138" s="334">
        <f t="shared" si="15"/>
        <v>0</v>
      </c>
      <c r="J138" s="333">
        <f>'Sch4-Cost Savings by ECM'!V138</f>
        <v>0</v>
      </c>
      <c r="K13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8" s="334">
        <f t="shared" ref="L138:L201" si="21">K138*J138</f>
        <v>0</v>
      </c>
      <c r="M138" s="333">
        <f>'Sch4-Cost Savings by ECM'!X138</f>
        <v>0</v>
      </c>
      <c r="N13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8" s="334">
        <f t="shared" si="16"/>
        <v>0</v>
      </c>
      <c r="P138" s="334">
        <f t="shared" si="17"/>
        <v>0</v>
      </c>
      <c r="Q138" s="334">
        <f t="shared" si="18"/>
        <v>0</v>
      </c>
      <c r="R138" s="334">
        <f t="shared" si="19"/>
        <v>0</v>
      </c>
    </row>
    <row r="139" spans="1:18" ht="18" customHeight="1" thickBot="1">
      <c r="A139" s="40" t="str">
        <f>IF('Sch2a-Imp Price by ECM'!B140="","",'Sch2a-Imp Price by ECM'!B140)</f>
        <v/>
      </c>
      <c r="B139" s="76" t="str">
        <f>IF('Sch2a-Imp Price by ECM'!D140="","",'Sch2a-Imp Price by ECM'!D140)</f>
        <v/>
      </c>
      <c r="C139" s="331" t="s">
        <v>333</v>
      </c>
      <c r="D139" s="332">
        <f>'Sch4-Cost Savings by ECM'!P139</f>
        <v>0</v>
      </c>
      <c r="E139" s="376">
        <f>VLOOKUP(C139,'eGRID subregion name'!$A$2:$N$30,8,0)</f>
        <v>189.83531623683197</v>
      </c>
      <c r="F139" s="376">
        <f t="shared" si="20"/>
        <v>0</v>
      </c>
      <c r="G139" s="333">
        <f>'Sch4-Cost Savings by ECM'!T139</f>
        <v>0</v>
      </c>
      <c r="H139" s="334">
        <f>VLOOKUP("Natural Gas", 'GHG Emissions'!$D$2:$M$66,4,FALSE)+VLOOKUP("Natural Gas", 'GHG Emissions'!$D$2:$M$66,6,FALSE)*'eGRID subregion name'!$P$3+VLOOKUP("Natural Gas", 'GHG Emissions'!$D$2:$M$66,8,FALSE)*'eGRID subregion name'!$P$4</f>
        <v>53.114800000000002</v>
      </c>
      <c r="I139" s="334">
        <f t="shared" si="15"/>
        <v>0</v>
      </c>
      <c r="J139" s="333">
        <f>'Sch4-Cost Savings by ECM'!V139</f>
        <v>0</v>
      </c>
      <c r="K13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39" s="334">
        <f t="shared" si="21"/>
        <v>0</v>
      </c>
      <c r="M139" s="333">
        <f>'Sch4-Cost Savings by ECM'!X139</f>
        <v>0</v>
      </c>
      <c r="N13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39" s="334">
        <f t="shared" si="16"/>
        <v>0</v>
      </c>
      <c r="P139" s="334">
        <f t="shared" si="17"/>
        <v>0</v>
      </c>
      <c r="Q139" s="334">
        <f t="shared" si="18"/>
        <v>0</v>
      </c>
      <c r="R139" s="334">
        <f t="shared" si="19"/>
        <v>0</v>
      </c>
    </row>
    <row r="140" spans="1:18" ht="16.5" thickBot="1">
      <c r="A140" s="40" t="str">
        <f>IF('Sch2a-Imp Price by ECM'!B141="","",'Sch2a-Imp Price by ECM'!B141)</f>
        <v/>
      </c>
      <c r="B140" s="76" t="str">
        <f>IF('Sch2a-Imp Price by ECM'!D141="","",'Sch2a-Imp Price by ECM'!D141)</f>
        <v/>
      </c>
      <c r="C140" s="331" t="s">
        <v>333</v>
      </c>
      <c r="D140" s="332">
        <f>'Sch4-Cost Savings by ECM'!P140</f>
        <v>0</v>
      </c>
      <c r="E140" s="376">
        <f>VLOOKUP(C140,'eGRID subregion name'!$A$2:$N$30,8,0)</f>
        <v>189.83531623683197</v>
      </c>
      <c r="F140" s="376">
        <f t="shared" si="20"/>
        <v>0</v>
      </c>
      <c r="G140" s="333">
        <f>'Sch4-Cost Savings by ECM'!T140</f>
        <v>0</v>
      </c>
      <c r="H140" s="334">
        <f>VLOOKUP("Natural Gas", 'GHG Emissions'!$D$2:$M$66,4,FALSE)+VLOOKUP("Natural Gas", 'GHG Emissions'!$D$2:$M$66,6,FALSE)*'eGRID subregion name'!$P$3+VLOOKUP("Natural Gas", 'GHG Emissions'!$D$2:$M$66,8,FALSE)*'eGRID subregion name'!$P$4</f>
        <v>53.114800000000002</v>
      </c>
      <c r="I140" s="334">
        <f t="shared" si="15"/>
        <v>0</v>
      </c>
      <c r="J140" s="333">
        <f>'Sch4-Cost Savings by ECM'!V140</f>
        <v>0</v>
      </c>
      <c r="K14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0" s="334">
        <f t="shared" si="21"/>
        <v>0</v>
      </c>
      <c r="M140" s="333">
        <f>'Sch4-Cost Savings by ECM'!X140</f>
        <v>0</v>
      </c>
      <c r="N14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0" s="334">
        <f t="shared" si="16"/>
        <v>0</v>
      </c>
      <c r="P140" s="334">
        <f t="shared" si="17"/>
        <v>0</v>
      </c>
      <c r="Q140" s="334">
        <f t="shared" si="18"/>
        <v>0</v>
      </c>
      <c r="R140" s="334">
        <f t="shared" si="19"/>
        <v>0</v>
      </c>
    </row>
    <row r="141" spans="1:18" ht="16.5" thickBot="1">
      <c r="A141" s="40" t="str">
        <f>IF('Sch2a-Imp Price by ECM'!B142="","",'Sch2a-Imp Price by ECM'!B142)</f>
        <v/>
      </c>
      <c r="B141" s="76" t="str">
        <f>IF('Sch2a-Imp Price by ECM'!D142="","",'Sch2a-Imp Price by ECM'!D142)</f>
        <v/>
      </c>
      <c r="C141" s="331" t="s">
        <v>333</v>
      </c>
      <c r="D141" s="332">
        <f>'Sch4-Cost Savings by ECM'!P141</f>
        <v>0</v>
      </c>
      <c r="E141" s="376">
        <f>VLOOKUP(C141,'eGRID subregion name'!$A$2:$N$30,8,0)</f>
        <v>189.83531623683197</v>
      </c>
      <c r="F141" s="376">
        <f t="shared" si="20"/>
        <v>0</v>
      </c>
      <c r="G141" s="333">
        <f>'Sch4-Cost Savings by ECM'!T141</f>
        <v>0</v>
      </c>
      <c r="H141" s="334">
        <f>VLOOKUP("Natural Gas", 'GHG Emissions'!$D$2:$M$66,4,FALSE)+VLOOKUP("Natural Gas", 'GHG Emissions'!$D$2:$M$66,6,FALSE)*'eGRID subregion name'!$P$3+VLOOKUP("Natural Gas", 'GHG Emissions'!$D$2:$M$66,8,FALSE)*'eGRID subregion name'!$P$4</f>
        <v>53.114800000000002</v>
      </c>
      <c r="I141" s="334">
        <f t="shared" si="15"/>
        <v>0</v>
      </c>
      <c r="J141" s="333">
        <f>'Sch4-Cost Savings by ECM'!V141</f>
        <v>0</v>
      </c>
      <c r="K14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1" s="334">
        <f t="shared" si="21"/>
        <v>0</v>
      </c>
      <c r="M141" s="333">
        <f>'Sch4-Cost Savings by ECM'!X141</f>
        <v>0</v>
      </c>
      <c r="N14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1" s="334">
        <f t="shared" si="16"/>
        <v>0</v>
      </c>
      <c r="P141" s="334">
        <f t="shared" si="17"/>
        <v>0</v>
      </c>
      <c r="Q141" s="334">
        <f t="shared" si="18"/>
        <v>0</v>
      </c>
      <c r="R141" s="334">
        <f t="shared" si="19"/>
        <v>0</v>
      </c>
    </row>
    <row r="142" spans="1:18" ht="16.5" thickBot="1">
      <c r="A142" s="40" t="str">
        <f>IF('Sch2a-Imp Price by ECM'!B143="","",'Sch2a-Imp Price by ECM'!B143)</f>
        <v/>
      </c>
      <c r="B142" s="76" t="str">
        <f>IF('Sch2a-Imp Price by ECM'!D143="","",'Sch2a-Imp Price by ECM'!D143)</f>
        <v/>
      </c>
      <c r="C142" s="331" t="s">
        <v>333</v>
      </c>
      <c r="D142" s="332">
        <f>'Sch4-Cost Savings by ECM'!P142</f>
        <v>0</v>
      </c>
      <c r="E142" s="376">
        <f>VLOOKUP(C142,'eGRID subregion name'!$A$2:$N$30,8,0)</f>
        <v>189.83531623683197</v>
      </c>
      <c r="F142" s="376">
        <f t="shared" si="20"/>
        <v>0</v>
      </c>
      <c r="G142" s="333">
        <f>'Sch4-Cost Savings by ECM'!T142</f>
        <v>0</v>
      </c>
      <c r="H142" s="334">
        <f>VLOOKUP("Natural Gas", 'GHG Emissions'!$D$2:$M$66,4,FALSE)+VLOOKUP("Natural Gas", 'GHG Emissions'!$D$2:$M$66,6,FALSE)*'eGRID subregion name'!$P$3+VLOOKUP("Natural Gas", 'GHG Emissions'!$D$2:$M$66,8,FALSE)*'eGRID subregion name'!$P$4</f>
        <v>53.114800000000002</v>
      </c>
      <c r="I142" s="334">
        <f t="shared" si="15"/>
        <v>0</v>
      </c>
      <c r="J142" s="333">
        <f>'Sch4-Cost Savings by ECM'!V142</f>
        <v>0</v>
      </c>
      <c r="K14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2" s="334">
        <f t="shared" si="21"/>
        <v>0</v>
      </c>
      <c r="M142" s="333">
        <f>'Sch4-Cost Savings by ECM'!X142</f>
        <v>0</v>
      </c>
      <c r="N14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2" s="334">
        <f t="shared" si="16"/>
        <v>0</v>
      </c>
      <c r="P142" s="334">
        <f t="shared" si="17"/>
        <v>0</v>
      </c>
      <c r="Q142" s="334">
        <f t="shared" si="18"/>
        <v>0</v>
      </c>
      <c r="R142" s="334">
        <f t="shared" si="19"/>
        <v>0</v>
      </c>
    </row>
    <row r="143" spans="1:18" ht="16.5" thickBot="1">
      <c r="A143" s="40" t="str">
        <f>IF('Sch2a-Imp Price by ECM'!B144="","",'Sch2a-Imp Price by ECM'!B144)</f>
        <v/>
      </c>
      <c r="B143" s="76" t="str">
        <f>IF('Sch2a-Imp Price by ECM'!D144="","",'Sch2a-Imp Price by ECM'!D144)</f>
        <v/>
      </c>
      <c r="C143" s="331" t="s">
        <v>333</v>
      </c>
      <c r="D143" s="332">
        <f>'Sch4-Cost Savings by ECM'!P143</f>
        <v>0</v>
      </c>
      <c r="E143" s="376">
        <f>VLOOKUP(C143,'eGRID subregion name'!$A$2:$N$30,8,0)</f>
        <v>189.83531623683197</v>
      </c>
      <c r="F143" s="376">
        <f t="shared" si="20"/>
        <v>0</v>
      </c>
      <c r="G143" s="333">
        <f>'Sch4-Cost Savings by ECM'!T143</f>
        <v>0</v>
      </c>
      <c r="H143" s="334">
        <f>VLOOKUP("Natural Gas", 'GHG Emissions'!$D$2:$M$66,4,FALSE)+VLOOKUP("Natural Gas", 'GHG Emissions'!$D$2:$M$66,6,FALSE)*'eGRID subregion name'!$P$3+VLOOKUP("Natural Gas", 'GHG Emissions'!$D$2:$M$66,8,FALSE)*'eGRID subregion name'!$P$4</f>
        <v>53.114800000000002</v>
      </c>
      <c r="I143" s="334">
        <f t="shared" si="15"/>
        <v>0</v>
      </c>
      <c r="J143" s="333">
        <f>'Sch4-Cost Savings by ECM'!V143</f>
        <v>0</v>
      </c>
      <c r="K14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3" s="334">
        <f t="shared" si="21"/>
        <v>0</v>
      </c>
      <c r="M143" s="333">
        <f>'Sch4-Cost Savings by ECM'!X143</f>
        <v>0</v>
      </c>
      <c r="N14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3" s="334">
        <f t="shared" si="16"/>
        <v>0</v>
      </c>
      <c r="P143" s="334">
        <f t="shared" si="17"/>
        <v>0</v>
      </c>
      <c r="Q143" s="334">
        <f t="shared" si="18"/>
        <v>0</v>
      </c>
      <c r="R143" s="334">
        <f t="shared" si="19"/>
        <v>0</v>
      </c>
    </row>
    <row r="144" spans="1:18" ht="16.5" thickBot="1">
      <c r="A144" s="40" t="str">
        <f>IF('Sch2a-Imp Price by ECM'!B145="","",'Sch2a-Imp Price by ECM'!B145)</f>
        <v/>
      </c>
      <c r="B144" s="76" t="str">
        <f>IF('Sch2a-Imp Price by ECM'!D145="","",'Sch2a-Imp Price by ECM'!D145)</f>
        <v/>
      </c>
      <c r="C144" s="331" t="s">
        <v>333</v>
      </c>
      <c r="D144" s="332">
        <f>'Sch4-Cost Savings by ECM'!P144</f>
        <v>0</v>
      </c>
      <c r="E144" s="376">
        <f>VLOOKUP(C144,'eGRID subregion name'!$A$2:$N$30,8,0)</f>
        <v>189.83531623683197</v>
      </c>
      <c r="F144" s="376">
        <f t="shared" si="20"/>
        <v>0</v>
      </c>
      <c r="G144" s="333">
        <f>'Sch4-Cost Savings by ECM'!T144</f>
        <v>0</v>
      </c>
      <c r="H144" s="334">
        <f>VLOOKUP("Natural Gas", 'GHG Emissions'!$D$2:$M$66,4,FALSE)+VLOOKUP("Natural Gas", 'GHG Emissions'!$D$2:$M$66,6,FALSE)*'eGRID subregion name'!$P$3+VLOOKUP("Natural Gas", 'GHG Emissions'!$D$2:$M$66,8,FALSE)*'eGRID subregion name'!$P$4</f>
        <v>53.114800000000002</v>
      </c>
      <c r="I144" s="334">
        <f t="shared" si="15"/>
        <v>0</v>
      </c>
      <c r="J144" s="333">
        <f>'Sch4-Cost Savings by ECM'!V144</f>
        <v>0</v>
      </c>
      <c r="K14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4" s="334">
        <f t="shared" si="21"/>
        <v>0</v>
      </c>
      <c r="M144" s="333">
        <f>'Sch4-Cost Savings by ECM'!X144</f>
        <v>0</v>
      </c>
      <c r="N14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4" s="334">
        <f t="shared" si="16"/>
        <v>0</v>
      </c>
      <c r="P144" s="334">
        <f t="shared" si="17"/>
        <v>0</v>
      </c>
      <c r="Q144" s="334">
        <f t="shared" si="18"/>
        <v>0</v>
      </c>
      <c r="R144" s="334">
        <f t="shared" si="19"/>
        <v>0</v>
      </c>
    </row>
    <row r="145" spans="1:18" ht="16.5" thickBot="1">
      <c r="A145" s="40" t="str">
        <f>IF('Sch2a-Imp Price by ECM'!B146="","",'Sch2a-Imp Price by ECM'!B146)</f>
        <v/>
      </c>
      <c r="B145" s="76" t="str">
        <f>IF('Sch2a-Imp Price by ECM'!D146="","",'Sch2a-Imp Price by ECM'!D146)</f>
        <v/>
      </c>
      <c r="C145" s="331" t="s">
        <v>333</v>
      </c>
      <c r="D145" s="332">
        <f>'Sch4-Cost Savings by ECM'!P145</f>
        <v>0</v>
      </c>
      <c r="E145" s="376">
        <f>VLOOKUP(C145,'eGRID subregion name'!$A$2:$N$30,8,0)</f>
        <v>189.83531623683197</v>
      </c>
      <c r="F145" s="376">
        <f t="shared" si="20"/>
        <v>0</v>
      </c>
      <c r="G145" s="333">
        <f>'Sch4-Cost Savings by ECM'!T145</f>
        <v>0</v>
      </c>
      <c r="H145" s="334">
        <f>VLOOKUP("Natural Gas", 'GHG Emissions'!$D$2:$M$66,4,FALSE)+VLOOKUP("Natural Gas", 'GHG Emissions'!$D$2:$M$66,6,FALSE)*'eGRID subregion name'!$P$3+VLOOKUP("Natural Gas", 'GHG Emissions'!$D$2:$M$66,8,FALSE)*'eGRID subregion name'!$P$4</f>
        <v>53.114800000000002</v>
      </c>
      <c r="I145" s="334">
        <f t="shared" si="15"/>
        <v>0</v>
      </c>
      <c r="J145" s="333">
        <f>'Sch4-Cost Savings by ECM'!V145</f>
        <v>0</v>
      </c>
      <c r="K14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5" s="334">
        <f t="shared" si="21"/>
        <v>0</v>
      </c>
      <c r="M145" s="333">
        <f>'Sch4-Cost Savings by ECM'!X145</f>
        <v>0</v>
      </c>
      <c r="N14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5" s="334">
        <f t="shared" si="16"/>
        <v>0</v>
      </c>
      <c r="P145" s="334">
        <f t="shared" si="17"/>
        <v>0</v>
      </c>
      <c r="Q145" s="334">
        <f t="shared" si="18"/>
        <v>0</v>
      </c>
      <c r="R145" s="334">
        <f t="shared" si="19"/>
        <v>0</v>
      </c>
    </row>
    <row r="146" spans="1:18" ht="16.5" thickBot="1">
      <c r="A146" s="40" t="str">
        <f>IF('Sch2a-Imp Price by ECM'!B147="","",'Sch2a-Imp Price by ECM'!B147)</f>
        <v/>
      </c>
      <c r="B146" s="76" t="str">
        <f>IF('Sch2a-Imp Price by ECM'!D147="","",'Sch2a-Imp Price by ECM'!D147)</f>
        <v/>
      </c>
      <c r="C146" s="331" t="s">
        <v>333</v>
      </c>
      <c r="D146" s="332">
        <f>'Sch4-Cost Savings by ECM'!P146</f>
        <v>0</v>
      </c>
      <c r="E146" s="376">
        <f>VLOOKUP(C146,'eGRID subregion name'!$A$2:$N$30,8,0)</f>
        <v>189.83531623683197</v>
      </c>
      <c r="F146" s="376">
        <f t="shared" si="20"/>
        <v>0</v>
      </c>
      <c r="G146" s="333">
        <f>'Sch4-Cost Savings by ECM'!T146</f>
        <v>0</v>
      </c>
      <c r="H146" s="334">
        <f>VLOOKUP("Natural Gas", 'GHG Emissions'!$D$2:$M$66,4,FALSE)+VLOOKUP("Natural Gas", 'GHG Emissions'!$D$2:$M$66,6,FALSE)*'eGRID subregion name'!$P$3+VLOOKUP("Natural Gas", 'GHG Emissions'!$D$2:$M$66,8,FALSE)*'eGRID subregion name'!$P$4</f>
        <v>53.114800000000002</v>
      </c>
      <c r="I146" s="334">
        <f t="shared" si="15"/>
        <v>0</v>
      </c>
      <c r="J146" s="333">
        <f>'Sch4-Cost Savings by ECM'!V146</f>
        <v>0</v>
      </c>
      <c r="K14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6" s="334">
        <f t="shared" si="21"/>
        <v>0</v>
      </c>
      <c r="M146" s="333">
        <f>'Sch4-Cost Savings by ECM'!X146</f>
        <v>0</v>
      </c>
      <c r="N14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6" s="334">
        <f t="shared" si="16"/>
        <v>0</v>
      </c>
      <c r="P146" s="334">
        <f t="shared" si="17"/>
        <v>0</v>
      </c>
      <c r="Q146" s="334">
        <f t="shared" si="18"/>
        <v>0</v>
      </c>
      <c r="R146" s="334">
        <f t="shared" si="19"/>
        <v>0</v>
      </c>
    </row>
    <row r="147" spans="1:18" ht="16.5" thickBot="1">
      <c r="A147" s="40" t="str">
        <f>IF('Sch2a-Imp Price by ECM'!B148="","",'Sch2a-Imp Price by ECM'!B148)</f>
        <v/>
      </c>
      <c r="B147" s="76" t="str">
        <f>IF('Sch2a-Imp Price by ECM'!D148="","",'Sch2a-Imp Price by ECM'!D148)</f>
        <v/>
      </c>
      <c r="C147" s="331" t="s">
        <v>333</v>
      </c>
      <c r="D147" s="332">
        <f>'Sch4-Cost Savings by ECM'!P147</f>
        <v>0</v>
      </c>
      <c r="E147" s="376">
        <f>VLOOKUP(C147,'eGRID subregion name'!$A$2:$N$30,8,0)</f>
        <v>189.83531623683197</v>
      </c>
      <c r="F147" s="376">
        <f t="shared" si="20"/>
        <v>0</v>
      </c>
      <c r="G147" s="333">
        <f>'Sch4-Cost Savings by ECM'!T147</f>
        <v>0</v>
      </c>
      <c r="H147" s="334">
        <f>VLOOKUP("Natural Gas", 'GHG Emissions'!$D$2:$M$66,4,FALSE)+VLOOKUP("Natural Gas", 'GHG Emissions'!$D$2:$M$66,6,FALSE)*'eGRID subregion name'!$P$3+VLOOKUP("Natural Gas", 'GHG Emissions'!$D$2:$M$66,8,FALSE)*'eGRID subregion name'!$P$4</f>
        <v>53.114800000000002</v>
      </c>
      <c r="I147" s="334">
        <f t="shared" si="15"/>
        <v>0</v>
      </c>
      <c r="J147" s="333">
        <f>'Sch4-Cost Savings by ECM'!V147</f>
        <v>0</v>
      </c>
      <c r="K14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7" s="334">
        <f t="shared" si="21"/>
        <v>0</v>
      </c>
      <c r="M147" s="333">
        <f>'Sch4-Cost Savings by ECM'!X147</f>
        <v>0</v>
      </c>
      <c r="N14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7" s="334">
        <f t="shared" si="16"/>
        <v>0</v>
      </c>
      <c r="P147" s="334">
        <f t="shared" si="17"/>
        <v>0</v>
      </c>
      <c r="Q147" s="334">
        <f t="shared" si="18"/>
        <v>0</v>
      </c>
      <c r="R147" s="334">
        <f t="shared" si="19"/>
        <v>0</v>
      </c>
    </row>
    <row r="148" spans="1:18" ht="16.5" thickBot="1">
      <c r="A148" s="40" t="str">
        <f>IF('Sch2a-Imp Price by ECM'!B149="","",'Sch2a-Imp Price by ECM'!B149)</f>
        <v/>
      </c>
      <c r="B148" s="76" t="str">
        <f>IF('Sch2a-Imp Price by ECM'!D149="","",'Sch2a-Imp Price by ECM'!D149)</f>
        <v/>
      </c>
      <c r="C148" s="331" t="s">
        <v>333</v>
      </c>
      <c r="D148" s="332">
        <f>'Sch4-Cost Savings by ECM'!P148</f>
        <v>0</v>
      </c>
      <c r="E148" s="376">
        <f>VLOOKUP(C148,'eGRID subregion name'!$A$2:$N$30,8,0)</f>
        <v>189.83531623683197</v>
      </c>
      <c r="F148" s="376">
        <f t="shared" si="20"/>
        <v>0</v>
      </c>
      <c r="G148" s="333">
        <f>'Sch4-Cost Savings by ECM'!T148</f>
        <v>0</v>
      </c>
      <c r="H148" s="334">
        <f>VLOOKUP("Natural Gas", 'GHG Emissions'!$D$2:$M$66,4,FALSE)+VLOOKUP("Natural Gas", 'GHG Emissions'!$D$2:$M$66,6,FALSE)*'eGRID subregion name'!$P$3+VLOOKUP("Natural Gas", 'GHG Emissions'!$D$2:$M$66,8,FALSE)*'eGRID subregion name'!$P$4</f>
        <v>53.114800000000002</v>
      </c>
      <c r="I148" s="334">
        <f t="shared" si="15"/>
        <v>0</v>
      </c>
      <c r="J148" s="333">
        <f>'Sch4-Cost Savings by ECM'!V148</f>
        <v>0</v>
      </c>
      <c r="K14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8" s="334">
        <f t="shared" si="21"/>
        <v>0</v>
      </c>
      <c r="M148" s="333">
        <f>'Sch4-Cost Savings by ECM'!X148</f>
        <v>0</v>
      </c>
      <c r="N14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8" s="334">
        <f t="shared" si="16"/>
        <v>0</v>
      </c>
      <c r="P148" s="334">
        <f t="shared" si="17"/>
        <v>0</v>
      </c>
      <c r="Q148" s="334">
        <f t="shared" si="18"/>
        <v>0</v>
      </c>
      <c r="R148" s="334">
        <f t="shared" si="19"/>
        <v>0</v>
      </c>
    </row>
    <row r="149" spans="1:18" ht="16.5" thickBot="1">
      <c r="A149" s="40" t="str">
        <f>IF('Sch2a-Imp Price by ECM'!B150="","",'Sch2a-Imp Price by ECM'!B150)</f>
        <v/>
      </c>
      <c r="B149" s="76" t="str">
        <f>IF('Sch2a-Imp Price by ECM'!D150="","",'Sch2a-Imp Price by ECM'!D150)</f>
        <v/>
      </c>
      <c r="C149" s="331" t="s">
        <v>333</v>
      </c>
      <c r="D149" s="332">
        <f>'Sch4-Cost Savings by ECM'!P149</f>
        <v>0</v>
      </c>
      <c r="E149" s="376">
        <f>VLOOKUP(C149,'eGRID subregion name'!$A$2:$N$30,8,0)</f>
        <v>189.83531623683197</v>
      </c>
      <c r="F149" s="376">
        <f t="shared" si="20"/>
        <v>0</v>
      </c>
      <c r="G149" s="333">
        <f>'Sch4-Cost Savings by ECM'!T149</f>
        <v>0</v>
      </c>
      <c r="H149" s="334">
        <f>VLOOKUP("Natural Gas", 'GHG Emissions'!$D$2:$M$66,4,FALSE)+VLOOKUP("Natural Gas", 'GHG Emissions'!$D$2:$M$66,6,FALSE)*'eGRID subregion name'!$P$3+VLOOKUP("Natural Gas", 'GHG Emissions'!$D$2:$M$66,8,FALSE)*'eGRID subregion name'!$P$4</f>
        <v>53.114800000000002</v>
      </c>
      <c r="I149" s="334">
        <f t="shared" si="15"/>
        <v>0</v>
      </c>
      <c r="J149" s="333">
        <f>'Sch4-Cost Savings by ECM'!V149</f>
        <v>0</v>
      </c>
      <c r="K14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49" s="334">
        <f t="shared" si="21"/>
        <v>0</v>
      </c>
      <c r="M149" s="333">
        <f>'Sch4-Cost Savings by ECM'!X149</f>
        <v>0</v>
      </c>
      <c r="N14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49" s="334">
        <f t="shared" si="16"/>
        <v>0</v>
      </c>
      <c r="P149" s="334">
        <f t="shared" si="17"/>
        <v>0</v>
      </c>
      <c r="Q149" s="334">
        <f t="shared" si="18"/>
        <v>0</v>
      </c>
      <c r="R149" s="334">
        <f t="shared" si="19"/>
        <v>0</v>
      </c>
    </row>
    <row r="150" spans="1:18" ht="16.5" thickBot="1">
      <c r="A150" s="40" t="str">
        <f>IF('Sch2a-Imp Price by ECM'!B151="","",'Sch2a-Imp Price by ECM'!B151)</f>
        <v/>
      </c>
      <c r="B150" s="76" t="str">
        <f>IF('Sch2a-Imp Price by ECM'!D151="","",'Sch2a-Imp Price by ECM'!D151)</f>
        <v/>
      </c>
      <c r="C150" s="331" t="s">
        <v>333</v>
      </c>
      <c r="D150" s="332">
        <f>'Sch4-Cost Savings by ECM'!P150</f>
        <v>0</v>
      </c>
      <c r="E150" s="376">
        <f>VLOOKUP(C150,'eGRID subregion name'!$A$2:$N$30,8,0)</f>
        <v>189.83531623683197</v>
      </c>
      <c r="F150" s="376">
        <f t="shared" si="20"/>
        <v>0</v>
      </c>
      <c r="G150" s="333">
        <f>'Sch4-Cost Savings by ECM'!T150</f>
        <v>0</v>
      </c>
      <c r="H150" s="334">
        <f>VLOOKUP("Natural Gas", 'GHG Emissions'!$D$2:$M$66,4,FALSE)+VLOOKUP("Natural Gas", 'GHG Emissions'!$D$2:$M$66,6,FALSE)*'eGRID subregion name'!$P$3+VLOOKUP("Natural Gas", 'GHG Emissions'!$D$2:$M$66,8,FALSE)*'eGRID subregion name'!$P$4</f>
        <v>53.114800000000002</v>
      </c>
      <c r="I150" s="334">
        <f t="shared" si="15"/>
        <v>0</v>
      </c>
      <c r="J150" s="333">
        <f>'Sch4-Cost Savings by ECM'!V150</f>
        <v>0</v>
      </c>
      <c r="K15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0" s="334">
        <f t="shared" si="21"/>
        <v>0</v>
      </c>
      <c r="M150" s="333">
        <f>'Sch4-Cost Savings by ECM'!X150</f>
        <v>0</v>
      </c>
      <c r="N15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0" s="334">
        <f t="shared" si="16"/>
        <v>0</v>
      </c>
      <c r="P150" s="334">
        <f t="shared" si="17"/>
        <v>0</v>
      </c>
      <c r="Q150" s="334">
        <f t="shared" si="18"/>
        <v>0</v>
      </c>
      <c r="R150" s="334">
        <f t="shared" si="19"/>
        <v>0</v>
      </c>
    </row>
    <row r="151" spans="1:18" ht="16.5" thickBot="1">
      <c r="A151" s="40" t="str">
        <f>IF('Sch2a-Imp Price by ECM'!B152="","",'Sch2a-Imp Price by ECM'!B152)</f>
        <v/>
      </c>
      <c r="B151" s="76" t="str">
        <f>IF('Sch2a-Imp Price by ECM'!D152="","",'Sch2a-Imp Price by ECM'!D152)</f>
        <v/>
      </c>
      <c r="C151" s="331" t="s">
        <v>333</v>
      </c>
      <c r="D151" s="332">
        <f>'Sch4-Cost Savings by ECM'!P151</f>
        <v>0</v>
      </c>
      <c r="E151" s="376">
        <f>VLOOKUP(C151,'eGRID subregion name'!$A$2:$N$30,8,0)</f>
        <v>189.83531623683197</v>
      </c>
      <c r="F151" s="376">
        <f t="shared" si="20"/>
        <v>0</v>
      </c>
      <c r="G151" s="333">
        <f>'Sch4-Cost Savings by ECM'!T151</f>
        <v>0</v>
      </c>
      <c r="H151" s="334">
        <f>VLOOKUP("Natural Gas", 'GHG Emissions'!$D$2:$M$66,4,FALSE)+VLOOKUP("Natural Gas", 'GHG Emissions'!$D$2:$M$66,6,FALSE)*'eGRID subregion name'!$P$3+VLOOKUP("Natural Gas", 'GHG Emissions'!$D$2:$M$66,8,FALSE)*'eGRID subregion name'!$P$4</f>
        <v>53.114800000000002</v>
      </c>
      <c r="I151" s="334">
        <f t="shared" si="15"/>
        <v>0</v>
      </c>
      <c r="J151" s="333">
        <f>'Sch4-Cost Savings by ECM'!V151</f>
        <v>0</v>
      </c>
      <c r="K15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1" s="334">
        <f t="shared" si="21"/>
        <v>0</v>
      </c>
      <c r="M151" s="333">
        <f>'Sch4-Cost Savings by ECM'!X151</f>
        <v>0</v>
      </c>
      <c r="N15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1" s="334">
        <f t="shared" si="16"/>
        <v>0</v>
      </c>
      <c r="P151" s="334">
        <f t="shared" si="17"/>
        <v>0</v>
      </c>
      <c r="Q151" s="334">
        <f t="shared" si="18"/>
        <v>0</v>
      </c>
      <c r="R151" s="334">
        <f t="shared" si="19"/>
        <v>0</v>
      </c>
    </row>
    <row r="152" spans="1:18" ht="16.5" thickBot="1">
      <c r="A152" s="40" t="str">
        <f>IF('Sch2a-Imp Price by ECM'!B153="","",'Sch2a-Imp Price by ECM'!B153)</f>
        <v/>
      </c>
      <c r="B152" s="76" t="str">
        <f>IF('Sch2a-Imp Price by ECM'!D153="","",'Sch2a-Imp Price by ECM'!D153)</f>
        <v/>
      </c>
      <c r="C152" s="331" t="s">
        <v>333</v>
      </c>
      <c r="D152" s="332">
        <f>'Sch4-Cost Savings by ECM'!P152</f>
        <v>0</v>
      </c>
      <c r="E152" s="376">
        <f>VLOOKUP(C152,'eGRID subregion name'!$A$2:$N$30,8,0)</f>
        <v>189.83531623683197</v>
      </c>
      <c r="F152" s="376">
        <f t="shared" si="20"/>
        <v>0</v>
      </c>
      <c r="G152" s="333">
        <f>'Sch4-Cost Savings by ECM'!T152</f>
        <v>0</v>
      </c>
      <c r="H152" s="334">
        <f>VLOOKUP("Natural Gas", 'GHG Emissions'!$D$2:$M$66,4,FALSE)+VLOOKUP("Natural Gas", 'GHG Emissions'!$D$2:$M$66,6,FALSE)*'eGRID subregion name'!$P$3+VLOOKUP("Natural Gas", 'GHG Emissions'!$D$2:$M$66,8,FALSE)*'eGRID subregion name'!$P$4</f>
        <v>53.114800000000002</v>
      </c>
      <c r="I152" s="334">
        <f t="shared" si="15"/>
        <v>0</v>
      </c>
      <c r="J152" s="333">
        <f>'Sch4-Cost Savings by ECM'!V152</f>
        <v>0</v>
      </c>
      <c r="K15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2" s="334">
        <f t="shared" si="21"/>
        <v>0</v>
      </c>
      <c r="M152" s="333">
        <f>'Sch4-Cost Savings by ECM'!X152</f>
        <v>0</v>
      </c>
      <c r="N15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2" s="334">
        <f t="shared" si="16"/>
        <v>0</v>
      </c>
      <c r="P152" s="334">
        <f t="shared" si="17"/>
        <v>0</v>
      </c>
      <c r="Q152" s="334">
        <f t="shared" si="18"/>
        <v>0</v>
      </c>
      <c r="R152" s="334">
        <f t="shared" si="19"/>
        <v>0</v>
      </c>
    </row>
    <row r="153" spans="1:18" ht="16.5" thickBot="1">
      <c r="A153" s="40" t="str">
        <f>IF('Sch2a-Imp Price by ECM'!B154="","",'Sch2a-Imp Price by ECM'!B154)</f>
        <v/>
      </c>
      <c r="B153" s="76" t="str">
        <f>IF('Sch2a-Imp Price by ECM'!D154="","",'Sch2a-Imp Price by ECM'!D154)</f>
        <v/>
      </c>
      <c r="C153" s="331" t="s">
        <v>333</v>
      </c>
      <c r="D153" s="332">
        <f>'Sch4-Cost Savings by ECM'!P153</f>
        <v>0</v>
      </c>
      <c r="E153" s="376">
        <f>VLOOKUP(C153,'eGRID subregion name'!$A$2:$N$30,8,0)</f>
        <v>189.83531623683197</v>
      </c>
      <c r="F153" s="376">
        <f t="shared" si="20"/>
        <v>0</v>
      </c>
      <c r="G153" s="333">
        <f>'Sch4-Cost Savings by ECM'!T153</f>
        <v>0</v>
      </c>
      <c r="H153" s="334">
        <f>VLOOKUP("Natural Gas", 'GHG Emissions'!$D$2:$M$66,4,FALSE)+VLOOKUP("Natural Gas", 'GHG Emissions'!$D$2:$M$66,6,FALSE)*'eGRID subregion name'!$P$3+VLOOKUP("Natural Gas", 'GHG Emissions'!$D$2:$M$66,8,FALSE)*'eGRID subregion name'!$P$4</f>
        <v>53.114800000000002</v>
      </c>
      <c r="I153" s="334">
        <f t="shared" si="15"/>
        <v>0</v>
      </c>
      <c r="J153" s="333">
        <f>'Sch4-Cost Savings by ECM'!V153</f>
        <v>0</v>
      </c>
      <c r="K15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3" s="334">
        <f t="shared" si="21"/>
        <v>0</v>
      </c>
      <c r="M153" s="333">
        <f>'Sch4-Cost Savings by ECM'!X153</f>
        <v>0</v>
      </c>
      <c r="N15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3" s="334">
        <f t="shared" si="16"/>
        <v>0</v>
      </c>
      <c r="P153" s="334">
        <f t="shared" si="17"/>
        <v>0</v>
      </c>
      <c r="Q153" s="334">
        <f t="shared" si="18"/>
        <v>0</v>
      </c>
      <c r="R153" s="334">
        <f t="shared" si="19"/>
        <v>0</v>
      </c>
    </row>
    <row r="154" spans="1:18" ht="16.5" thickBot="1">
      <c r="A154" s="40" t="str">
        <f>IF('Sch2a-Imp Price by ECM'!B155="","",'Sch2a-Imp Price by ECM'!B155)</f>
        <v/>
      </c>
      <c r="B154" s="76" t="str">
        <f>IF('Sch2a-Imp Price by ECM'!D155="","",'Sch2a-Imp Price by ECM'!D155)</f>
        <v/>
      </c>
      <c r="C154" s="331" t="s">
        <v>333</v>
      </c>
      <c r="D154" s="332">
        <f>'Sch4-Cost Savings by ECM'!P154</f>
        <v>0</v>
      </c>
      <c r="E154" s="376">
        <f>VLOOKUP(C154,'eGRID subregion name'!$A$2:$N$30,8,0)</f>
        <v>189.83531623683197</v>
      </c>
      <c r="F154" s="376">
        <f t="shared" si="20"/>
        <v>0</v>
      </c>
      <c r="G154" s="333">
        <f>'Sch4-Cost Savings by ECM'!T154</f>
        <v>0</v>
      </c>
      <c r="H154" s="334">
        <f>VLOOKUP("Natural Gas", 'GHG Emissions'!$D$2:$M$66,4,FALSE)+VLOOKUP("Natural Gas", 'GHG Emissions'!$D$2:$M$66,6,FALSE)*'eGRID subregion name'!$P$3+VLOOKUP("Natural Gas", 'GHG Emissions'!$D$2:$M$66,8,FALSE)*'eGRID subregion name'!$P$4</f>
        <v>53.114800000000002</v>
      </c>
      <c r="I154" s="334">
        <f t="shared" si="15"/>
        <v>0</v>
      </c>
      <c r="J154" s="333">
        <f>'Sch4-Cost Savings by ECM'!V154</f>
        <v>0</v>
      </c>
      <c r="K15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4" s="334">
        <f t="shared" si="21"/>
        <v>0</v>
      </c>
      <c r="M154" s="333">
        <f>'Sch4-Cost Savings by ECM'!X154</f>
        <v>0</v>
      </c>
      <c r="N15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4" s="334">
        <f t="shared" si="16"/>
        <v>0</v>
      </c>
      <c r="P154" s="334">
        <f t="shared" si="17"/>
        <v>0</v>
      </c>
      <c r="Q154" s="334">
        <f t="shared" si="18"/>
        <v>0</v>
      </c>
      <c r="R154" s="334">
        <f t="shared" si="19"/>
        <v>0</v>
      </c>
    </row>
    <row r="155" spans="1:18" ht="16.5" thickBot="1">
      <c r="A155" s="40" t="str">
        <f>IF('Sch2a-Imp Price by ECM'!B156="","",'Sch2a-Imp Price by ECM'!B156)</f>
        <v/>
      </c>
      <c r="B155" s="76" t="str">
        <f>IF('Sch2a-Imp Price by ECM'!D156="","",'Sch2a-Imp Price by ECM'!D156)</f>
        <v/>
      </c>
      <c r="C155" s="331" t="s">
        <v>333</v>
      </c>
      <c r="D155" s="332">
        <f>'Sch4-Cost Savings by ECM'!P155</f>
        <v>0</v>
      </c>
      <c r="E155" s="376">
        <f>VLOOKUP(C155,'eGRID subregion name'!$A$2:$N$30,8,0)</f>
        <v>189.83531623683197</v>
      </c>
      <c r="F155" s="376">
        <f t="shared" si="20"/>
        <v>0</v>
      </c>
      <c r="G155" s="333">
        <f>'Sch4-Cost Savings by ECM'!T155</f>
        <v>0</v>
      </c>
      <c r="H155" s="334">
        <f>VLOOKUP("Natural Gas", 'GHG Emissions'!$D$2:$M$66,4,FALSE)+VLOOKUP("Natural Gas", 'GHG Emissions'!$D$2:$M$66,6,FALSE)*'eGRID subregion name'!$P$3+VLOOKUP("Natural Gas", 'GHG Emissions'!$D$2:$M$66,8,FALSE)*'eGRID subregion name'!$P$4</f>
        <v>53.114800000000002</v>
      </c>
      <c r="I155" s="334">
        <f t="shared" si="15"/>
        <v>0</v>
      </c>
      <c r="J155" s="333">
        <f>'Sch4-Cost Savings by ECM'!V155</f>
        <v>0</v>
      </c>
      <c r="K15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5" s="334">
        <f t="shared" si="21"/>
        <v>0</v>
      </c>
      <c r="M155" s="333">
        <f>'Sch4-Cost Savings by ECM'!X155</f>
        <v>0</v>
      </c>
      <c r="N15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5" s="334">
        <f t="shared" si="16"/>
        <v>0</v>
      </c>
      <c r="P155" s="334">
        <f t="shared" si="17"/>
        <v>0</v>
      </c>
      <c r="Q155" s="334">
        <f t="shared" si="18"/>
        <v>0</v>
      </c>
      <c r="R155" s="334">
        <f t="shared" si="19"/>
        <v>0</v>
      </c>
    </row>
    <row r="156" spans="1:18" ht="16.5" thickBot="1">
      <c r="A156" s="40" t="str">
        <f>IF('Sch2a-Imp Price by ECM'!B157="","",'Sch2a-Imp Price by ECM'!B157)</f>
        <v/>
      </c>
      <c r="B156" s="76" t="str">
        <f>IF('Sch2a-Imp Price by ECM'!D157="","",'Sch2a-Imp Price by ECM'!D157)</f>
        <v/>
      </c>
      <c r="C156" s="331" t="s">
        <v>333</v>
      </c>
      <c r="D156" s="332">
        <f>'Sch4-Cost Savings by ECM'!P156</f>
        <v>0</v>
      </c>
      <c r="E156" s="376">
        <f>VLOOKUP(C156,'eGRID subregion name'!$A$2:$N$30,8,0)</f>
        <v>189.83531623683197</v>
      </c>
      <c r="F156" s="376">
        <f t="shared" si="20"/>
        <v>0</v>
      </c>
      <c r="G156" s="333">
        <f>'Sch4-Cost Savings by ECM'!T156</f>
        <v>0</v>
      </c>
      <c r="H156" s="334">
        <f>VLOOKUP("Natural Gas", 'GHG Emissions'!$D$2:$M$66,4,FALSE)+VLOOKUP("Natural Gas", 'GHG Emissions'!$D$2:$M$66,6,FALSE)*'eGRID subregion name'!$P$3+VLOOKUP("Natural Gas", 'GHG Emissions'!$D$2:$M$66,8,FALSE)*'eGRID subregion name'!$P$4</f>
        <v>53.114800000000002</v>
      </c>
      <c r="I156" s="334">
        <f t="shared" si="15"/>
        <v>0</v>
      </c>
      <c r="J156" s="333">
        <f>'Sch4-Cost Savings by ECM'!V156</f>
        <v>0</v>
      </c>
      <c r="K15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6" s="334">
        <f t="shared" si="21"/>
        <v>0</v>
      </c>
      <c r="M156" s="333">
        <f>'Sch4-Cost Savings by ECM'!X156</f>
        <v>0</v>
      </c>
      <c r="N15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6" s="334">
        <f t="shared" si="16"/>
        <v>0</v>
      </c>
      <c r="P156" s="334">
        <f t="shared" si="17"/>
        <v>0</v>
      </c>
      <c r="Q156" s="334">
        <f t="shared" si="18"/>
        <v>0</v>
      </c>
      <c r="R156" s="334">
        <f t="shared" si="19"/>
        <v>0</v>
      </c>
    </row>
    <row r="157" spans="1:18" ht="16.5" thickBot="1">
      <c r="A157" s="40" t="str">
        <f>IF('Sch2a-Imp Price by ECM'!B158="","",'Sch2a-Imp Price by ECM'!B158)</f>
        <v/>
      </c>
      <c r="B157" s="76" t="str">
        <f>IF('Sch2a-Imp Price by ECM'!D158="","",'Sch2a-Imp Price by ECM'!D158)</f>
        <v/>
      </c>
      <c r="C157" s="331" t="s">
        <v>333</v>
      </c>
      <c r="D157" s="332">
        <f>'Sch4-Cost Savings by ECM'!P157</f>
        <v>0</v>
      </c>
      <c r="E157" s="376">
        <f>VLOOKUP(C157,'eGRID subregion name'!$A$2:$N$30,8,0)</f>
        <v>189.83531623683197</v>
      </c>
      <c r="F157" s="376">
        <f t="shared" si="20"/>
        <v>0</v>
      </c>
      <c r="G157" s="333">
        <f>'Sch4-Cost Savings by ECM'!T157</f>
        <v>0</v>
      </c>
      <c r="H157" s="334">
        <f>VLOOKUP("Natural Gas", 'GHG Emissions'!$D$2:$M$66,4,FALSE)+VLOOKUP("Natural Gas", 'GHG Emissions'!$D$2:$M$66,6,FALSE)*'eGRID subregion name'!$P$3+VLOOKUP("Natural Gas", 'GHG Emissions'!$D$2:$M$66,8,FALSE)*'eGRID subregion name'!$P$4</f>
        <v>53.114800000000002</v>
      </c>
      <c r="I157" s="334">
        <f t="shared" si="15"/>
        <v>0</v>
      </c>
      <c r="J157" s="333">
        <f>'Sch4-Cost Savings by ECM'!V157</f>
        <v>0</v>
      </c>
      <c r="K15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7" s="334">
        <f t="shared" si="21"/>
        <v>0</v>
      </c>
      <c r="M157" s="333">
        <f>'Sch4-Cost Savings by ECM'!X157</f>
        <v>0</v>
      </c>
      <c r="N15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7" s="334">
        <f t="shared" si="16"/>
        <v>0</v>
      </c>
      <c r="P157" s="334">
        <f t="shared" si="17"/>
        <v>0</v>
      </c>
      <c r="Q157" s="334">
        <f t="shared" si="18"/>
        <v>0</v>
      </c>
      <c r="R157" s="334">
        <f t="shared" si="19"/>
        <v>0</v>
      </c>
    </row>
    <row r="158" spans="1:18" ht="16.5" thickBot="1">
      <c r="A158" s="40" t="str">
        <f>IF('Sch2a-Imp Price by ECM'!B159="","",'Sch2a-Imp Price by ECM'!B159)</f>
        <v/>
      </c>
      <c r="B158" s="76" t="str">
        <f>IF('Sch2a-Imp Price by ECM'!D159="","",'Sch2a-Imp Price by ECM'!D159)</f>
        <v/>
      </c>
      <c r="C158" s="331" t="s">
        <v>333</v>
      </c>
      <c r="D158" s="332">
        <f>'Sch4-Cost Savings by ECM'!P158</f>
        <v>0</v>
      </c>
      <c r="E158" s="376">
        <f>VLOOKUP(C158,'eGRID subregion name'!$A$2:$N$30,8,0)</f>
        <v>189.83531623683197</v>
      </c>
      <c r="F158" s="376">
        <f t="shared" si="20"/>
        <v>0</v>
      </c>
      <c r="G158" s="333">
        <f>'Sch4-Cost Savings by ECM'!T158</f>
        <v>0</v>
      </c>
      <c r="H158" s="334">
        <f>VLOOKUP("Natural Gas", 'GHG Emissions'!$D$2:$M$66,4,FALSE)+VLOOKUP("Natural Gas", 'GHG Emissions'!$D$2:$M$66,6,FALSE)*'eGRID subregion name'!$P$3+VLOOKUP("Natural Gas", 'GHG Emissions'!$D$2:$M$66,8,FALSE)*'eGRID subregion name'!$P$4</f>
        <v>53.114800000000002</v>
      </c>
      <c r="I158" s="334">
        <f t="shared" si="15"/>
        <v>0</v>
      </c>
      <c r="J158" s="333">
        <f>'Sch4-Cost Savings by ECM'!V158</f>
        <v>0</v>
      </c>
      <c r="K15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8" s="334">
        <f t="shared" si="21"/>
        <v>0</v>
      </c>
      <c r="M158" s="333">
        <f>'Sch4-Cost Savings by ECM'!X158</f>
        <v>0</v>
      </c>
      <c r="N15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8" s="334">
        <f t="shared" si="16"/>
        <v>0</v>
      </c>
      <c r="P158" s="334">
        <f t="shared" si="17"/>
        <v>0</v>
      </c>
      <c r="Q158" s="334">
        <f t="shared" si="18"/>
        <v>0</v>
      </c>
      <c r="R158" s="334">
        <f t="shared" si="19"/>
        <v>0</v>
      </c>
    </row>
    <row r="159" spans="1:18" ht="16.5" thickBot="1">
      <c r="A159" s="40" t="str">
        <f>IF('Sch2a-Imp Price by ECM'!B160="","",'Sch2a-Imp Price by ECM'!B160)</f>
        <v/>
      </c>
      <c r="B159" s="76" t="str">
        <f>IF('Sch2a-Imp Price by ECM'!D160="","",'Sch2a-Imp Price by ECM'!D160)</f>
        <v/>
      </c>
      <c r="C159" s="331" t="s">
        <v>333</v>
      </c>
      <c r="D159" s="332">
        <f>'Sch4-Cost Savings by ECM'!P159</f>
        <v>0</v>
      </c>
      <c r="E159" s="376">
        <f>VLOOKUP(C159,'eGRID subregion name'!$A$2:$N$30,8,0)</f>
        <v>189.83531623683197</v>
      </c>
      <c r="F159" s="376">
        <f t="shared" si="20"/>
        <v>0</v>
      </c>
      <c r="G159" s="333">
        <f>'Sch4-Cost Savings by ECM'!T159</f>
        <v>0</v>
      </c>
      <c r="H159" s="334">
        <f>VLOOKUP("Natural Gas", 'GHG Emissions'!$D$2:$M$66,4,FALSE)+VLOOKUP("Natural Gas", 'GHG Emissions'!$D$2:$M$66,6,FALSE)*'eGRID subregion name'!$P$3+VLOOKUP("Natural Gas", 'GHG Emissions'!$D$2:$M$66,8,FALSE)*'eGRID subregion name'!$P$4</f>
        <v>53.114800000000002</v>
      </c>
      <c r="I159" s="334">
        <f t="shared" si="15"/>
        <v>0</v>
      </c>
      <c r="J159" s="333">
        <f>'Sch4-Cost Savings by ECM'!V159</f>
        <v>0</v>
      </c>
      <c r="K15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59" s="334">
        <f t="shared" si="21"/>
        <v>0</v>
      </c>
      <c r="M159" s="333">
        <f>'Sch4-Cost Savings by ECM'!X159</f>
        <v>0</v>
      </c>
      <c r="N15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59" s="334">
        <f t="shared" si="16"/>
        <v>0</v>
      </c>
      <c r="P159" s="334">
        <f t="shared" si="17"/>
        <v>0</v>
      </c>
      <c r="Q159" s="334">
        <f t="shared" si="18"/>
        <v>0</v>
      </c>
      <c r="R159" s="334">
        <f t="shared" si="19"/>
        <v>0</v>
      </c>
    </row>
    <row r="160" spans="1:18" ht="18" customHeight="1" thickBot="1">
      <c r="A160" s="40" t="str">
        <f>IF('Sch2a-Imp Price by ECM'!B161="","",'Sch2a-Imp Price by ECM'!B161)</f>
        <v/>
      </c>
      <c r="B160" s="76" t="str">
        <f>IF('Sch2a-Imp Price by ECM'!D161="","",'Sch2a-Imp Price by ECM'!D161)</f>
        <v/>
      </c>
      <c r="C160" s="331" t="s">
        <v>333</v>
      </c>
      <c r="D160" s="332">
        <f>'Sch4-Cost Savings by ECM'!P160</f>
        <v>0</v>
      </c>
      <c r="E160" s="376">
        <f>VLOOKUP(C160,'eGRID subregion name'!$A$2:$N$30,8,0)</f>
        <v>189.83531623683197</v>
      </c>
      <c r="F160" s="376">
        <f t="shared" si="20"/>
        <v>0</v>
      </c>
      <c r="G160" s="333">
        <f>'Sch4-Cost Savings by ECM'!T160</f>
        <v>0</v>
      </c>
      <c r="H160" s="334">
        <f>VLOOKUP("Natural Gas", 'GHG Emissions'!$D$2:$M$66,4,FALSE)+VLOOKUP("Natural Gas", 'GHG Emissions'!$D$2:$M$66,6,FALSE)*'eGRID subregion name'!$P$3+VLOOKUP("Natural Gas", 'GHG Emissions'!$D$2:$M$66,8,FALSE)*'eGRID subregion name'!$P$4</f>
        <v>53.114800000000002</v>
      </c>
      <c r="I160" s="334">
        <f t="shared" si="15"/>
        <v>0</v>
      </c>
      <c r="J160" s="333">
        <f>'Sch4-Cost Savings by ECM'!V160</f>
        <v>0</v>
      </c>
      <c r="K16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0" s="334">
        <f t="shared" si="21"/>
        <v>0</v>
      </c>
      <c r="M160" s="333">
        <f>'Sch4-Cost Savings by ECM'!X160</f>
        <v>0</v>
      </c>
      <c r="N16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0" s="334">
        <f t="shared" si="16"/>
        <v>0</v>
      </c>
      <c r="P160" s="334">
        <f t="shared" si="17"/>
        <v>0</v>
      </c>
      <c r="Q160" s="334">
        <f t="shared" si="18"/>
        <v>0</v>
      </c>
      <c r="R160" s="334">
        <f t="shared" si="19"/>
        <v>0</v>
      </c>
    </row>
    <row r="161" spans="1:18" ht="16.5" thickBot="1">
      <c r="A161" s="40" t="str">
        <f>IF('Sch2a-Imp Price by ECM'!B162="","",'Sch2a-Imp Price by ECM'!B162)</f>
        <v/>
      </c>
      <c r="B161" s="76" t="str">
        <f>IF('Sch2a-Imp Price by ECM'!D162="","",'Sch2a-Imp Price by ECM'!D162)</f>
        <v/>
      </c>
      <c r="C161" s="331" t="s">
        <v>333</v>
      </c>
      <c r="D161" s="332">
        <f>'Sch4-Cost Savings by ECM'!P161</f>
        <v>0</v>
      </c>
      <c r="E161" s="376">
        <f>VLOOKUP(C161,'eGRID subregion name'!$A$2:$N$30,8,0)</f>
        <v>189.83531623683197</v>
      </c>
      <c r="F161" s="376">
        <f t="shared" si="20"/>
        <v>0</v>
      </c>
      <c r="G161" s="333">
        <f>'Sch4-Cost Savings by ECM'!T161</f>
        <v>0</v>
      </c>
      <c r="H161" s="334">
        <f>VLOOKUP("Natural Gas", 'GHG Emissions'!$D$2:$M$66,4,FALSE)+VLOOKUP("Natural Gas", 'GHG Emissions'!$D$2:$M$66,6,FALSE)*'eGRID subregion name'!$P$3+VLOOKUP("Natural Gas", 'GHG Emissions'!$D$2:$M$66,8,FALSE)*'eGRID subregion name'!$P$4</f>
        <v>53.114800000000002</v>
      </c>
      <c r="I161" s="334">
        <f t="shared" si="15"/>
        <v>0</v>
      </c>
      <c r="J161" s="333">
        <f>'Sch4-Cost Savings by ECM'!V161</f>
        <v>0</v>
      </c>
      <c r="K16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1" s="334">
        <f t="shared" si="21"/>
        <v>0</v>
      </c>
      <c r="M161" s="333">
        <f>'Sch4-Cost Savings by ECM'!X161</f>
        <v>0</v>
      </c>
      <c r="N16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1" s="334">
        <f t="shared" si="16"/>
        <v>0</v>
      </c>
      <c r="P161" s="334">
        <f t="shared" si="17"/>
        <v>0</v>
      </c>
      <c r="Q161" s="334">
        <f t="shared" si="18"/>
        <v>0</v>
      </c>
      <c r="R161" s="334">
        <f t="shared" si="19"/>
        <v>0</v>
      </c>
    </row>
    <row r="162" spans="1:18" ht="16.5" thickBot="1">
      <c r="A162" s="40" t="str">
        <f>IF('Sch2a-Imp Price by ECM'!B163="","",'Sch2a-Imp Price by ECM'!B163)</f>
        <v/>
      </c>
      <c r="B162" s="76" t="str">
        <f>IF('Sch2a-Imp Price by ECM'!D163="","",'Sch2a-Imp Price by ECM'!D163)</f>
        <v/>
      </c>
      <c r="C162" s="331" t="s">
        <v>333</v>
      </c>
      <c r="D162" s="332">
        <f>'Sch4-Cost Savings by ECM'!P162</f>
        <v>0</v>
      </c>
      <c r="E162" s="376">
        <f>VLOOKUP(C162,'eGRID subregion name'!$A$2:$N$30,8,0)</f>
        <v>189.83531623683197</v>
      </c>
      <c r="F162" s="376">
        <f t="shared" si="20"/>
        <v>0</v>
      </c>
      <c r="G162" s="333">
        <f>'Sch4-Cost Savings by ECM'!T162</f>
        <v>0</v>
      </c>
      <c r="H162" s="334">
        <f>VLOOKUP("Natural Gas", 'GHG Emissions'!$D$2:$M$66,4,FALSE)+VLOOKUP("Natural Gas", 'GHG Emissions'!$D$2:$M$66,6,FALSE)*'eGRID subregion name'!$P$3+VLOOKUP("Natural Gas", 'GHG Emissions'!$D$2:$M$66,8,FALSE)*'eGRID subregion name'!$P$4</f>
        <v>53.114800000000002</v>
      </c>
      <c r="I162" s="334">
        <f t="shared" si="15"/>
        <v>0</v>
      </c>
      <c r="J162" s="333">
        <f>'Sch4-Cost Savings by ECM'!V162</f>
        <v>0</v>
      </c>
      <c r="K16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2" s="334">
        <f t="shared" si="21"/>
        <v>0</v>
      </c>
      <c r="M162" s="333">
        <f>'Sch4-Cost Savings by ECM'!X162</f>
        <v>0</v>
      </c>
      <c r="N16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2" s="334">
        <f t="shared" si="16"/>
        <v>0</v>
      </c>
      <c r="P162" s="334">
        <f t="shared" si="17"/>
        <v>0</v>
      </c>
      <c r="Q162" s="334">
        <f t="shared" si="18"/>
        <v>0</v>
      </c>
      <c r="R162" s="334">
        <f t="shared" si="19"/>
        <v>0</v>
      </c>
    </row>
    <row r="163" spans="1:18" ht="16.5" thickBot="1">
      <c r="A163" s="40" t="str">
        <f>IF('Sch2a-Imp Price by ECM'!B164="","",'Sch2a-Imp Price by ECM'!B164)</f>
        <v/>
      </c>
      <c r="B163" s="76" t="str">
        <f>IF('Sch2a-Imp Price by ECM'!D164="","",'Sch2a-Imp Price by ECM'!D164)</f>
        <v/>
      </c>
      <c r="C163" s="331" t="s">
        <v>333</v>
      </c>
      <c r="D163" s="332">
        <f>'Sch4-Cost Savings by ECM'!P163</f>
        <v>0</v>
      </c>
      <c r="E163" s="376">
        <f>VLOOKUP(C163,'eGRID subregion name'!$A$2:$N$30,8,0)</f>
        <v>189.83531623683197</v>
      </c>
      <c r="F163" s="376">
        <f t="shared" si="20"/>
        <v>0</v>
      </c>
      <c r="G163" s="333">
        <f>'Sch4-Cost Savings by ECM'!T163</f>
        <v>0</v>
      </c>
      <c r="H163" s="334">
        <f>VLOOKUP("Natural Gas", 'GHG Emissions'!$D$2:$M$66,4,FALSE)+VLOOKUP("Natural Gas", 'GHG Emissions'!$D$2:$M$66,6,FALSE)*'eGRID subregion name'!$P$3+VLOOKUP("Natural Gas", 'GHG Emissions'!$D$2:$M$66,8,FALSE)*'eGRID subregion name'!$P$4</f>
        <v>53.114800000000002</v>
      </c>
      <c r="I163" s="334">
        <f t="shared" si="15"/>
        <v>0</v>
      </c>
      <c r="J163" s="333">
        <f>'Sch4-Cost Savings by ECM'!V163</f>
        <v>0</v>
      </c>
      <c r="K16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3" s="334">
        <f t="shared" si="21"/>
        <v>0</v>
      </c>
      <c r="M163" s="333">
        <f>'Sch4-Cost Savings by ECM'!X163</f>
        <v>0</v>
      </c>
      <c r="N16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3" s="334">
        <f t="shared" si="16"/>
        <v>0</v>
      </c>
      <c r="P163" s="334">
        <f t="shared" si="17"/>
        <v>0</v>
      </c>
      <c r="Q163" s="334">
        <f t="shared" si="18"/>
        <v>0</v>
      </c>
      <c r="R163" s="334">
        <f t="shared" si="19"/>
        <v>0</v>
      </c>
    </row>
    <row r="164" spans="1:18" ht="16.5" thickBot="1">
      <c r="A164" s="40" t="str">
        <f>IF('Sch2a-Imp Price by ECM'!B165="","",'Sch2a-Imp Price by ECM'!B165)</f>
        <v/>
      </c>
      <c r="B164" s="76" t="str">
        <f>IF('Sch2a-Imp Price by ECM'!D165="","",'Sch2a-Imp Price by ECM'!D165)</f>
        <v/>
      </c>
      <c r="C164" s="331" t="s">
        <v>333</v>
      </c>
      <c r="D164" s="332">
        <f>'Sch4-Cost Savings by ECM'!P164</f>
        <v>0</v>
      </c>
      <c r="E164" s="376">
        <f>VLOOKUP(C164,'eGRID subregion name'!$A$2:$N$30,8,0)</f>
        <v>189.83531623683197</v>
      </c>
      <c r="F164" s="376">
        <f t="shared" si="20"/>
        <v>0</v>
      </c>
      <c r="G164" s="333">
        <f>'Sch4-Cost Savings by ECM'!T164</f>
        <v>0</v>
      </c>
      <c r="H164" s="334">
        <f>VLOOKUP("Natural Gas", 'GHG Emissions'!$D$2:$M$66,4,FALSE)+VLOOKUP("Natural Gas", 'GHG Emissions'!$D$2:$M$66,6,FALSE)*'eGRID subregion name'!$P$3+VLOOKUP("Natural Gas", 'GHG Emissions'!$D$2:$M$66,8,FALSE)*'eGRID subregion name'!$P$4</f>
        <v>53.114800000000002</v>
      </c>
      <c r="I164" s="334">
        <f t="shared" si="15"/>
        <v>0</v>
      </c>
      <c r="J164" s="333">
        <f>'Sch4-Cost Savings by ECM'!V164</f>
        <v>0</v>
      </c>
      <c r="K16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4" s="334">
        <f t="shared" si="21"/>
        <v>0</v>
      </c>
      <c r="M164" s="333">
        <f>'Sch4-Cost Savings by ECM'!X164</f>
        <v>0</v>
      </c>
      <c r="N16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4" s="334">
        <f t="shared" si="16"/>
        <v>0</v>
      </c>
      <c r="P164" s="334">
        <f t="shared" si="17"/>
        <v>0</v>
      </c>
      <c r="Q164" s="334">
        <f t="shared" si="18"/>
        <v>0</v>
      </c>
      <c r="R164" s="334">
        <f t="shared" si="19"/>
        <v>0</v>
      </c>
    </row>
    <row r="165" spans="1:18" ht="16.5" thickBot="1">
      <c r="A165" s="40" t="str">
        <f>IF('Sch2a-Imp Price by ECM'!B166="","",'Sch2a-Imp Price by ECM'!B166)</f>
        <v/>
      </c>
      <c r="B165" s="76" t="str">
        <f>IF('Sch2a-Imp Price by ECM'!D166="","",'Sch2a-Imp Price by ECM'!D166)</f>
        <v/>
      </c>
      <c r="C165" s="331" t="s">
        <v>333</v>
      </c>
      <c r="D165" s="332">
        <f>'Sch4-Cost Savings by ECM'!P165</f>
        <v>0</v>
      </c>
      <c r="E165" s="376">
        <f>VLOOKUP(C165,'eGRID subregion name'!$A$2:$N$30,8,0)</f>
        <v>189.83531623683197</v>
      </c>
      <c r="F165" s="376">
        <f t="shared" si="20"/>
        <v>0</v>
      </c>
      <c r="G165" s="333">
        <f>'Sch4-Cost Savings by ECM'!T165</f>
        <v>0</v>
      </c>
      <c r="H165" s="334">
        <f>VLOOKUP("Natural Gas", 'GHG Emissions'!$D$2:$M$66,4,FALSE)+VLOOKUP("Natural Gas", 'GHG Emissions'!$D$2:$M$66,6,FALSE)*'eGRID subregion name'!$P$3+VLOOKUP("Natural Gas", 'GHG Emissions'!$D$2:$M$66,8,FALSE)*'eGRID subregion name'!$P$4</f>
        <v>53.114800000000002</v>
      </c>
      <c r="I165" s="334">
        <f t="shared" si="15"/>
        <v>0</v>
      </c>
      <c r="J165" s="333">
        <f>'Sch4-Cost Savings by ECM'!V165</f>
        <v>0</v>
      </c>
      <c r="K16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5" s="334">
        <f t="shared" si="21"/>
        <v>0</v>
      </c>
      <c r="M165" s="333">
        <f>'Sch4-Cost Savings by ECM'!X165</f>
        <v>0</v>
      </c>
      <c r="N16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5" s="334">
        <f t="shared" si="16"/>
        <v>0</v>
      </c>
      <c r="P165" s="334">
        <f t="shared" si="17"/>
        <v>0</v>
      </c>
      <c r="Q165" s="334">
        <f t="shared" si="18"/>
        <v>0</v>
      </c>
      <c r="R165" s="334">
        <f t="shared" si="19"/>
        <v>0</v>
      </c>
    </row>
    <row r="166" spans="1:18" ht="16.5" thickBot="1">
      <c r="A166" s="40" t="str">
        <f>IF('Sch2a-Imp Price by ECM'!B167="","",'Sch2a-Imp Price by ECM'!B167)</f>
        <v/>
      </c>
      <c r="B166" s="76" t="str">
        <f>IF('Sch2a-Imp Price by ECM'!D167="","",'Sch2a-Imp Price by ECM'!D167)</f>
        <v/>
      </c>
      <c r="C166" s="331" t="s">
        <v>333</v>
      </c>
      <c r="D166" s="332">
        <f>'Sch4-Cost Savings by ECM'!P166</f>
        <v>0</v>
      </c>
      <c r="E166" s="376">
        <f>VLOOKUP(C166,'eGRID subregion name'!$A$2:$N$30,8,0)</f>
        <v>189.83531623683197</v>
      </c>
      <c r="F166" s="376">
        <f t="shared" si="20"/>
        <v>0</v>
      </c>
      <c r="G166" s="333">
        <f>'Sch4-Cost Savings by ECM'!T166</f>
        <v>0</v>
      </c>
      <c r="H166" s="334">
        <f>VLOOKUP("Natural Gas", 'GHG Emissions'!$D$2:$M$66,4,FALSE)+VLOOKUP("Natural Gas", 'GHG Emissions'!$D$2:$M$66,6,FALSE)*'eGRID subregion name'!$P$3+VLOOKUP("Natural Gas", 'GHG Emissions'!$D$2:$M$66,8,FALSE)*'eGRID subregion name'!$P$4</f>
        <v>53.114800000000002</v>
      </c>
      <c r="I166" s="334">
        <f t="shared" si="15"/>
        <v>0</v>
      </c>
      <c r="J166" s="333">
        <f>'Sch4-Cost Savings by ECM'!V166</f>
        <v>0</v>
      </c>
      <c r="K16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6" s="334">
        <f t="shared" si="21"/>
        <v>0</v>
      </c>
      <c r="M166" s="333">
        <f>'Sch4-Cost Savings by ECM'!X166</f>
        <v>0</v>
      </c>
      <c r="N16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6" s="334">
        <f t="shared" si="16"/>
        <v>0</v>
      </c>
      <c r="P166" s="334">
        <f t="shared" si="17"/>
        <v>0</v>
      </c>
      <c r="Q166" s="334">
        <f t="shared" si="18"/>
        <v>0</v>
      </c>
      <c r="R166" s="334">
        <f t="shared" si="19"/>
        <v>0</v>
      </c>
    </row>
    <row r="167" spans="1:18" ht="16.5" thickBot="1">
      <c r="A167" s="40" t="str">
        <f>IF('Sch2a-Imp Price by ECM'!B168="","",'Sch2a-Imp Price by ECM'!B168)</f>
        <v/>
      </c>
      <c r="B167" s="76" t="str">
        <f>IF('Sch2a-Imp Price by ECM'!D168="","",'Sch2a-Imp Price by ECM'!D168)</f>
        <v/>
      </c>
      <c r="C167" s="331" t="s">
        <v>333</v>
      </c>
      <c r="D167" s="332">
        <f>'Sch4-Cost Savings by ECM'!P167</f>
        <v>0</v>
      </c>
      <c r="E167" s="376">
        <f>VLOOKUP(C167,'eGRID subregion name'!$A$2:$N$30,8,0)</f>
        <v>189.83531623683197</v>
      </c>
      <c r="F167" s="376">
        <f t="shared" si="20"/>
        <v>0</v>
      </c>
      <c r="G167" s="333">
        <f>'Sch4-Cost Savings by ECM'!T167</f>
        <v>0</v>
      </c>
      <c r="H167" s="334">
        <f>VLOOKUP("Natural Gas", 'GHG Emissions'!$D$2:$M$66,4,FALSE)+VLOOKUP("Natural Gas", 'GHG Emissions'!$D$2:$M$66,6,FALSE)*'eGRID subregion name'!$P$3+VLOOKUP("Natural Gas", 'GHG Emissions'!$D$2:$M$66,8,FALSE)*'eGRID subregion name'!$P$4</f>
        <v>53.114800000000002</v>
      </c>
      <c r="I167" s="334">
        <f t="shared" si="15"/>
        <v>0</v>
      </c>
      <c r="J167" s="333">
        <f>'Sch4-Cost Savings by ECM'!V167</f>
        <v>0</v>
      </c>
      <c r="K16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7" s="334">
        <f t="shared" si="21"/>
        <v>0</v>
      </c>
      <c r="M167" s="333">
        <f>'Sch4-Cost Savings by ECM'!X167</f>
        <v>0</v>
      </c>
      <c r="N16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7" s="334">
        <f t="shared" si="16"/>
        <v>0</v>
      </c>
      <c r="P167" s="334">
        <f t="shared" si="17"/>
        <v>0</v>
      </c>
      <c r="Q167" s="334">
        <f t="shared" si="18"/>
        <v>0</v>
      </c>
      <c r="R167" s="334">
        <f t="shared" si="19"/>
        <v>0</v>
      </c>
    </row>
    <row r="168" spans="1:18" ht="16.5" thickBot="1">
      <c r="A168" s="40" t="str">
        <f>IF('Sch2a-Imp Price by ECM'!B169="","",'Sch2a-Imp Price by ECM'!B169)</f>
        <v/>
      </c>
      <c r="B168" s="76" t="str">
        <f>IF('Sch2a-Imp Price by ECM'!D169="","",'Sch2a-Imp Price by ECM'!D169)</f>
        <v/>
      </c>
      <c r="C168" s="331" t="s">
        <v>333</v>
      </c>
      <c r="D168" s="332">
        <f>'Sch4-Cost Savings by ECM'!P168</f>
        <v>0</v>
      </c>
      <c r="E168" s="376">
        <f>VLOOKUP(C168,'eGRID subregion name'!$A$2:$N$30,8,0)</f>
        <v>189.83531623683197</v>
      </c>
      <c r="F168" s="376">
        <f t="shared" si="20"/>
        <v>0</v>
      </c>
      <c r="G168" s="333">
        <f>'Sch4-Cost Savings by ECM'!T168</f>
        <v>0</v>
      </c>
      <c r="H168" s="334">
        <f>VLOOKUP("Natural Gas", 'GHG Emissions'!$D$2:$M$66,4,FALSE)+VLOOKUP("Natural Gas", 'GHG Emissions'!$D$2:$M$66,6,FALSE)*'eGRID subregion name'!$P$3+VLOOKUP("Natural Gas", 'GHG Emissions'!$D$2:$M$66,8,FALSE)*'eGRID subregion name'!$P$4</f>
        <v>53.114800000000002</v>
      </c>
      <c r="I168" s="334">
        <f t="shared" si="15"/>
        <v>0</v>
      </c>
      <c r="J168" s="333">
        <f>'Sch4-Cost Savings by ECM'!V168</f>
        <v>0</v>
      </c>
      <c r="K16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8" s="334">
        <f t="shared" si="21"/>
        <v>0</v>
      </c>
      <c r="M168" s="333">
        <f>'Sch4-Cost Savings by ECM'!X168</f>
        <v>0</v>
      </c>
      <c r="N16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8" s="334">
        <f t="shared" si="16"/>
        <v>0</v>
      </c>
      <c r="P168" s="334">
        <f t="shared" si="17"/>
        <v>0</v>
      </c>
      <c r="Q168" s="334">
        <f t="shared" si="18"/>
        <v>0</v>
      </c>
      <c r="R168" s="334">
        <f t="shared" si="19"/>
        <v>0</v>
      </c>
    </row>
    <row r="169" spans="1:18" ht="16.5" thickBot="1">
      <c r="A169" s="40" t="str">
        <f>IF('Sch2a-Imp Price by ECM'!B170="","",'Sch2a-Imp Price by ECM'!B170)</f>
        <v/>
      </c>
      <c r="B169" s="76" t="str">
        <f>IF('Sch2a-Imp Price by ECM'!D170="","",'Sch2a-Imp Price by ECM'!D170)</f>
        <v/>
      </c>
      <c r="C169" s="331" t="s">
        <v>333</v>
      </c>
      <c r="D169" s="332">
        <f>'Sch4-Cost Savings by ECM'!P169</f>
        <v>0</v>
      </c>
      <c r="E169" s="376">
        <f>VLOOKUP(C169,'eGRID subregion name'!$A$2:$N$30,8,0)</f>
        <v>189.83531623683197</v>
      </c>
      <c r="F169" s="376">
        <f t="shared" si="20"/>
        <v>0</v>
      </c>
      <c r="G169" s="333">
        <f>'Sch4-Cost Savings by ECM'!T169</f>
        <v>0</v>
      </c>
      <c r="H169" s="334">
        <f>VLOOKUP("Natural Gas", 'GHG Emissions'!$D$2:$M$66,4,FALSE)+VLOOKUP("Natural Gas", 'GHG Emissions'!$D$2:$M$66,6,FALSE)*'eGRID subregion name'!$P$3+VLOOKUP("Natural Gas", 'GHG Emissions'!$D$2:$M$66,8,FALSE)*'eGRID subregion name'!$P$4</f>
        <v>53.114800000000002</v>
      </c>
      <c r="I169" s="334">
        <f t="shared" si="15"/>
        <v>0</v>
      </c>
      <c r="J169" s="333">
        <f>'Sch4-Cost Savings by ECM'!V169</f>
        <v>0</v>
      </c>
      <c r="K16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69" s="334">
        <f t="shared" si="21"/>
        <v>0</v>
      </c>
      <c r="M169" s="333">
        <f>'Sch4-Cost Savings by ECM'!X169</f>
        <v>0</v>
      </c>
      <c r="N16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69" s="334">
        <f t="shared" si="16"/>
        <v>0</v>
      </c>
      <c r="P169" s="334">
        <f t="shared" si="17"/>
        <v>0</v>
      </c>
      <c r="Q169" s="334">
        <f t="shared" si="18"/>
        <v>0</v>
      </c>
      <c r="R169" s="334">
        <f t="shared" si="19"/>
        <v>0</v>
      </c>
    </row>
    <row r="170" spans="1:18" ht="16.5" thickBot="1">
      <c r="A170" s="40" t="str">
        <f>IF('Sch2a-Imp Price by ECM'!B171="","",'Sch2a-Imp Price by ECM'!B171)</f>
        <v/>
      </c>
      <c r="B170" s="76" t="str">
        <f>IF('Sch2a-Imp Price by ECM'!D171="","",'Sch2a-Imp Price by ECM'!D171)</f>
        <v/>
      </c>
      <c r="C170" s="331" t="s">
        <v>333</v>
      </c>
      <c r="D170" s="332">
        <f>'Sch4-Cost Savings by ECM'!P170</f>
        <v>0</v>
      </c>
      <c r="E170" s="376">
        <f>VLOOKUP(C170,'eGRID subregion name'!$A$2:$N$30,8,0)</f>
        <v>189.83531623683197</v>
      </c>
      <c r="F170" s="376">
        <f t="shared" si="20"/>
        <v>0</v>
      </c>
      <c r="G170" s="333">
        <f>'Sch4-Cost Savings by ECM'!T170</f>
        <v>0</v>
      </c>
      <c r="H170" s="334">
        <f>VLOOKUP("Natural Gas", 'GHG Emissions'!$D$2:$M$66,4,FALSE)+VLOOKUP("Natural Gas", 'GHG Emissions'!$D$2:$M$66,6,FALSE)*'eGRID subregion name'!$P$3+VLOOKUP("Natural Gas", 'GHG Emissions'!$D$2:$M$66,8,FALSE)*'eGRID subregion name'!$P$4</f>
        <v>53.114800000000002</v>
      </c>
      <c r="I170" s="334">
        <f t="shared" si="15"/>
        <v>0</v>
      </c>
      <c r="J170" s="333">
        <f>'Sch4-Cost Savings by ECM'!V170</f>
        <v>0</v>
      </c>
      <c r="K17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0" s="334">
        <f t="shared" si="21"/>
        <v>0</v>
      </c>
      <c r="M170" s="333">
        <f>'Sch4-Cost Savings by ECM'!X170</f>
        <v>0</v>
      </c>
      <c r="N17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0" s="334">
        <f t="shared" si="16"/>
        <v>0</v>
      </c>
      <c r="P170" s="334">
        <f t="shared" si="17"/>
        <v>0</v>
      </c>
      <c r="Q170" s="334">
        <f t="shared" si="18"/>
        <v>0</v>
      </c>
      <c r="R170" s="334">
        <f t="shared" si="19"/>
        <v>0</v>
      </c>
    </row>
    <row r="171" spans="1:18" ht="16.5" thickBot="1">
      <c r="A171" s="40" t="str">
        <f>IF('Sch2a-Imp Price by ECM'!B172="","",'Sch2a-Imp Price by ECM'!B172)</f>
        <v/>
      </c>
      <c r="B171" s="76" t="str">
        <f>IF('Sch2a-Imp Price by ECM'!D172="","",'Sch2a-Imp Price by ECM'!D172)</f>
        <v/>
      </c>
      <c r="C171" s="331" t="s">
        <v>333</v>
      </c>
      <c r="D171" s="332">
        <f>'Sch4-Cost Savings by ECM'!P171</f>
        <v>0</v>
      </c>
      <c r="E171" s="376">
        <f>VLOOKUP(C171,'eGRID subregion name'!$A$2:$N$30,8,0)</f>
        <v>189.83531623683197</v>
      </c>
      <c r="F171" s="376">
        <f t="shared" si="20"/>
        <v>0</v>
      </c>
      <c r="G171" s="333">
        <f>'Sch4-Cost Savings by ECM'!T171</f>
        <v>0</v>
      </c>
      <c r="H171" s="334">
        <f>VLOOKUP("Natural Gas", 'GHG Emissions'!$D$2:$M$66,4,FALSE)+VLOOKUP("Natural Gas", 'GHG Emissions'!$D$2:$M$66,6,FALSE)*'eGRID subregion name'!$P$3+VLOOKUP("Natural Gas", 'GHG Emissions'!$D$2:$M$66,8,FALSE)*'eGRID subregion name'!$P$4</f>
        <v>53.114800000000002</v>
      </c>
      <c r="I171" s="334">
        <f t="shared" si="15"/>
        <v>0</v>
      </c>
      <c r="J171" s="333">
        <f>'Sch4-Cost Savings by ECM'!V171</f>
        <v>0</v>
      </c>
      <c r="K17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1" s="334">
        <f t="shared" si="21"/>
        <v>0</v>
      </c>
      <c r="M171" s="333">
        <f>'Sch4-Cost Savings by ECM'!X171</f>
        <v>0</v>
      </c>
      <c r="N17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1" s="334">
        <f t="shared" si="16"/>
        <v>0</v>
      </c>
      <c r="P171" s="334">
        <f t="shared" si="17"/>
        <v>0</v>
      </c>
      <c r="Q171" s="334">
        <f t="shared" si="18"/>
        <v>0</v>
      </c>
      <c r="R171" s="334">
        <f t="shared" si="19"/>
        <v>0</v>
      </c>
    </row>
    <row r="172" spans="1:18" ht="16.5" thickBot="1">
      <c r="A172" s="40" t="str">
        <f>IF('Sch2a-Imp Price by ECM'!B173="","",'Sch2a-Imp Price by ECM'!B173)</f>
        <v/>
      </c>
      <c r="B172" s="76" t="str">
        <f>IF('Sch2a-Imp Price by ECM'!D173="","",'Sch2a-Imp Price by ECM'!D173)</f>
        <v/>
      </c>
      <c r="C172" s="331" t="s">
        <v>333</v>
      </c>
      <c r="D172" s="332">
        <f>'Sch4-Cost Savings by ECM'!P172</f>
        <v>0</v>
      </c>
      <c r="E172" s="376">
        <f>VLOOKUP(C172,'eGRID subregion name'!$A$2:$N$30,8,0)</f>
        <v>189.83531623683197</v>
      </c>
      <c r="F172" s="376">
        <f t="shared" si="20"/>
        <v>0</v>
      </c>
      <c r="G172" s="333">
        <f>'Sch4-Cost Savings by ECM'!T172</f>
        <v>0</v>
      </c>
      <c r="H172" s="334">
        <f>VLOOKUP("Natural Gas", 'GHG Emissions'!$D$2:$M$66,4,FALSE)+VLOOKUP("Natural Gas", 'GHG Emissions'!$D$2:$M$66,6,FALSE)*'eGRID subregion name'!$P$3+VLOOKUP("Natural Gas", 'GHG Emissions'!$D$2:$M$66,8,FALSE)*'eGRID subregion name'!$P$4</f>
        <v>53.114800000000002</v>
      </c>
      <c r="I172" s="334">
        <f t="shared" si="15"/>
        <v>0</v>
      </c>
      <c r="J172" s="333">
        <f>'Sch4-Cost Savings by ECM'!V172</f>
        <v>0</v>
      </c>
      <c r="K17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2" s="334">
        <f t="shared" si="21"/>
        <v>0</v>
      </c>
      <c r="M172" s="333">
        <f>'Sch4-Cost Savings by ECM'!X172</f>
        <v>0</v>
      </c>
      <c r="N17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2" s="334">
        <f t="shared" si="16"/>
        <v>0</v>
      </c>
      <c r="P172" s="334">
        <f t="shared" si="17"/>
        <v>0</v>
      </c>
      <c r="Q172" s="334">
        <f t="shared" si="18"/>
        <v>0</v>
      </c>
      <c r="R172" s="334">
        <f t="shared" si="19"/>
        <v>0</v>
      </c>
    </row>
    <row r="173" spans="1:18" ht="16.5" thickBot="1">
      <c r="A173" s="40" t="str">
        <f>IF('Sch2a-Imp Price by ECM'!B174="","",'Sch2a-Imp Price by ECM'!B174)</f>
        <v/>
      </c>
      <c r="B173" s="76" t="str">
        <f>IF('Sch2a-Imp Price by ECM'!D174="","",'Sch2a-Imp Price by ECM'!D174)</f>
        <v/>
      </c>
      <c r="C173" s="331" t="s">
        <v>333</v>
      </c>
      <c r="D173" s="332">
        <f>'Sch4-Cost Savings by ECM'!P173</f>
        <v>0</v>
      </c>
      <c r="E173" s="376">
        <f>VLOOKUP(C173,'eGRID subregion name'!$A$2:$N$30,8,0)</f>
        <v>189.83531623683197</v>
      </c>
      <c r="F173" s="376">
        <f t="shared" si="20"/>
        <v>0</v>
      </c>
      <c r="G173" s="333">
        <f>'Sch4-Cost Savings by ECM'!T173</f>
        <v>0</v>
      </c>
      <c r="H173" s="334">
        <f>VLOOKUP("Natural Gas", 'GHG Emissions'!$D$2:$M$66,4,FALSE)+VLOOKUP("Natural Gas", 'GHG Emissions'!$D$2:$M$66,6,FALSE)*'eGRID subregion name'!$P$3+VLOOKUP("Natural Gas", 'GHG Emissions'!$D$2:$M$66,8,FALSE)*'eGRID subregion name'!$P$4</f>
        <v>53.114800000000002</v>
      </c>
      <c r="I173" s="334">
        <f t="shared" si="15"/>
        <v>0</v>
      </c>
      <c r="J173" s="333">
        <f>'Sch4-Cost Savings by ECM'!V173</f>
        <v>0</v>
      </c>
      <c r="K17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3" s="334">
        <f t="shared" si="21"/>
        <v>0</v>
      </c>
      <c r="M173" s="333">
        <f>'Sch4-Cost Savings by ECM'!X173</f>
        <v>0</v>
      </c>
      <c r="N17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3" s="334">
        <f t="shared" si="16"/>
        <v>0</v>
      </c>
      <c r="P173" s="334">
        <f t="shared" si="17"/>
        <v>0</v>
      </c>
      <c r="Q173" s="334">
        <f t="shared" si="18"/>
        <v>0</v>
      </c>
      <c r="R173" s="334">
        <f t="shared" si="19"/>
        <v>0</v>
      </c>
    </row>
    <row r="174" spans="1:18" ht="16.5" thickBot="1">
      <c r="A174" s="40" t="str">
        <f>IF('Sch2a-Imp Price by ECM'!B175="","",'Sch2a-Imp Price by ECM'!B175)</f>
        <v/>
      </c>
      <c r="B174" s="76" t="str">
        <f>IF('Sch2a-Imp Price by ECM'!D175="","",'Sch2a-Imp Price by ECM'!D175)</f>
        <v/>
      </c>
      <c r="C174" s="331" t="s">
        <v>333</v>
      </c>
      <c r="D174" s="332">
        <f>'Sch4-Cost Savings by ECM'!P174</f>
        <v>0</v>
      </c>
      <c r="E174" s="376">
        <f>VLOOKUP(C174,'eGRID subregion name'!$A$2:$N$30,8,0)</f>
        <v>189.83531623683197</v>
      </c>
      <c r="F174" s="376">
        <f t="shared" si="20"/>
        <v>0</v>
      </c>
      <c r="G174" s="333">
        <f>'Sch4-Cost Savings by ECM'!T174</f>
        <v>0</v>
      </c>
      <c r="H174" s="334">
        <f>VLOOKUP("Natural Gas", 'GHG Emissions'!$D$2:$M$66,4,FALSE)+VLOOKUP("Natural Gas", 'GHG Emissions'!$D$2:$M$66,6,FALSE)*'eGRID subregion name'!$P$3+VLOOKUP("Natural Gas", 'GHG Emissions'!$D$2:$M$66,8,FALSE)*'eGRID subregion name'!$P$4</f>
        <v>53.114800000000002</v>
      </c>
      <c r="I174" s="334">
        <f t="shared" si="15"/>
        <v>0</v>
      </c>
      <c r="J174" s="333">
        <f>'Sch4-Cost Savings by ECM'!V174</f>
        <v>0</v>
      </c>
      <c r="K17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4" s="334">
        <f t="shared" si="21"/>
        <v>0</v>
      </c>
      <c r="M174" s="333">
        <f>'Sch4-Cost Savings by ECM'!X174</f>
        <v>0</v>
      </c>
      <c r="N17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4" s="334">
        <f t="shared" si="16"/>
        <v>0</v>
      </c>
      <c r="P174" s="334">
        <f t="shared" si="17"/>
        <v>0</v>
      </c>
      <c r="Q174" s="334">
        <f t="shared" si="18"/>
        <v>0</v>
      </c>
      <c r="R174" s="334">
        <f t="shared" si="19"/>
        <v>0</v>
      </c>
    </row>
    <row r="175" spans="1:18" ht="16.5" thickBot="1">
      <c r="A175" s="40" t="str">
        <f>IF('Sch2a-Imp Price by ECM'!B176="","",'Sch2a-Imp Price by ECM'!B176)</f>
        <v/>
      </c>
      <c r="B175" s="76" t="str">
        <f>IF('Sch2a-Imp Price by ECM'!D176="","",'Sch2a-Imp Price by ECM'!D176)</f>
        <v/>
      </c>
      <c r="C175" s="331" t="s">
        <v>333</v>
      </c>
      <c r="D175" s="332">
        <f>'Sch4-Cost Savings by ECM'!P175</f>
        <v>0</v>
      </c>
      <c r="E175" s="376">
        <f>VLOOKUP(C175,'eGRID subregion name'!$A$2:$N$30,8,0)</f>
        <v>189.83531623683197</v>
      </c>
      <c r="F175" s="376">
        <f t="shared" si="20"/>
        <v>0</v>
      </c>
      <c r="G175" s="333">
        <f>'Sch4-Cost Savings by ECM'!T175</f>
        <v>0</v>
      </c>
      <c r="H175" s="334">
        <f>VLOOKUP("Natural Gas", 'GHG Emissions'!$D$2:$M$66,4,FALSE)+VLOOKUP("Natural Gas", 'GHG Emissions'!$D$2:$M$66,6,FALSE)*'eGRID subregion name'!$P$3+VLOOKUP("Natural Gas", 'GHG Emissions'!$D$2:$M$66,8,FALSE)*'eGRID subregion name'!$P$4</f>
        <v>53.114800000000002</v>
      </c>
      <c r="I175" s="334">
        <f t="shared" si="15"/>
        <v>0</v>
      </c>
      <c r="J175" s="333">
        <f>'Sch4-Cost Savings by ECM'!V175</f>
        <v>0</v>
      </c>
      <c r="K17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5" s="334">
        <f t="shared" si="21"/>
        <v>0</v>
      </c>
      <c r="M175" s="333">
        <f>'Sch4-Cost Savings by ECM'!X175</f>
        <v>0</v>
      </c>
      <c r="N17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5" s="334">
        <f t="shared" si="16"/>
        <v>0</v>
      </c>
      <c r="P175" s="334">
        <f t="shared" si="17"/>
        <v>0</v>
      </c>
      <c r="Q175" s="334">
        <f t="shared" si="18"/>
        <v>0</v>
      </c>
      <c r="R175" s="334">
        <f t="shared" si="19"/>
        <v>0</v>
      </c>
    </row>
    <row r="176" spans="1:18" ht="16.5" thickBot="1">
      <c r="A176" s="40" t="str">
        <f>IF('Sch2a-Imp Price by ECM'!B177="","",'Sch2a-Imp Price by ECM'!B177)</f>
        <v/>
      </c>
      <c r="B176" s="76" t="str">
        <f>IF('Sch2a-Imp Price by ECM'!D177="","",'Sch2a-Imp Price by ECM'!D177)</f>
        <v/>
      </c>
      <c r="C176" s="331" t="s">
        <v>333</v>
      </c>
      <c r="D176" s="332">
        <f>'Sch4-Cost Savings by ECM'!P176</f>
        <v>0</v>
      </c>
      <c r="E176" s="376">
        <f>VLOOKUP(C176,'eGRID subregion name'!$A$2:$N$30,8,0)</f>
        <v>189.83531623683197</v>
      </c>
      <c r="F176" s="376">
        <f t="shared" si="20"/>
        <v>0</v>
      </c>
      <c r="G176" s="333">
        <f>'Sch4-Cost Savings by ECM'!T176</f>
        <v>0</v>
      </c>
      <c r="H176" s="334">
        <f>VLOOKUP("Natural Gas", 'GHG Emissions'!$D$2:$M$66,4,FALSE)+VLOOKUP("Natural Gas", 'GHG Emissions'!$D$2:$M$66,6,FALSE)*'eGRID subregion name'!$P$3+VLOOKUP("Natural Gas", 'GHG Emissions'!$D$2:$M$66,8,FALSE)*'eGRID subregion name'!$P$4</f>
        <v>53.114800000000002</v>
      </c>
      <c r="I176" s="334">
        <f t="shared" si="15"/>
        <v>0</v>
      </c>
      <c r="J176" s="333">
        <f>'Sch4-Cost Savings by ECM'!V176</f>
        <v>0</v>
      </c>
      <c r="K17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6" s="334">
        <f t="shared" si="21"/>
        <v>0</v>
      </c>
      <c r="M176" s="333">
        <f>'Sch4-Cost Savings by ECM'!X176</f>
        <v>0</v>
      </c>
      <c r="N17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6" s="334">
        <f t="shared" si="16"/>
        <v>0</v>
      </c>
      <c r="P176" s="334">
        <f t="shared" si="17"/>
        <v>0</v>
      </c>
      <c r="Q176" s="334">
        <f t="shared" si="18"/>
        <v>0</v>
      </c>
      <c r="R176" s="334">
        <f t="shared" si="19"/>
        <v>0</v>
      </c>
    </row>
    <row r="177" spans="1:18" ht="16.5" thickBot="1">
      <c r="A177" s="40" t="str">
        <f>IF('Sch2a-Imp Price by ECM'!B178="","",'Sch2a-Imp Price by ECM'!B178)</f>
        <v/>
      </c>
      <c r="B177" s="76" t="str">
        <f>IF('Sch2a-Imp Price by ECM'!D178="","",'Sch2a-Imp Price by ECM'!D178)</f>
        <v/>
      </c>
      <c r="C177" s="331" t="s">
        <v>333</v>
      </c>
      <c r="D177" s="332">
        <f>'Sch4-Cost Savings by ECM'!P177</f>
        <v>0</v>
      </c>
      <c r="E177" s="376">
        <f>VLOOKUP(C177,'eGRID subregion name'!$A$2:$N$30,8,0)</f>
        <v>189.83531623683197</v>
      </c>
      <c r="F177" s="376">
        <f t="shared" si="20"/>
        <v>0</v>
      </c>
      <c r="G177" s="333">
        <f>'Sch4-Cost Savings by ECM'!T177</f>
        <v>0</v>
      </c>
      <c r="H177" s="334">
        <f>VLOOKUP("Natural Gas", 'GHG Emissions'!$D$2:$M$66,4,FALSE)+VLOOKUP("Natural Gas", 'GHG Emissions'!$D$2:$M$66,6,FALSE)*'eGRID subregion name'!$P$3+VLOOKUP("Natural Gas", 'GHG Emissions'!$D$2:$M$66,8,FALSE)*'eGRID subregion name'!$P$4</f>
        <v>53.114800000000002</v>
      </c>
      <c r="I177" s="334">
        <f t="shared" si="15"/>
        <v>0</v>
      </c>
      <c r="J177" s="333">
        <f>'Sch4-Cost Savings by ECM'!V177</f>
        <v>0</v>
      </c>
      <c r="K17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7" s="334">
        <f t="shared" si="21"/>
        <v>0</v>
      </c>
      <c r="M177" s="333">
        <f>'Sch4-Cost Savings by ECM'!X177</f>
        <v>0</v>
      </c>
      <c r="N17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7" s="334">
        <f t="shared" si="16"/>
        <v>0</v>
      </c>
      <c r="P177" s="334">
        <f t="shared" si="17"/>
        <v>0</v>
      </c>
      <c r="Q177" s="334">
        <f t="shared" si="18"/>
        <v>0</v>
      </c>
      <c r="R177" s="334">
        <f t="shared" si="19"/>
        <v>0</v>
      </c>
    </row>
    <row r="178" spans="1:18" ht="16.5" thickBot="1">
      <c r="A178" s="40" t="str">
        <f>IF('Sch2a-Imp Price by ECM'!B179="","",'Sch2a-Imp Price by ECM'!B179)</f>
        <v/>
      </c>
      <c r="B178" s="76" t="str">
        <f>IF('Sch2a-Imp Price by ECM'!D179="","",'Sch2a-Imp Price by ECM'!D179)</f>
        <v/>
      </c>
      <c r="C178" s="331" t="s">
        <v>333</v>
      </c>
      <c r="D178" s="332">
        <f>'Sch4-Cost Savings by ECM'!P178</f>
        <v>0</v>
      </c>
      <c r="E178" s="376">
        <f>VLOOKUP(C178,'eGRID subregion name'!$A$2:$N$30,8,0)</f>
        <v>189.83531623683197</v>
      </c>
      <c r="F178" s="376">
        <f t="shared" si="20"/>
        <v>0</v>
      </c>
      <c r="G178" s="333">
        <f>'Sch4-Cost Savings by ECM'!T178</f>
        <v>0</v>
      </c>
      <c r="H178" s="334">
        <f>VLOOKUP("Natural Gas", 'GHG Emissions'!$D$2:$M$66,4,FALSE)+VLOOKUP("Natural Gas", 'GHG Emissions'!$D$2:$M$66,6,FALSE)*'eGRID subregion name'!$P$3+VLOOKUP("Natural Gas", 'GHG Emissions'!$D$2:$M$66,8,FALSE)*'eGRID subregion name'!$P$4</f>
        <v>53.114800000000002</v>
      </c>
      <c r="I178" s="334">
        <f t="shared" si="15"/>
        <v>0</v>
      </c>
      <c r="J178" s="333">
        <f>'Sch4-Cost Savings by ECM'!V178</f>
        <v>0</v>
      </c>
      <c r="K17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8" s="334">
        <f t="shared" si="21"/>
        <v>0</v>
      </c>
      <c r="M178" s="333">
        <f>'Sch4-Cost Savings by ECM'!X178</f>
        <v>0</v>
      </c>
      <c r="N17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8" s="334">
        <f t="shared" si="16"/>
        <v>0</v>
      </c>
      <c r="P178" s="334">
        <f t="shared" si="17"/>
        <v>0</v>
      </c>
      <c r="Q178" s="334">
        <f t="shared" si="18"/>
        <v>0</v>
      </c>
      <c r="R178" s="334">
        <f t="shared" si="19"/>
        <v>0</v>
      </c>
    </row>
    <row r="179" spans="1:18" ht="16.5" thickBot="1">
      <c r="A179" s="40" t="str">
        <f>IF('Sch2a-Imp Price by ECM'!B180="","",'Sch2a-Imp Price by ECM'!B180)</f>
        <v/>
      </c>
      <c r="B179" s="76" t="str">
        <f>IF('Sch2a-Imp Price by ECM'!D180="","",'Sch2a-Imp Price by ECM'!D180)</f>
        <v/>
      </c>
      <c r="C179" s="331" t="s">
        <v>333</v>
      </c>
      <c r="D179" s="332">
        <f>'Sch4-Cost Savings by ECM'!P179</f>
        <v>0</v>
      </c>
      <c r="E179" s="376">
        <f>VLOOKUP(C179,'eGRID subregion name'!$A$2:$N$30,8,0)</f>
        <v>189.83531623683197</v>
      </c>
      <c r="F179" s="376">
        <f t="shared" si="20"/>
        <v>0</v>
      </c>
      <c r="G179" s="333">
        <f>'Sch4-Cost Savings by ECM'!T179</f>
        <v>0</v>
      </c>
      <c r="H179" s="334">
        <f>VLOOKUP("Natural Gas", 'GHG Emissions'!$D$2:$M$66,4,FALSE)+VLOOKUP("Natural Gas", 'GHG Emissions'!$D$2:$M$66,6,FALSE)*'eGRID subregion name'!$P$3+VLOOKUP("Natural Gas", 'GHG Emissions'!$D$2:$M$66,8,FALSE)*'eGRID subregion name'!$P$4</f>
        <v>53.114800000000002</v>
      </c>
      <c r="I179" s="334">
        <f t="shared" si="15"/>
        <v>0</v>
      </c>
      <c r="J179" s="333">
        <f>'Sch4-Cost Savings by ECM'!V179</f>
        <v>0</v>
      </c>
      <c r="K17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79" s="334">
        <f t="shared" si="21"/>
        <v>0</v>
      </c>
      <c r="M179" s="333">
        <f>'Sch4-Cost Savings by ECM'!X179</f>
        <v>0</v>
      </c>
      <c r="N17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79" s="334">
        <f t="shared" si="16"/>
        <v>0</v>
      </c>
      <c r="P179" s="334">
        <f t="shared" si="17"/>
        <v>0</v>
      </c>
      <c r="Q179" s="334">
        <f t="shared" si="18"/>
        <v>0</v>
      </c>
      <c r="R179" s="334">
        <f t="shared" si="19"/>
        <v>0</v>
      </c>
    </row>
    <row r="180" spans="1:18" ht="16.5" thickBot="1">
      <c r="A180" s="40" t="str">
        <f>IF('Sch2a-Imp Price by ECM'!B181="","",'Sch2a-Imp Price by ECM'!B181)</f>
        <v/>
      </c>
      <c r="B180" s="76" t="str">
        <f>IF('Sch2a-Imp Price by ECM'!D181="","",'Sch2a-Imp Price by ECM'!D181)</f>
        <v/>
      </c>
      <c r="C180" s="331" t="s">
        <v>333</v>
      </c>
      <c r="D180" s="332">
        <f>'Sch4-Cost Savings by ECM'!P180</f>
        <v>0</v>
      </c>
      <c r="E180" s="376">
        <f>VLOOKUP(C180,'eGRID subregion name'!$A$2:$N$30,8,0)</f>
        <v>189.83531623683197</v>
      </c>
      <c r="F180" s="376">
        <f t="shared" si="20"/>
        <v>0</v>
      </c>
      <c r="G180" s="333">
        <f>'Sch4-Cost Savings by ECM'!T180</f>
        <v>0</v>
      </c>
      <c r="H180" s="334">
        <f>VLOOKUP("Natural Gas", 'GHG Emissions'!$D$2:$M$66,4,FALSE)+VLOOKUP("Natural Gas", 'GHG Emissions'!$D$2:$M$66,6,FALSE)*'eGRID subregion name'!$P$3+VLOOKUP("Natural Gas", 'GHG Emissions'!$D$2:$M$66,8,FALSE)*'eGRID subregion name'!$P$4</f>
        <v>53.114800000000002</v>
      </c>
      <c r="I180" s="334">
        <f t="shared" si="15"/>
        <v>0</v>
      </c>
      <c r="J180" s="333">
        <f>'Sch4-Cost Savings by ECM'!V180</f>
        <v>0</v>
      </c>
      <c r="K18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0" s="334">
        <f t="shared" si="21"/>
        <v>0</v>
      </c>
      <c r="M180" s="333">
        <f>'Sch4-Cost Savings by ECM'!X180</f>
        <v>0</v>
      </c>
      <c r="N18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0" s="334">
        <f t="shared" si="16"/>
        <v>0</v>
      </c>
      <c r="P180" s="334">
        <f t="shared" si="17"/>
        <v>0</v>
      </c>
      <c r="Q180" s="334">
        <f t="shared" si="18"/>
        <v>0</v>
      </c>
      <c r="R180" s="334">
        <f t="shared" si="19"/>
        <v>0</v>
      </c>
    </row>
    <row r="181" spans="1:18" ht="18" customHeight="1" thickBot="1">
      <c r="A181" s="40" t="str">
        <f>IF('Sch2a-Imp Price by ECM'!B182="","",'Sch2a-Imp Price by ECM'!B182)</f>
        <v/>
      </c>
      <c r="B181" s="76" t="str">
        <f>IF('Sch2a-Imp Price by ECM'!D182="","",'Sch2a-Imp Price by ECM'!D182)</f>
        <v/>
      </c>
      <c r="C181" s="331" t="s">
        <v>333</v>
      </c>
      <c r="D181" s="332">
        <f>'Sch4-Cost Savings by ECM'!P181</f>
        <v>0</v>
      </c>
      <c r="E181" s="376">
        <f>VLOOKUP(C181,'eGRID subregion name'!$A$2:$N$30,8,0)</f>
        <v>189.83531623683197</v>
      </c>
      <c r="F181" s="376">
        <f t="shared" si="20"/>
        <v>0</v>
      </c>
      <c r="G181" s="333">
        <f>'Sch4-Cost Savings by ECM'!T181</f>
        <v>0</v>
      </c>
      <c r="H181" s="334">
        <f>VLOOKUP("Natural Gas", 'GHG Emissions'!$D$2:$M$66,4,FALSE)+VLOOKUP("Natural Gas", 'GHG Emissions'!$D$2:$M$66,6,FALSE)*'eGRID subregion name'!$P$3+VLOOKUP("Natural Gas", 'GHG Emissions'!$D$2:$M$66,8,FALSE)*'eGRID subregion name'!$P$4</f>
        <v>53.114800000000002</v>
      </c>
      <c r="I181" s="334">
        <f t="shared" si="15"/>
        <v>0</v>
      </c>
      <c r="J181" s="333">
        <f>'Sch4-Cost Savings by ECM'!V181</f>
        <v>0</v>
      </c>
      <c r="K18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1" s="334">
        <f t="shared" si="21"/>
        <v>0</v>
      </c>
      <c r="M181" s="333">
        <f>'Sch4-Cost Savings by ECM'!X181</f>
        <v>0</v>
      </c>
      <c r="N18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1" s="334">
        <f t="shared" si="16"/>
        <v>0</v>
      </c>
      <c r="P181" s="334">
        <f t="shared" si="17"/>
        <v>0</v>
      </c>
      <c r="Q181" s="334">
        <f t="shared" si="18"/>
        <v>0</v>
      </c>
      <c r="R181" s="334">
        <f t="shared" si="19"/>
        <v>0</v>
      </c>
    </row>
    <row r="182" spans="1:18" ht="16.5" thickBot="1">
      <c r="A182" s="40" t="str">
        <f>IF('Sch2a-Imp Price by ECM'!B183="","",'Sch2a-Imp Price by ECM'!B183)</f>
        <v/>
      </c>
      <c r="B182" s="76" t="str">
        <f>IF('Sch2a-Imp Price by ECM'!D183="","",'Sch2a-Imp Price by ECM'!D183)</f>
        <v/>
      </c>
      <c r="C182" s="331" t="s">
        <v>333</v>
      </c>
      <c r="D182" s="332">
        <f>'Sch4-Cost Savings by ECM'!P182</f>
        <v>0</v>
      </c>
      <c r="E182" s="376">
        <f>VLOOKUP(C182,'eGRID subregion name'!$A$2:$N$30,8,0)</f>
        <v>189.83531623683197</v>
      </c>
      <c r="F182" s="376">
        <f t="shared" si="20"/>
        <v>0</v>
      </c>
      <c r="G182" s="333">
        <f>'Sch4-Cost Savings by ECM'!T182</f>
        <v>0</v>
      </c>
      <c r="H182" s="334">
        <f>VLOOKUP("Natural Gas", 'GHG Emissions'!$D$2:$M$66,4,FALSE)+VLOOKUP("Natural Gas", 'GHG Emissions'!$D$2:$M$66,6,FALSE)*'eGRID subregion name'!$P$3+VLOOKUP("Natural Gas", 'GHG Emissions'!$D$2:$M$66,8,FALSE)*'eGRID subregion name'!$P$4</f>
        <v>53.114800000000002</v>
      </c>
      <c r="I182" s="334">
        <f t="shared" si="15"/>
        <v>0</v>
      </c>
      <c r="J182" s="333">
        <f>'Sch4-Cost Savings by ECM'!V182</f>
        <v>0</v>
      </c>
      <c r="K18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2" s="334">
        <f t="shared" si="21"/>
        <v>0</v>
      </c>
      <c r="M182" s="333">
        <f>'Sch4-Cost Savings by ECM'!X182</f>
        <v>0</v>
      </c>
      <c r="N18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2" s="334">
        <f t="shared" si="16"/>
        <v>0</v>
      </c>
      <c r="P182" s="334">
        <f t="shared" si="17"/>
        <v>0</v>
      </c>
      <c r="Q182" s="334">
        <f t="shared" si="18"/>
        <v>0</v>
      </c>
      <c r="R182" s="334">
        <f t="shared" si="19"/>
        <v>0</v>
      </c>
    </row>
    <row r="183" spans="1:18" ht="16.5" thickBot="1">
      <c r="A183" s="40" t="str">
        <f>IF('Sch2a-Imp Price by ECM'!B184="","",'Sch2a-Imp Price by ECM'!B184)</f>
        <v/>
      </c>
      <c r="B183" s="76" t="str">
        <f>IF('Sch2a-Imp Price by ECM'!D184="","",'Sch2a-Imp Price by ECM'!D184)</f>
        <v/>
      </c>
      <c r="C183" s="331" t="s">
        <v>333</v>
      </c>
      <c r="D183" s="332">
        <f>'Sch4-Cost Savings by ECM'!P183</f>
        <v>0</v>
      </c>
      <c r="E183" s="376">
        <f>VLOOKUP(C183,'eGRID subregion name'!$A$2:$N$30,8,0)</f>
        <v>189.83531623683197</v>
      </c>
      <c r="F183" s="376">
        <f t="shared" si="20"/>
        <v>0</v>
      </c>
      <c r="G183" s="333">
        <f>'Sch4-Cost Savings by ECM'!T183</f>
        <v>0</v>
      </c>
      <c r="H183" s="334">
        <f>VLOOKUP("Natural Gas", 'GHG Emissions'!$D$2:$M$66,4,FALSE)+VLOOKUP("Natural Gas", 'GHG Emissions'!$D$2:$M$66,6,FALSE)*'eGRID subregion name'!$P$3+VLOOKUP("Natural Gas", 'GHG Emissions'!$D$2:$M$66,8,FALSE)*'eGRID subregion name'!$P$4</f>
        <v>53.114800000000002</v>
      </c>
      <c r="I183" s="334">
        <f t="shared" si="15"/>
        <v>0</v>
      </c>
      <c r="J183" s="333">
        <f>'Sch4-Cost Savings by ECM'!V183</f>
        <v>0</v>
      </c>
      <c r="K18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3" s="334">
        <f t="shared" si="21"/>
        <v>0</v>
      </c>
      <c r="M183" s="333">
        <f>'Sch4-Cost Savings by ECM'!X183</f>
        <v>0</v>
      </c>
      <c r="N18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3" s="334">
        <f t="shared" si="16"/>
        <v>0</v>
      </c>
      <c r="P183" s="334">
        <f t="shared" si="17"/>
        <v>0</v>
      </c>
      <c r="Q183" s="334">
        <f t="shared" si="18"/>
        <v>0</v>
      </c>
      <c r="R183" s="334">
        <f t="shared" si="19"/>
        <v>0</v>
      </c>
    </row>
    <row r="184" spans="1:18" ht="16.5" thickBot="1">
      <c r="A184" s="40" t="str">
        <f>IF('Sch2a-Imp Price by ECM'!B185="","",'Sch2a-Imp Price by ECM'!B185)</f>
        <v/>
      </c>
      <c r="B184" s="76" t="str">
        <f>IF('Sch2a-Imp Price by ECM'!D185="","",'Sch2a-Imp Price by ECM'!D185)</f>
        <v/>
      </c>
      <c r="C184" s="331" t="s">
        <v>333</v>
      </c>
      <c r="D184" s="332">
        <f>'Sch4-Cost Savings by ECM'!P184</f>
        <v>0</v>
      </c>
      <c r="E184" s="376">
        <f>VLOOKUP(C184,'eGRID subregion name'!$A$2:$N$30,8,0)</f>
        <v>189.83531623683197</v>
      </c>
      <c r="F184" s="376">
        <f t="shared" si="20"/>
        <v>0</v>
      </c>
      <c r="G184" s="333">
        <f>'Sch4-Cost Savings by ECM'!T184</f>
        <v>0</v>
      </c>
      <c r="H184" s="334">
        <f>VLOOKUP("Natural Gas", 'GHG Emissions'!$D$2:$M$66,4,FALSE)+VLOOKUP("Natural Gas", 'GHG Emissions'!$D$2:$M$66,6,FALSE)*'eGRID subregion name'!$P$3+VLOOKUP("Natural Gas", 'GHG Emissions'!$D$2:$M$66,8,FALSE)*'eGRID subregion name'!$P$4</f>
        <v>53.114800000000002</v>
      </c>
      <c r="I184" s="334">
        <f t="shared" si="15"/>
        <v>0</v>
      </c>
      <c r="J184" s="333">
        <f>'Sch4-Cost Savings by ECM'!V184</f>
        <v>0</v>
      </c>
      <c r="K18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4" s="334">
        <f t="shared" si="21"/>
        <v>0</v>
      </c>
      <c r="M184" s="333">
        <f>'Sch4-Cost Savings by ECM'!X184</f>
        <v>0</v>
      </c>
      <c r="N18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4" s="334">
        <f t="shared" si="16"/>
        <v>0</v>
      </c>
      <c r="P184" s="334">
        <f t="shared" si="17"/>
        <v>0</v>
      </c>
      <c r="Q184" s="334">
        <f t="shared" si="18"/>
        <v>0</v>
      </c>
      <c r="R184" s="334">
        <f t="shared" si="19"/>
        <v>0</v>
      </c>
    </row>
    <row r="185" spans="1:18" ht="16.5" thickBot="1">
      <c r="A185" s="40" t="str">
        <f>IF('Sch2a-Imp Price by ECM'!B186="","",'Sch2a-Imp Price by ECM'!B186)</f>
        <v/>
      </c>
      <c r="B185" s="76" t="str">
        <f>IF('Sch2a-Imp Price by ECM'!D186="","",'Sch2a-Imp Price by ECM'!D186)</f>
        <v/>
      </c>
      <c r="C185" s="331" t="s">
        <v>333</v>
      </c>
      <c r="D185" s="332">
        <f>'Sch4-Cost Savings by ECM'!P185</f>
        <v>0</v>
      </c>
      <c r="E185" s="376">
        <f>VLOOKUP(C185,'eGRID subregion name'!$A$2:$N$30,8,0)</f>
        <v>189.83531623683197</v>
      </c>
      <c r="F185" s="376">
        <f t="shared" si="20"/>
        <v>0</v>
      </c>
      <c r="G185" s="333">
        <f>'Sch4-Cost Savings by ECM'!T185</f>
        <v>0</v>
      </c>
      <c r="H185" s="334">
        <f>VLOOKUP("Natural Gas", 'GHG Emissions'!$D$2:$M$66,4,FALSE)+VLOOKUP("Natural Gas", 'GHG Emissions'!$D$2:$M$66,6,FALSE)*'eGRID subregion name'!$P$3+VLOOKUP("Natural Gas", 'GHG Emissions'!$D$2:$M$66,8,FALSE)*'eGRID subregion name'!$P$4</f>
        <v>53.114800000000002</v>
      </c>
      <c r="I185" s="334">
        <f t="shared" si="15"/>
        <v>0</v>
      </c>
      <c r="J185" s="333">
        <f>'Sch4-Cost Savings by ECM'!V185</f>
        <v>0</v>
      </c>
      <c r="K18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5" s="334">
        <f t="shared" si="21"/>
        <v>0</v>
      </c>
      <c r="M185" s="333">
        <f>'Sch4-Cost Savings by ECM'!X185</f>
        <v>0</v>
      </c>
      <c r="N18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5" s="334">
        <f t="shared" si="16"/>
        <v>0</v>
      </c>
      <c r="P185" s="334">
        <f t="shared" si="17"/>
        <v>0</v>
      </c>
      <c r="Q185" s="334">
        <f t="shared" si="18"/>
        <v>0</v>
      </c>
      <c r="R185" s="334">
        <f t="shared" si="19"/>
        <v>0</v>
      </c>
    </row>
    <row r="186" spans="1:18" ht="16.5" thickBot="1">
      <c r="A186" s="40" t="str">
        <f>IF('Sch2a-Imp Price by ECM'!B187="","",'Sch2a-Imp Price by ECM'!B187)</f>
        <v/>
      </c>
      <c r="B186" s="76" t="str">
        <f>IF('Sch2a-Imp Price by ECM'!D187="","",'Sch2a-Imp Price by ECM'!D187)</f>
        <v/>
      </c>
      <c r="C186" s="331" t="s">
        <v>333</v>
      </c>
      <c r="D186" s="332">
        <f>'Sch4-Cost Savings by ECM'!P186</f>
        <v>0</v>
      </c>
      <c r="E186" s="376">
        <f>VLOOKUP(C186,'eGRID subregion name'!$A$2:$N$30,8,0)</f>
        <v>189.83531623683197</v>
      </c>
      <c r="F186" s="376">
        <f t="shared" si="20"/>
        <v>0</v>
      </c>
      <c r="G186" s="333">
        <f>'Sch4-Cost Savings by ECM'!T186</f>
        <v>0</v>
      </c>
      <c r="H186" s="334">
        <f>VLOOKUP("Natural Gas", 'GHG Emissions'!$D$2:$M$66,4,FALSE)+VLOOKUP("Natural Gas", 'GHG Emissions'!$D$2:$M$66,6,FALSE)*'eGRID subregion name'!$P$3+VLOOKUP("Natural Gas", 'GHG Emissions'!$D$2:$M$66,8,FALSE)*'eGRID subregion name'!$P$4</f>
        <v>53.114800000000002</v>
      </c>
      <c r="I186" s="334">
        <f t="shared" si="15"/>
        <v>0</v>
      </c>
      <c r="J186" s="333">
        <f>'Sch4-Cost Savings by ECM'!V186</f>
        <v>0</v>
      </c>
      <c r="K18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6" s="334">
        <f t="shared" si="21"/>
        <v>0</v>
      </c>
      <c r="M186" s="333">
        <f>'Sch4-Cost Savings by ECM'!X186</f>
        <v>0</v>
      </c>
      <c r="N18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6" s="334">
        <f t="shared" si="16"/>
        <v>0</v>
      </c>
      <c r="P186" s="334">
        <f t="shared" si="17"/>
        <v>0</v>
      </c>
      <c r="Q186" s="334">
        <f t="shared" si="18"/>
        <v>0</v>
      </c>
      <c r="R186" s="334">
        <f t="shared" si="19"/>
        <v>0</v>
      </c>
    </row>
    <row r="187" spans="1:18" ht="16.5" thickBot="1">
      <c r="A187" s="40" t="str">
        <f>IF('Sch2a-Imp Price by ECM'!B188="","",'Sch2a-Imp Price by ECM'!B188)</f>
        <v/>
      </c>
      <c r="B187" s="76" t="str">
        <f>IF('Sch2a-Imp Price by ECM'!D188="","",'Sch2a-Imp Price by ECM'!D188)</f>
        <v/>
      </c>
      <c r="C187" s="331" t="s">
        <v>333</v>
      </c>
      <c r="D187" s="332">
        <f>'Sch4-Cost Savings by ECM'!P187</f>
        <v>0</v>
      </c>
      <c r="E187" s="376">
        <f>VLOOKUP(C187,'eGRID subregion name'!$A$2:$N$30,8,0)</f>
        <v>189.83531623683197</v>
      </c>
      <c r="F187" s="376">
        <f t="shared" si="20"/>
        <v>0</v>
      </c>
      <c r="G187" s="333">
        <f>'Sch4-Cost Savings by ECM'!T187</f>
        <v>0</v>
      </c>
      <c r="H187" s="334">
        <f>VLOOKUP("Natural Gas", 'GHG Emissions'!$D$2:$M$66,4,FALSE)+VLOOKUP("Natural Gas", 'GHG Emissions'!$D$2:$M$66,6,FALSE)*'eGRID subregion name'!$P$3+VLOOKUP("Natural Gas", 'GHG Emissions'!$D$2:$M$66,8,FALSE)*'eGRID subregion name'!$P$4</f>
        <v>53.114800000000002</v>
      </c>
      <c r="I187" s="334">
        <f t="shared" si="15"/>
        <v>0</v>
      </c>
      <c r="J187" s="333">
        <f>'Sch4-Cost Savings by ECM'!V187</f>
        <v>0</v>
      </c>
      <c r="K18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7" s="334">
        <f t="shared" si="21"/>
        <v>0</v>
      </c>
      <c r="M187" s="333">
        <f>'Sch4-Cost Savings by ECM'!X187</f>
        <v>0</v>
      </c>
      <c r="N18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7" s="334">
        <f t="shared" si="16"/>
        <v>0</v>
      </c>
      <c r="P187" s="334">
        <f t="shared" si="17"/>
        <v>0</v>
      </c>
      <c r="Q187" s="334">
        <f t="shared" si="18"/>
        <v>0</v>
      </c>
      <c r="R187" s="334">
        <f t="shared" si="19"/>
        <v>0</v>
      </c>
    </row>
    <row r="188" spans="1:18" ht="16.5" thickBot="1">
      <c r="A188" s="40" t="str">
        <f>IF('Sch2a-Imp Price by ECM'!B189="","",'Sch2a-Imp Price by ECM'!B189)</f>
        <v/>
      </c>
      <c r="B188" s="76" t="str">
        <f>IF('Sch2a-Imp Price by ECM'!D189="","",'Sch2a-Imp Price by ECM'!D189)</f>
        <v/>
      </c>
      <c r="C188" s="331" t="s">
        <v>333</v>
      </c>
      <c r="D188" s="332">
        <f>'Sch4-Cost Savings by ECM'!P188</f>
        <v>0</v>
      </c>
      <c r="E188" s="376">
        <f>VLOOKUP(C188,'eGRID subregion name'!$A$2:$N$30,8,0)</f>
        <v>189.83531623683197</v>
      </c>
      <c r="F188" s="376">
        <f t="shared" si="20"/>
        <v>0</v>
      </c>
      <c r="G188" s="333">
        <f>'Sch4-Cost Savings by ECM'!T188</f>
        <v>0</v>
      </c>
      <c r="H188" s="334">
        <f>VLOOKUP("Natural Gas", 'GHG Emissions'!$D$2:$M$66,4,FALSE)+VLOOKUP("Natural Gas", 'GHG Emissions'!$D$2:$M$66,6,FALSE)*'eGRID subregion name'!$P$3+VLOOKUP("Natural Gas", 'GHG Emissions'!$D$2:$M$66,8,FALSE)*'eGRID subregion name'!$P$4</f>
        <v>53.114800000000002</v>
      </c>
      <c r="I188" s="334">
        <f t="shared" si="15"/>
        <v>0</v>
      </c>
      <c r="J188" s="333">
        <f>'Sch4-Cost Savings by ECM'!V188</f>
        <v>0</v>
      </c>
      <c r="K18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8" s="334">
        <f t="shared" si="21"/>
        <v>0</v>
      </c>
      <c r="M188" s="333">
        <f>'Sch4-Cost Savings by ECM'!X188</f>
        <v>0</v>
      </c>
      <c r="N18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8" s="334">
        <f t="shared" si="16"/>
        <v>0</v>
      </c>
      <c r="P188" s="334">
        <f t="shared" si="17"/>
        <v>0</v>
      </c>
      <c r="Q188" s="334">
        <f t="shared" si="18"/>
        <v>0</v>
      </c>
      <c r="R188" s="334">
        <f t="shared" si="19"/>
        <v>0</v>
      </c>
    </row>
    <row r="189" spans="1:18" ht="16.5" thickBot="1">
      <c r="A189" s="40" t="str">
        <f>IF('Sch2a-Imp Price by ECM'!B190="","",'Sch2a-Imp Price by ECM'!B190)</f>
        <v/>
      </c>
      <c r="B189" s="76" t="str">
        <f>IF('Sch2a-Imp Price by ECM'!D190="","",'Sch2a-Imp Price by ECM'!D190)</f>
        <v/>
      </c>
      <c r="C189" s="331" t="s">
        <v>333</v>
      </c>
      <c r="D189" s="332">
        <f>'Sch4-Cost Savings by ECM'!P189</f>
        <v>0</v>
      </c>
      <c r="E189" s="376">
        <f>VLOOKUP(C189,'eGRID subregion name'!$A$2:$N$30,8,0)</f>
        <v>189.83531623683197</v>
      </c>
      <c r="F189" s="376">
        <f t="shared" si="20"/>
        <v>0</v>
      </c>
      <c r="G189" s="333">
        <f>'Sch4-Cost Savings by ECM'!T189</f>
        <v>0</v>
      </c>
      <c r="H189" s="334">
        <f>VLOOKUP("Natural Gas", 'GHG Emissions'!$D$2:$M$66,4,FALSE)+VLOOKUP("Natural Gas", 'GHG Emissions'!$D$2:$M$66,6,FALSE)*'eGRID subregion name'!$P$3+VLOOKUP("Natural Gas", 'GHG Emissions'!$D$2:$M$66,8,FALSE)*'eGRID subregion name'!$P$4</f>
        <v>53.114800000000002</v>
      </c>
      <c r="I189" s="334">
        <f t="shared" si="15"/>
        <v>0</v>
      </c>
      <c r="J189" s="333">
        <f>'Sch4-Cost Savings by ECM'!V189</f>
        <v>0</v>
      </c>
      <c r="K18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89" s="334">
        <f t="shared" si="21"/>
        <v>0</v>
      </c>
      <c r="M189" s="333">
        <f>'Sch4-Cost Savings by ECM'!X189</f>
        <v>0</v>
      </c>
      <c r="N18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89" s="334">
        <f t="shared" si="16"/>
        <v>0</v>
      </c>
      <c r="P189" s="334">
        <f t="shared" si="17"/>
        <v>0</v>
      </c>
      <c r="Q189" s="334">
        <f t="shared" si="18"/>
        <v>0</v>
      </c>
      <c r="R189" s="334">
        <f t="shared" si="19"/>
        <v>0</v>
      </c>
    </row>
    <row r="190" spans="1:18" ht="16.5" thickBot="1">
      <c r="A190" s="40" t="str">
        <f>IF('Sch2a-Imp Price by ECM'!B191="","",'Sch2a-Imp Price by ECM'!B191)</f>
        <v/>
      </c>
      <c r="B190" s="76" t="str">
        <f>IF('Sch2a-Imp Price by ECM'!D191="","",'Sch2a-Imp Price by ECM'!D191)</f>
        <v/>
      </c>
      <c r="C190" s="331" t="s">
        <v>333</v>
      </c>
      <c r="D190" s="332">
        <f>'Sch4-Cost Savings by ECM'!P190</f>
        <v>0</v>
      </c>
      <c r="E190" s="376">
        <f>VLOOKUP(C190,'eGRID subregion name'!$A$2:$N$30,8,0)</f>
        <v>189.83531623683197</v>
      </c>
      <c r="F190" s="376">
        <f t="shared" si="20"/>
        <v>0</v>
      </c>
      <c r="G190" s="333">
        <f>'Sch4-Cost Savings by ECM'!T190</f>
        <v>0</v>
      </c>
      <c r="H190" s="334">
        <f>VLOOKUP("Natural Gas", 'GHG Emissions'!$D$2:$M$66,4,FALSE)+VLOOKUP("Natural Gas", 'GHG Emissions'!$D$2:$M$66,6,FALSE)*'eGRID subregion name'!$P$3+VLOOKUP("Natural Gas", 'GHG Emissions'!$D$2:$M$66,8,FALSE)*'eGRID subregion name'!$P$4</f>
        <v>53.114800000000002</v>
      </c>
      <c r="I190" s="334">
        <f t="shared" si="15"/>
        <v>0</v>
      </c>
      <c r="J190" s="333">
        <f>'Sch4-Cost Savings by ECM'!V190</f>
        <v>0</v>
      </c>
      <c r="K19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0" s="334">
        <f t="shared" si="21"/>
        <v>0</v>
      </c>
      <c r="M190" s="333">
        <f>'Sch4-Cost Savings by ECM'!X190</f>
        <v>0</v>
      </c>
      <c r="N19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0" s="334">
        <f t="shared" si="16"/>
        <v>0</v>
      </c>
      <c r="P190" s="334">
        <f t="shared" si="17"/>
        <v>0</v>
      </c>
      <c r="Q190" s="334">
        <f t="shared" si="18"/>
        <v>0</v>
      </c>
      <c r="R190" s="334">
        <f t="shared" si="19"/>
        <v>0</v>
      </c>
    </row>
    <row r="191" spans="1:18" ht="16.5" thickBot="1">
      <c r="A191" s="40" t="str">
        <f>IF('Sch2a-Imp Price by ECM'!B192="","",'Sch2a-Imp Price by ECM'!B192)</f>
        <v/>
      </c>
      <c r="B191" s="76" t="str">
        <f>IF('Sch2a-Imp Price by ECM'!D192="","",'Sch2a-Imp Price by ECM'!D192)</f>
        <v/>
      </c>
      <c r="C191" s="331" t="s">
        <v>333</v>
      </c>
      <c r="D191" s="332">
        <f>'Sch4-Cost Savings by ECM'!P191</f>
        <v>0</v>
      </c>
      <c r="E191" s="376">
        <f>VLOOKUP(C191,'eGRID subregion name'!$A$2:$N$30,8,0)</f>
        <v>189.83531623683197</v>
      </c>
      <c r="F191" s="376">
        <f t="shared" si="20"/>
        <v>0</v>
      </c>
      <c r="G191" s="333">
        <f>'Sch4-Cost Savings by ECM'!T191</f>
        <v>0</v>
      </c>
      <c r="H191" s="334">
        <f>VLOOKUP("Natural Gas", 'GHG Emissions'!$D$2:$M$66,4,FALSE)+VLOOKUP("Natural Gas", 'GHG Emissions'!$D$2:$M$66,6,FALSE)*'eGRID subregion name'!$P$3+VLOOKUP("Natural Gas", 'GHG Emissions'!$D$2:$M$66,8,FALSE)*'eGRID subregion name'!$P$4</f>
        <v>53.114800000000002</v>
      </c>
      <c r="I191" s="334">
        <f t="shared" si="15"/>
        <v>0</v>
      </c>
      <c r="J191" s="333">
        <f>'Sch4-Cost Savings by ECM'!V191</f>
        <v>0</v>
      </c>
      <c r="K19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1" s="334">
        <f t="shared" si="21"/>
        <v>0</v>
      </c>
      <c r="M191" s="333">
        <f>'Sch4-Cost Savings by ECM'!X191</f>
        <v>0</v>
      </c>
      <c r="N19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1" s="334">
        <f t="shared" si="16"/>
        <v>0</v>
      </c>
      <c r="P191" s="334">
        <f t="shared" si="17"/>
        <v>0</v>
      </c>
      <c r="Q191" s="334">
        <f t="shared" si="18"/>
        <v>0</v>
      </c>
      <c r="R191" s="334">
        <f t="shared" si="19"/>
        <v>0</v>
      </c>
    </row>
    <row r="192" spans="1:18" ht="16.5" thickBot="1">
      <c r="A192" s="40" t="str">
        <f>IF('Sch2a-Imp Price by ECM'!B193="","",'Sch2a-Imp Price by ECM'!B193)</f>
        <v/>
      </c>
      <c r="B192" s="76" t="str">
        <f>IF('Sch2a-Imp Price by ECM'!D193="","",'Sch2a-Imp Price by ECM'!D193)</f>
        <v/>
      </c>
      <c r="C192" s="331" t="s">
        <v>333</v>
      </c>
      <c r="D192" s="332">
        <f>'Sch4-Cost Savings by ECM'!P192</f>
        <v>0</v>
      </c>
      <c r="E192" s="376">
        <f>VLOOKUP(C192,'eGRID subregion name'!$A$2:$N$30,8,0)</f>
        <v>189.83531623683197</v>
      </c>
      <c r="F192" s="376">
        <f t="shared" si="20"/>
        <v>0</v>
      </c>
      <c r="G192" s="333">
        <f>'Sch4-Cost Savings by ECM'!T192</f>
        <v>0</v>
      </c>
      <c r="H192" s="334">
        <f>VLOOKUP("Natural Gas", 'GHG Emissions'!$D$2:$M$66,4,FALSE)+VLOOKUP("Natural Gas", 'GHG Emissions'!$D$2:$M$66,6,FALSE)*'eGRID subregion name'!$P$3+VLOOKUP("Natural Gas", 'GHG Emissions'!$D$2:$M$66,8,FALSE)*'eGRID subregion name'!$P$4</f>
        <v>53.114800000000002</v>
      </c>
      <c r="I192" s="334">
        <f t="shared" si="15"/>
        <v>0</v>
      </c>
      <c r="J192" s="333">
        <f>'Sch4-Cost Savings by ECM'!V192</f>
        <v>0</v>
      </c>
      <c r="K19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2" s="334">
        <f t="shared" si="21"/>
        <v>0</v>
      </c>
      <c r="M192" s="333">
        <f>'Sch4-Cost Savings by ECM'!X192</f>
        <v>0</v>
      </c>
      <c r="N19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2" s="334">
        <f t="shared" si="16"/>
        <v>0</v>
      </c>
      <c r="P192" s="334">
        <f t="shared" si="17"/>
        <v>0</v>
      </c>
      <c r="Q192" s="334">
        <f t="shared" si="18"/>
        <v>0</v>
      </c>
      <c r="R192" s="334">
        <f t="shared" si="19"/>
        <v>0</v>
      </c>
    </row>
    <row r="193" spans="1:18" ht="16.5" thickBot="1">
      <c r="A193" s="40" t="str">
        <f>IF('Sch2a-Imp Price by ECM'!B194="","",'Sch2a-Imp Price by ECM'!B194)</f>
        <v/>
      </c>
      <c r="B193" s="76" t="str">
        <f>IF('Sch2a-Imp Price by ECM'!D194="","",'Sch2a-Imp Price by ECM'!D194)</f>
        <v/>
      </c>
      <c r="C193" s="331" t="s">
        <v>333</v>
      </c>
      <c r="D193" s="332">
        <f>'Sch4-Cost Savings by ECM'!P193</f>
        <v>0</v>
      </c>
      <c r="E193" s="376">
        <f>VLOOKUP(C193,'eGRID subregion name'!$A$2:$N$30,8,0)</f>
        <v>189.83531623683197</v>
      </c>
      <c r="F193" s="376">
        <f t="shared" si="20"/>
        <v>0</v>
      </c>
      <c r="G193" s="333">
        <f>'Sch4-Cost Savings by ECM'!T193</f>
        <v>0</v>
      </c>
      <c r="H193" s="334">
        <f>VLOOKUP("Natural Gas", 'GHG Emissions'!$D$2:$M$66,4,FALSE)+VLOOKUP("Natural Gas", 'GHG Emissions'!$D$2:$M$66,6,FALSE)*'eGRID subregion name'!$P$3+VLOOKUP("Natural Gas", 'GHG Emissions'!$D$2:$M$66,8,FALSE)*'eGRID subregion name'!$P$4</f>
        <v>53.114800000000002</v>
      </c>
      <c r="I193" s="334">
        <f t="shared" si="15"/>
        <v>0</v>
      </c>
      <c r="J193" s="333">
        <f>'Sch4-Cost Savings by ECM'!V193</f>
        <v>0</v>
      </c>
      <c r="K19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3" s="334">
        <f t="shared" si="21"/>
        <v>0</v>
      </c>
      <c r="M193" s="333">
        <f>'Sch4-Cost Savings by ECM'!X193</f>
        <v>0</v>
      </c>
      <c r="N19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3" s="334">
        <f t="shared" si="16"/>
        <v>0</v>
      </c>
      <c r="P193" s="334">
        <f t="shared" si="17"/>
        <v>0</v>
      </c>
      <c r="Q193" s="334">
        <f t="shared" si="18"/>
        <v>0</v>
      </c>
      <c r="R193" s="334">
        <f t="shared" si="19"/>
        <v>0</v>
      </c>
    </row>
    <row r="194" spans="1:18" ht="16.5" thickBot="1">
      <c r="A194" s="40" t="str">
        <f>IF('Sch2a-Imp Price by ECM'!B195="","",'Sch2a-Imp Price by ECM'!B195)</f>
        <v/>
      </c>
      <c r="B194" s="76" t="str">
        <f>IF('Sch2a-Imp Price by ECM'!D195="","",'Sch2a-Imp Price by ECM'!D195)</f>
        <v/>
      </c>
      <c r="C194" s="331" t="s">
        <v>333</v>
      </c>
      <c r="D194" s="332">
        <f>'Sch4-Cost Savings by ECM'!P194</f>
        <v>0</v>
      </c>
      <c r="E194" s="376">
        <f>VLOOKUP(C194,'eGRID subregion name'!$A$2:$N$30,8,0)</f>
        <v>189.83531623683197</v>
      </c>
      <c r="F194" s="376">
        <f t="shared" si="20"/>
        <v>0</v>
      </c>
      <c r="G194" s="333">
        <f>'Sch4-Cost Savings by ECM'!T194</f>
        <v>0</v>
      </c>
      <c r="H194" s="334">
        <f>VLOOKUP("Natural Gas", 'GHG Emissions'!$D$2:$M$66,4,FALSE)+VLOOKUP("Natural Gas", 'GHG Emissions'!$D$2:$M$66,6,FALSE)*'eGRID subregion name'!$P$3+VLOOKUP("Natural Gas", 'GHG Emissions'!$D$2:$M$66,8,FALSE)*'eGRID subregion name'!$P$4</f>
        <v>53.114800000000002</v>
      </c>
      <c r="I194" s="334">
        <f t="shared" si="15"/>
        <v>0</v>
      </c>
      <c r="J194" s="333">
        <f>'Sch4-Cost Savings by ECM'!V194</f>
        <v>0</v>
      </c>
      <c r="K19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4" s="334">
        <f t="shared" si="21"/>
        <v>0</v>
      </c>
      <c r="M194" s="333">
        <f>'Sch4-Cost Savings by ECM'!X194</f>
        <v>0</v>
      </c>
      <c r="N19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4" s="334">
        <f t="shared" si="16"/>
        <v>0</v>
      </c>
      <c r="P194" s="334">
        <f t="shared" si="17"/>
        <v>0</v>
      </c>
      <c r="Q194" s="334">
        <f t="shared" si="18"/>
        <v>0</v>
      </c>
      <c r="R194" s="334">
        <f t="shared" si="19"/>
        <v>0</v>
      </c>
    </row>
    <row r="195" spans="1:18" ht="16.5" thickBot="1">
      <c r="A195" s="40" t="str">
        <f>IF('Sch2a-Imp Price by ECM'!B196="","",'Sch2a-Imp Price by ECM'!B196)</f>
        <v/>
      </c>
      <c r="B195" s="76" t="str">
        <f>IF('Sch2a-Imp Price by ECM'!D196="","",'Sch2a-Imp Price by ECM'!D196)</f>
        <v/>
      </c>
      <c r="C195" s="331" t="s">
        <v>333</v>
      </c>
      <c r="D195" s="332">
        <f>'Sch4-Cost Savings by ECM'!P195</f>
        <v>0</v>
      </c>
      <c r="E195" s="376">
        <f>VLOOKUP(C195,'eGRID subregion name'!$A$2:$N$30,8,0)</f>
        <v>189.83531623683197</v>
      </c>
      <c r="F195" s="376">
        <f t="shared" si="20"/>
        <v>0</v>
      </c>
      <c r="G195" s="333">
        <f>'Sch4-Cost Savings by ECM'!T195</f>
        <v>0</v>
      </c>
      <c r="H195" s="334">
        <f>VLOOKUP("Natural Gas", 'GHG Emissions'!$D$2:$M$66,4,FALSE)+VLOOKUP("Natural Gas", 'GHG Emissions'!$D$2:$M$66,6,FALSE)*'eGRID subregion name'!$P$3+VLOOKUP("Natural Gas", 'GHG Emissions'!$D$2:$M$66,8,FALSE)*'eGRID subregion name'!$P$4</f>
        <v>53.114800000000002</v>
      </c>
      <c r="I195" s="334">
        <f t="shared" si="15"/>
        <v>0</v>
      </c>
      <c r="J195" s="333">
        <f>'Sch4-Cost Savings by ECM'!V195</f>
        <v>0</v>
      </c>
      <c r="K19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5" s="334">
        <f t="shared" si="21"/>
        <v>0</v>
      </c>
      <c r="M195" s="333">
        <f>'Sch4-Cost Savings by ECM'!X195</f>
        <v>0</v>
      </c>
      <c r="N19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5" s="334">
        <f t="shared" si="16"/>
        <v>0</v>
      </c>
      <c r="P195" s="334">
        <f t="shared" si="17"/>
        <v>0</v>
      </c>
      <c r="Q195" s="334">
        <f t="shared" si="18"/>
        <v>0</v>
      </c>
      <c r="R195" s="334">
        <f t="shared" si="19"/>
        <v>0</v>
      </c>
    </row>
    <row r="196" spans="1:18" ht="16.5" thickBot="1">
      <c r="A196" s="40" t="str">
        <f>IF('Sch2a-Imp Price by ECM'!B197="","",'Sch2a-Imp Price by ECM'!B197)</f>
        <v/>
      </c>
      <c r="B196" s="76" t="str">
        <f>IF('Sch2a-Imp Price by ECM'!D197="","",'Sch2a-Imp Price by ECM'!D197)</f>
        <v/>
      </c>
      <c r="C196" s="331" t="s">
        <v>333</v>
      </c>
      <c r="D196" s="332">
        <f>'Sch4-Cost Savings by ECM'!P196</f>
        <v>0</v>
      </c>
      <c r="E196" s="376">
        <f>VLOOKUP(C196,'eGRID subregion name'!$A$2:$N$30,8,0)</f>
        <v>189.83531623683197</v>
      </c>
      <c r="F196" s="376">
        <f t="shared" si="20"/>
        <v>0</v>
      </c>
      <c r="G196" s="333">
        <f>'Sch4-Cost Savings by ECM'!T196</f>
        <v>0</v>
      </c>
      <c r="H196" s="334">
        <f>VLOOKUP("Natural Gas", 'GHG Emissions'!$D$2:$M$66,4,FALSE)+VLOOKUP("Natural Gas", 'GHG Emissions'!$D$2:$M$66,6,FALSE)*'eGRID subregion name'!$P$3+VLOOKUP("Natural Gas", 'GHG Emissions'!$D$2:$M$66,8,FALSE)*'eGRID subregion name'!$P$4</f>
        <v>53.114800000000002</v>
      </c>
      <c r="I196" s="334">
        <f t="shared" si="15"/>
        <v>0</v>
      </c>
      <c r="J196" s="333">
        <f>'Sch4-Cost Savings by ECM'!V196</f>
        <v>0</v>
      </c>
      <c r="K19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6" s="334">
        <f t="shared" si="21"/>
        <v>0</v>
      </c>
      <c r="M196" s="333">
        <f>'Sch4-Cost Savings by ECM'!X196</f>
        <v>0</v>
      </c>
      <c r="N19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6" s="334">
        <f t="shared" si="16"/>
        <v>0</v>
      </c>
      <c r="P196" s="334">
        <f t="shared" si="17"/>
        <v>0</v>
      </c>
      <c r="Q196" s="334">
        <f t="shared" si="18"/>
        <v>0</v>
      </c>
      <c r="R196" s="334">
        <f t="shared" si="19"/>
        <v>0</v>
      </c>
    </row>
    <row r="197" spans="1:18" ht="16.5" thickBot="1">
      <c r="A197" s="40" t="str">
        <f>IF('Sch2a-Imp Price by ECM'!B198="","",'Sch2a-Imp Price by ECM'!B198)</f>
        <v/>
      </c>
      <c r="B197" s="76" t="str">
        <f>IF('Sch2a-Imp Price by ECM'!D198="","",'Sch2a-Imp Price by ECM'!D198)</f>
        <v/>
      </c>
      <c r="C197" s="331" t="s">
        <v>333</v>
      </c>
      <c r="D197" s="332">
        <f>'Sch4-Cost Savings by ECM'!P197</f>
        <v>0</v>
      </c>
      <c r="E197" s="376">
        <f>VLOOKUP(C197,'eGRID subregion name'!$A$2:$N$30,8,0)</f>
        <v>189.83531623683197</v>
      </c>
      <c r="F197" s="376">
        <f t="shared" si="20"/>
        <v>0</v>
      </c>
      <c r="G197" s="333">
        <f>'Sch4-Cost Savings by ECM'!T197</f>
        <v>0</v>
      </c>
      <c r="H197" s="334">
        <f>VLOOKUP("Natural Gas", 'GHG Emissions'!$D$2:$M$66,4,FALSE)+VLOOKUP("Natural Gas", 'GHG Emissions'!$D$2:$M$66,6,FALSE)*'eGRID subregion name'!$P$3+VLOOKUP("Natural Gas", 'GHG Emissions'!$D$2:$M$66,8,FALSE)*'eGRID subregion name'!$P$4</f>
        <v>53.114800000000002</v>
      </c>
      <c r="I197" s="334">
        <f t="shared" si="15"/>
        <v>0</v>
      </c>
      <c r="J197" s="333">
        <f>'Sch4-Cost Savings by ECM'!V197</f>
        <v>0</v>
      </c>
      <c r="K19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7" s="334">
        <f t="shared" si="21"/>
        <v>0</v>
      </c>
      <c r="M197" s="333">
        <f>'Sch4-Cost Savings by ECM'!X197</f>
        <v>0</v>
      </c>
      <c r="N19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7" s="334">
        <f t="shared" si="16"/>
        <v>0</v>
      </c>
      <c r="P197" s="334">
        <f t="shared" si="17"/>
        <v>0</v>
      </c>
      <c r="Q197" s="334">
        <f t="shared" si="18"/>
        <v>0</v>
      </c>
      <c r="R197" s="334">
        <f t="shared" si="19"/>
        <v>0</v>
      </c>
    </row>
    <row r="198" spans="1:18" ht="16.5" thickBot="1">
      <c r="A198" s="40" t="str">
        <f>IF('Sch2a-Imp Price by ECM'!B199="","",'Sch2a-Imp Price by ECM'!B199)</f>
        <v/>
      </c>
      <c r="B198" s="76" t="str">
        <f>IF('Sch2a-Imp Price by ECM'!D199="","",'Sch2a-Imp Price by ECM'!D199)</f>
        <v/>
      </c>
      <c r="C198" s="331" t="s">
        <v>333</v>
      </c>
      <c r="D198" s="332">
        <f>'Sch4-Cost Savings by ECM'!P198</f>
        <v>0</v>
      </c>
      <c r="E198" s="376">
        <f>VLOOKUP(C198,'eGRID subregion name'!$A$2:$N$30,8,0)</f>
        <v>189.83531623683197</v>
      </c>
      <c r="F198" s="376">
        <f t="shared" si="20"/>
        <v>0</v>
      </c>
      <c r="G198" s="333">
        <f>'Sch4-Cost Savings by ECM'!T198</f>
        <v>0</v>
      </c>
      <c r="H198" s="334">
        <f>VLOOKUP("Natural Gas", 'GHG Emissions'!$D$2:$M$66,4,FALSE)+VLOOKUP("Natural Gas", 'GHG Emissions'!$D$2:$M$66,6,FALSE)*'eGRID subregion name'!$P$3+VLOOKUP("Natural Gas", 'GHG Emissions'!$D$2:$M$66,8,FALSE)*'eGRID subregion name'!$P$4</f>
        <v>53.114800000000002</v>
      </c>
      <c r="I198" s="334">
        <f t="shared" si="15"/>
        <v>0</v>
      </c>
      <c r="J198" s="333">
        <f>'Sch4-Cost Savings by ECM'!V198</f>
        <v>0</v>
      </c>
      <c r="K19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8" s="334">
        <f t="shared" si="21"/>
        <v>0</v>
      </c>
      <c r="M198" s="333">
        <f>'Sch4-Cost Savings by ECM'!X198</f>
        <v>0</v>
      </c>
      <c r="N19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8" s="334">
        <f t="shared" si="16"/>
        <v>0</v>
      </c>
      <c r="P198" s="334">
        <f t="shared" si="17"/>
        <v>0</v>
      </c>
      <c r="Q198" s="334">
        <f t="shared" si="18"/>
        <v>0</v>
      </c>
      <c r="R198" s="334">
        <f t="shared" si="19"/>
        <v>0</v>
      </c>
    </row>
    <row r="199" spans="1:18" ht="16.5" thickBot="1">
      <c r="A199" s="40" t="str">
        <f>IF('Sch2a-Imp Price by ECM'!B200="","",'Sch2a-Imp Price by ECM'!B200)</f>
        <v/>
      </c>
      <c r="B199" s="76" t="str">
        <f>IF('Sch2a-Imp Price by ECM'!D200="","",'Sch2a-Imp Price by ECM'!D200)</f>
        <v/>
      </c>
      <c r="C199" s="331" t="s">
        <v>333</v>
      </c>
      <c r="D199" s="332">
        <f>'Sch4-Cost Savings by ECM'!P199</f>
        <v>0</v>
      </c>
      <c r="E199" s="376">
        <f>VLOOKUP(C199,'eGRID subregion name'!$A$2:$N$30,8,0)</f>
        <v>189.83531623683197</v>
      </c>
      <c r="F199" s="376">
        <f t="shared" si="20"/>
        <v>0</v>
      </c>
      <c r="G199" s="333">
        <f>'Sch4-Cost Savings by ECM'!T199</f>
        <v>0</v>
      </c>
      <c r="H199" s="334">
        <f>VLOOKUP("Natural Gas", 'GHG Emissions'!$D$2:$M$66,4,FALSE)+VLOOKUP("Natural Gas", 'GHG Emissions'!$D$2:$M$66,6,FALSE)*'eGRID subregion name'!$P$3+VLOOKUP("Natural Gas", 'GHG Emissions'!$D$2:$M$66,8,FALSE)*'eGRID subregion name'!$P$4</f>
        <v>53.114800000000002</v>
      </c>
      <c r="I199" s="334">
        <f t="shared" si="15"/>
        <v>0</v>
      </c>
      <c r="J199" s="333">
        <f>'Sch4-Cost Savings by ECM'!V199</f>
        <v>0</v>
      </c>
      <c r="K19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199" s="334">
        <f t="shared" si="21"/>
        <v>0</v>
      </c>
      <c r="M199" s="333">
        <f>'Sch4-Cost Savings by ECM'!X199</f>
        <v>0</v>
      </c>
      <c r="N19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199" s="334">
        <f t="shared" si="16"/>
        <v>0</v>
      </c>
      <c r="P199" s="334">
        <f t="shared" si="17"/>
        <v>0</v>
      </c>
      <c r="Q199" s="334">
        <f t="shared" si="18"/>
        <v>0</v>
      </c>
      <c r="R199" s="334">
        <f t="shared" si="19"/>
        <v>0</v>
      </c>
    </row>
    <row r="200" spans="1:18" ht="16.5" thickBot="1">
      <c r="A200" s="40" t="str">
        <f>IF('Sch2a-Imp Price by ECM'!B201="","",'Sch2a-Imp Price by ECM'!B201)</f>
        <v/>
      </c>
      <c r="B200" s="76" t="str">
        <f>IF('Sch2a-Imp Price by ECM'!D201="","",'Sch2a-Imp Price by ECM'!D201)</f>
        <v/>
      </c>
      <c r="C200" s="331" t="s">
        <v>333</v>
      </c>
      <c r="D200" s="332">
        <f>'Sch4-Cost Savings by ECM'!P200</f>
        <v>0</v>
      </c>
      <c r="E200" s="376">
        <f>VLOOKUP(C200,'eGRID subregion name'!$A$2:$N$30,8,0)</f>
        <v>189.83531623683197</v>
      </c>
      <c r="F200" s="376">
        <f t="shared" si="20"/>
        <v>0</v>
      </c>
      <c r="G200" s="333">
        <f>'Sch4-Cost Savings by ECM'!T200</f>
        <v>0</v>
      </c>
      <c r="H200" s="334">
        <f>VLOOKUP("Natural Gas", 'GHG Emissions'!$D$2:$M$66,4,FALSE)+VLOOKUP("Natural Gas", 'GHG Emissions'!$D$2:$M$66,6,FALSE)*'eGRID subregion name'!$P$3+VLOOKUP("Natural Gas", 'GHG Emissions'!$D$2:$M$66,8,FALSE)*'eGRID subregion name'!$P$4</f>
        <v>53.114800000000002</v>
      </c>
      <c r="I200" s="334">
        <f t="shared" si="15"/>
        <v>0</v>
      </c>
      <c r="J200" s="333">
        <f>'Sch4-Cost Savings by ECM'!V200</f>
        <v>0</v>
      </c>
      <c r="K20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0" s="334">
        <f t="shared" si="21"/>
        <v>0</v>
      </c>
      <c r="M200" s="333">
        <f>'Sch4-Cost Savings by ECM'!X200</f>
        <v>0</v>
      </c>
      <c r="N20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0" s="334">
        <f t="shared" si="16"/>
        <v>0</v>
      </c>
      <c r="P200" s="334">
        <f t="shared" si="17"/>
        <v>0</v>
      </c>
      <c r="Q200" s="334">
        <f t="shared" si="18"/>
        <v>0</v>
      </c>
      <c r="R200" s="334">
        <f t="shared" si="19"/>
        <v>0</v>
      </c>
    </row>
    <row r="201" spans="1:18" ht="16.5" thickBot="1">
      <c r="A201" s="40" t="str">
        <f>IF('Sch2a-Imp Price by ECM'!B202="","",'Sch2a-Imp Price by ECM'!B202)</f>
        <v/>
      </c>
      <c r="B201" s="76" t="str">
        <f>IF('Sch2a-Imp Price by ECM'!D202="","",'Sch2a-Imp Price by ECM'!D202)</f>
        <v/>
      </c>
      <c r="C201" s="331" t="s">
        <v>333</v>
      </c>
      <c r="D201" s="332">
        <f>'Sch4-Cost Savings by ECM'!P201</f>
        <v>0</v>
      </c>
      <c r="E201" s="376">
        <f>VLOOKUP(C201,'eGRID subregion name'!$A$2:$N$30,8,0)</f>
        <v>189.83531623683197</v>
      </c>
      <c r="F201" s="376">
        <f t="shared" si="20"/>
        <v>0</v>
      </c>
      <c r="G201" s="333">
        <f>'Sch4-Cost Savings by ECM'!T201</f>
        <v>0</v>
      </c>
      <c r="H201" s="334">
        <f>VLOOKUP("Natural Gas", 'GHG Emissions'!$D$2:$M$66,4,FALSE)+VLOOKUP("Natural Gas", 'GHG Emissions'!$D$2:$M$66,6,FALSE)*'eGRID subregion name'!$P$3+VLOOKUP("Natural Gas", 'GHG Emissions'!$D$2:$M$66,8,FALSE)*'eGRID subregion name'!$P$4</f>
        <v>53.114800000000002</v>
      </c>
      <c r="I201" s="334">
        <f t="shared" ref="I201:I257" si="22">G201*H201</f>
        <v>0</v>
      </c>
      <c r="J201" s="333">
        <f>'Sch4-Cost Savings by ECM'!V201</f>
        <v>0</v>
      </c>
      <c r="K20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1" s="334">
        <f t="shared" si="21"/>
        <v>0</v>
      </c>
      <c r="M201" s="333">
        <f>'Sch4-Cost Savings by ECM'!X201</f>
        <v>0</v>
      </c>
      <c r="N20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1" s="334">
        <f t="shared" ref="O201:O257" si="23">M201*N201</f>
        <v>0</v>
      </c>
      <c r="P201" s="334">
        <f t="shared" ref="P201:P257" si="24">I201+IF(AND($L$5&lt;&gt;"Other Savings Type 1: Chilled Water",$L$5&lt;&gt;"Other Savings Type 1: Purchased Steam"),L201,0)+IF(AND($O$5&lt;&gt;"Other Savings Type 2: Chilled Water",$O$5&lt;&gt;"Other Savings Type 2: Purchased Steam"),O201,0)</f>
        <v>0</v>
      </c>
      <c r="Q201" s="334">
        <f t="shared" ref="Q201:Q257" si="25">F201+IF(OR($L$5="Other Savings Type 1: Chilled Water",$L$5="Other Savings Type 1: Purchased Steam"),L201,0)+IF(OR($O$5="Other Savings Type 2: Chilled Water",$O$5="Other Savings Type 2: Purchased Steam"),O201,0)</f>
        <v>0</v>
      </c>
      <c r="R201" s="334">
        <f t="shared" ref="R201:R257" si="26">P201+Q201</f>
        <v>0</v>
      </c>
    </row>
    <row r="202" spans="1:18" ht="18" customHeight="1" thickBot="1">
      <c r="A202" s="40" t="str">
        <f>IF('Sch2a-Imp Price by ECM'!B203="","",'Sch2a-Imp Price by ECM'!B203)</f>
        <v/>
      </c>
      <c r="B202" s="76" t="str">
        <f>IF('Sch2a-Imp Price by ECM'!D203="","",'Sch2a-Imp Price by ECM'!D203)</f>
        <v/>
      </c>
      <c r="C202" s="331" t="s">
        <v>333</v>
      </c>
      <c r="D202" s="332">
        <f>'Sch4-Cost Savings by ECM'!P202</f>
        <v>0</v>
      </c>
      <c r="E202" s="376">
        <f>VLOOKUP(C202,'eGRID subregion name'!$A$2:$N$30,8,0)</f>
        <v>189.83531623683197</v>
      </c>
      <c r="F202" s="376">
        <f t="shared" ref="F202:F257" si="27">D202*3412*E202/1000000</f>
        <v>0</v>
      </c>
      <c r="G202" s="333">
        <f>'Sch4-Cost Savings by ECM'!T202</f>
        <v>0</v>
      </c>
      <c r="H202" s="334">
        <f>VLOOKUP("Natural Gas", 'GHG Emissions'!$D$2:$M$66,4,FALSE)+VLOOKUP("Natural Gas", 'GHG Emissions'!$D$2:$M$66,6,FALSE)*'eGRID subregion name'!$P$3+VLOOKUP("Natural Gas", 'GHG Emissions'!$D$2:$M$66,8,FALSE)*'eGRID subregion name'!$P$4</f>
        <v>53.114800000000002</v>
      </c>
      <c r="I202" s="334">
        <f t="shared" si="22"/>
        <v>0</v>
      </c>
      <c r="J202" s="333">
        <f>'Sch4-Cost Savings by ECM'!V202</f>
        <v>0</v>
      </c>
      <c r="K20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2" s="334">
        <f t="shared" ref="L202:L257" si="28">K202*J202</f>
        <v>0</v>
      </c>
      <c r="M202" s="333">
        <f>'Sch4-Cost Savings by ECM'!X202</f>
        <v>0</v>
      </c>
      <c r="N20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2" s="334">
        <f t="shared" si="23"/>
        <v>0</v>
      </c>
      <c r="P202" s="334">
        <f t="shared" si="24"/>
        <v>0</v>
      </c>
      <c r="Q202" s="334">
        <f t="shared" si="25"/>
        <v>0</v>
      </c>
      <c r="R202" s="334">
        <f t="shared" si="26"/>
        <v>0</v>
      </c>
    </row>
    <row r="203" spans="1:18" ht="16.5" thickBot="1">
      <c r="A203" s="40" t="str">
        <f>IF('Sch2a-Imp Price by ECM'!B204="","",'Sch2a-Imp Price by ECM'!B204)</f>
        <v/>
      </c>
      <c r="B203" s="76" t="str">
        <f>IF('Sch2a-Imp Price by ECM'!D204="","",'Sch2a-Imp Price by ECM'!D204)</f>
        <v/>
      </c>
      <c r="C203" s="331" t="s">
        <v>333</v>
      </c>
      <c r="D203" s="332">
        <f>'Sch4-Cost Savings by ECM'!P203</f>
        <v>0</v>
      </c>
      <c r="E203" s="376">
        <f>VLOOKUP(C203,'eGRID subregion name'!$A$2:$N$30,8,0)</f>
        <v>189.83531623683197</v>
      </c>
      <c r="F203" s="376">
        <f t="shared" si="27"/>
        <v>0</v>
      </c>
      <c r="G203" s="333">
        <f>'Sch4-Cost Savings by ECM'!T203</f>
        <v>0</v>
      </c>
      <c r="H203" s="334">
        <f>VLOOKUP("Natural Gas", 'GHG Emissions'!$D$2:$M$66,4,FALSE)+VLOOKUP("Natural Gas", 'GHG Emissions'!$D$2:$M$66,6,FALSE)*'eGRID subregion name'!$P$3+VLOOKUP("Natural Gas", 'GHG Emissions'!$D$2:$M$66,8,FALSE)*'eGRID subregion name'!$P$4</f>
        <v>53.114800000000002</v>
      </c>
      <c r="I203" s="334">
        <f t="shared" si="22"/>
        <v>0</v>
      </c>
      <c r="J203" s="333">
        <f>'Sch4-Cost Savings by ECM'!V203</f>
        <v>0</v>
      </c>
      <c r="K20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3" s="334">
        <f t="shared" si="28"/>
        <v>0</v>
      </c>
      <c r="M203" s="333">
        <f>'Sch4-Cost Savings by ECM'!X203</f>
        <v>0</v>
      </c>
      <c r="N20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3" s="334">
        <f t="shared" si="23"/>
        <v>0</v>
      </c>
      <c r="P203" s="334">
        <f t="shared" si="24"/>
        <v>0</v>
      </c>
      <c r="Q203" s="334">
        <f t="shared" si="25"/>
        <v>0</v>
      </c>
      <c r="R203" s="334">
        <f t="shared" si="26"/>
        <v>0</v>
      </c>
    </row>
    <row r="204" spans="1:18" ht="16.5" thickBot="1">
      <c r="A204" s="40" t="str">
        <f>IF('Sch2a-Imp Price by ECM'!B205="","",'Sch2a-Imp Price by ECM'!B205)</f>
        <v/>
      </c>
      <c r="B204" s="76" t="str">
        <f>IF('Sch2a-Imp Price by ECM'!D205="","",'Sch2a-Imp Price by ECM'!D205)</f>
        <v/>
      </c>
      <c r="C204" s="331" t="s">
        <v>333</v>
      </c>
      <c r="D204" s="332">
        <f>'Sch4-Cost Savings by ECM'!P204</f>
        <v>0</v>
      </c>
      <c r="E204" s="376">
        <f>VLOOKUP(C204,'eGRID subregion name'!$A$2:$N$30,8,0)</f>
        <v>189.83531623683197</v>
      </c>
      <c r="F204" s="376">
        <f t="shared" si="27"/>
        <v>0</v>
      </c>
      <c r="G204" s="333">
        <f>'Sch4-Cost Savings by ECM'!T204</f>
        <v>0</v>
      </c>
      <c r="H204" s="334">
        <f>VLOOKUP("Natural Gas", 'GHG Emissions'!$D$2:$M$66,4,FALSE)+VLOOKUP("Natural Gas", 'GHG Emissions'!$D$2:$M$66,6,FALSE)*'eGRID subregion name'!$P$3+VLOOKUP("Natural Gas", 'GHG Emissions'!$D$2:$M$66,8,FALSE)*'eGRID subregion name'!$P$4</f>
        <v>53.114800000000002</v>
      </c>
      <c r="I204" s="334">
        <f t="shared" si="22"/>
        <v>0</v>
      </c>
      <c r="J204" s="333">
        <f>'Sch4-Cost Savings by ECM'!V204</f>
        <v>0</v>
      </c>
      <c r="K20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4" s="334">
        <f t="shared" si="28"/>
        <v>0</v>
      </c>
      <c r="M204" s="333">
        <f>'Sch4-Cost Savings by ECM'!X204</f>
        <v>0</v>
      </c>
      <c r="N20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4" s="334">
        <f t="shared" si="23"/>
        <v>0</v>
      </c>
      <c r="P204" s="334">
        <f t="shared" si="24"/>
        <v>0</v>
      </c>
      <c r="Q204" s="334">
        <f t="shared" si="25"/>
        <v>0</v>
      </c>
      <c r="R204" s="334">
        <f t="shared" si="26"/>
        <v>0</v>
      </c>
    </row>
    <row r="205" spans="1:18" ht="16.5" thickBot="1">
      <c r="A205" s="40" t="str">
        <f>IF('Sch2a-Imp Price by ECM'!B206="","",'Sch2a-Imp Price by ECM'!B206)</f>
        <v/>
      </c>
      <c r="B205" s="76" t="str">
        <f>IF('Sch2a-Imp Price by ECM'!D206="","",'Sch2a-Imp Price by ECM'!D206)</f>
        <v/>
      </c>
      <c r="C205" s="331" t="s">
        <v>333</v>
      </c>
      <c r="D205" s="332">
        <f>'Sch4-Cost Savings by ECM'!P205</f>
        <v>0</v>
      </c>
      <c r="E205" s="376">
        <f>VLOOKUP(C205,'eGRID subregion name'!$A$2:$N$30,8,0)</f>
        <v>189.83531623683197</v>
      </c>
      <c r="F205" s="376">
        <f t="shared" si="27"/>
        <v>0</v>
      </c>
      <c r="G205" s="333">
        <f>'Sch4-Cost Savings by ECM'!T205</f>
        <v>0</v>
      </c>
      <c r="H205" s="334">
        <f>VLOOKUP("Natural Gas", 'GHG Emissions'!$D$2:$M$66,4,FALSE)+VLOOKUP("Natural Gas", 'GHG Emissions'!$D$2:$M$66,6,FALSE)*'eGRID subregion name'!$P$3+VLOOKUP("Natural Gas", 'GHG Emissions'!$D$2:$M$66,8,FALSE)*'eGRID subregion name'!$P$4</f>
        <v>53.114800000000002</v>
      </c>
      <c r="I205" s="334">
        <f t="shared" si="22"/>
        <v>0</v>
      </c>
      <c r="J205" s="333">
        <f>'Sch4-Cost Savings by ECM'!V205</f>
        <v>0</v>
      </c>
      <c r="K20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5" s="334">
        <f t="shared" si="28"/>
        <v>0</v>
      </c>
      <c r="M205" s="333">
        <f>'Sch4-Cost Savings by ECM'!X205</f>
        <v>0</v>
      </c>
      <c r="N20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5" s="334">
        <f t="shared" si="23"/>
        <v>0</v>
      </c>
      <c r="P205" s="334">
        <f t="shared" si="24"/>
        <v>0</v>
      </c>
      <c r="Q205" s="334">
        <f t="shared" si="25"/>
        <v>0</v>
      </c>
      <c r="R205" s="334">
        <f t="shared" si="26"/>
        <v>0</v>
      </c>
    </row>
    <row r="206" spans="1:18" ht="16.5" thickBot="1">
      <c r="A206" s="40" t="str">
        <f>IF('Sch2a-Imp Price by ECM'!B207="","",'Sch2a-Imp Price by ECM'!B207)</f>
        <v/>
      </c>
      <c r="B206" s="76" t="str">
        <f>IF('Sch2a-Imp Price by ECM'!D207="","",'Sch2a-Imp Price by ECM'!D207)</f>
        <v/>
      </c>
      <c r="C206" s="331" t="s">
        <v>333</v>
      </c>
      <c r="D206" s="332">
        <f>'Sch4-Cost Savings by ECM'!P206</f>
        <v>0</v>
      </c>
      <c r="E206" s="376">
        <f>VLOOKUP(C206,'eGRID subregion name'!$A$2:$N$30,8,0)</f>
        <v>189.83531623683197</v>
      </c>
      <c r="F206" s="376">
        <f t="shared" si="27"/>
        <v>0</v>
      </c>
      <c r="G206" s="333">
        <f>'Sch4-Cost Savings by ECM'!T206</f>
        <v>0</v>
      </c>
      <c r="H206" s="334">
        <f>VLOOKUP("Natural Gas", 'GHG Emissions'!$D$2:$M$66,4,FALSE)+VLOOKUP("Natural Gas", 'GHG Emissions'!$D$2:$M$66,6,FALSE)*'eGRID subregion name'!$P$3+VLOOKUP("Natural Gas", 'GHG Emissions'!$D$2:$M$66,8,FALSE)*'eGRID subregion name'!$P$4</f>
        <v>53.114800000000002</v>
      </c>
      <c r="I206" s="334">
        <f t="shared" si="22"/>
        <v>0</v>
      </c>
      <c r="J206" s="333">
        <f>'Sch4-Cost Savings by ECM'!V206</f>
        <v>0</v>
      </c>
      <c r="K20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6" s="334">
        <f t="shared" si="28"/>
        <v>0</v>
      </c>
      <c r="M206" s="333">
        <f>'Sch4-Cost Savings by ECM'!X206</f>
        <v>0</v>
      </c>
      <c r="N20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6" s="334">
        <f t="shared" si="23"/>
        <v>0</v>
      </c>
      <c r="P206" s="334">
        <f t="shared" si="24"/>
        <v>0</v>
      </c>
      <c r="Q206" s="334">
        <f t="shared" si="25"/>
        <v>0</v>
      </c>
      <c r="R206" s="334">
        <f t="shared" si="26"/>
        <v>0</v>
      </c>
    </row>
    <row r="207" spans="1:18" ht="16.5" thickBot="1">
      <c r="A207" s="40" t="str">
        <f>IF('Sch2a-Imp Price by ECM'!B208="","",'Sch2a-Imp Price by ECM'!B208)</f>
        <v/>
      </c>
      <c r="B207" s="76" t="str">
        <f>IF('Sch2a-Imp Price by ECM'!D208="","",'Sch2a-Imp Price by ECM'!D208)</f>
        <v/>
      </c>
      <c r="C207" s="331" t="s">
        <v>333</v>
      </c>
      <c r="D207" s="332">
        <f>'Sch4-Cost Savings by ECM'!P207</f>
        <v>0</v>
      </c>
      <c r="E207" s="376">
        <f>VLOOKUP(C207,'eGRID subregion name'!$A$2:$N$30,8,0)</f>
        <v>189.83531623683197</v>
      </c>
      <c r="F207" s="376">
        <f t="shared" si="27"/>
        <v>0</v>
      </c>
      <c r="G207" s="333">
        <f>'Sch4-Cost Savings by ECM'!T207</f>
        <v>0</v>
      </c>
      <c r="H207" s="334">
        <f>VLOOKUP("Natural Gas", 'GHG Emissions'!$D$2:$M$66,4,FALSE)+VLOOKUP("Natural Gas", 'GHG Emissions'!$D$2:$M$66,6,FALSE)*'eGRID subregion name'!$P$3+VLOOKUP("Natural Gas", 'GHG Emissions'!$D$2:$M$66,8,FALSE)*'eGRID subregion name'!$P$4</f>
        <v>53.114800000000002</v>
      </c>
      <c r="I207" s="334">
        <f t="shared" si="22"/>
        <v>0</v>
      </c>
      <c r="J207" s="333">
        <f>'Sch4-Cost Savings by ECM'!V207</f>
        <v>0</v>
      </c>
      <c r="K20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7" s="334">
        <f t="shared" si="28"/>
        <v>0</v>
      </c>
      <c r="M207" s="333">
        <f>'Sch4-Cost Savings by ECM'!X207</f>
        <v>0</v>
      </c>
      <c r="N20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7" s="334">
        <f t="shared" si="23"/>
        <v>0</v>
      </c>
      <c r="P207" s="334">
        <f t="shared" si="24"/>
        <v>0</v>
      </c>
      <c r="Q207" s="334">
        <f t="shared" si="25"/>
        <v>0</v>
      </c>
      <c r="R207" s="334">
        <f t="shared" si="26"/>
        <v>0</v>
      </c>
    </row>
    <row r="208" spans="1:18" ht="16.5" thickBot="1">
      <c r="A208" s="40" t="str">
        <f>IF('Sch2a-Imp Price by ECM'!B209="","",'Sch2a-Imp Price by ECM'!B209)</f>
        <v/>
      </c>
      <c r="B208" s="76" t="str">
        <f>IF('Sch2a-Imp Price by ECM'!D209="","",'Sch2a-Imp Price by ECM'!D209)</f>
        <v/>
      </c>
      <c r="C208" s="331" t="s">
        <v>333</v>
      </c>
      <c r="D208" s="332">
        <f>'Sch4-Cost Savings by ECM'!P208</f>
        <v>0</v>
      </c>
      <c r="E208" s="376">
        <f>VLOOKUP(C208,'eGRID subregion name'!$A$2:$N$30,8,0)</f>
        <v>189.83531623683197</v>
      </c>
      <c r="F208" s="376">
        <f t="shared" si="27"/>
        <v>0</v>
      </c>
      <c r="G208" s="333">
        <f>'Sch4-Cost Savings by ECM'!T208</f>
        <v>0</v>
      </c>
      <c r="H208" s="334">
        <f>VLOOKUP("Natural Gas", 'GHG Emissions'!$D$2:$M$66,4,FALSE)+VLOOKUP("Natural Gas", 'GHG Emissions'!$D$2:$M$66,6,FALSE)*'eGRID subregion name'!$P$3+VLOOKUP("Natural Gas", 'GHG Emissions'!$D$2:$M$66,8,FALSE)*'eGRID subregion name'!$P$4</f>
        <v>53.114800000000002</v>
      </c>
      <c r="I208" s="334">
        <f t="shared" si="22"/>
        <v>0</v>
      </c>
      <c r="J208" s="333">
        <f>'Sch4-Cost Savings by ECM'!V208</f>
        <v>0</v>
      </c>
      <c r="K20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8" s="334">
        <f t="shared" si="28"/>
        <v>0</v>
      </c>
      <c r="M208" s="333">
        <f>'Sch4-Cost Savings by ECM'!X208</f>
        <v>0</v>
      </c>
      <c r="N20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8" s="334">
        <f t="shared" si="23"/>
        <v>0</v>
      </c>
      <c r="P208" s="334">
        <f t="shared" si="24"/>
        <v>0</v>
      </c>
      <c r="Q208" s="334">
        <f t="shared" si="25"/>
        <v>0</v>
      </c>
      <c r="R208" s="334">
        <f t="shared" si="26"/>
        <v>0</v>
      </c>
    </row>
    <row r="209" spans="1:18" ht="16.5" thickBot="1">
      <c r="A209" s="40" t="str">
        <f>IF('Sch2a-Imp Price by ECM'!B210="","",'Sch2a-Imp Price by ECM'!B210)</f>
        <v/>
      </c>
      <c r="B209" s="76" t="str">
        <f>IF('Sch2a-Imp Price by ECM'!D210="","",'Sch2a-Imp Price by ECM'!D210)</f>
        <v/>
      </c>
      <c r="C209" s="331" t="s">
        <v>333</v>
      </c>
      <c r="D209" s="332">
        <f>'Sch4-Cost Savings by ECM'!P209</f>
        <v>0</v>
      </c>
      <c r="E209" s="376">
        <f>VLOOKUP(C209,'eGRID subregion name'!$A$2:$N$30,8,0)</f>
        <v>189.83531623683197</v>
      </c>
      <c r="F209" s="376">
        <f t="shared" si="27"/>
        <v>0</v>
      </c>
      <c r="G209" s="333">
        <f>'Sch4-Cost Savings by ECM'!T209</f>
        <v>0</v>
      </c>
      <c r="H209" s="334">
        <f>VLOOKUP("Natural Gas", 'GHG Emissions'!$D$2:$M$66,4,FALSE)+VLOOKUP("Natural Gas", 'GHG Emissions'!$D$2:$M$66,6,FALSE)*'eGRID subregion name'!$P$3+VLOOKUP("Natural Gas", 'GHG Emissions'!$D$2:$M$66,8,FALSE)*'eGRID subregion name'!$P$4</f>
        <v>53.114800000000002</v>
      </c>
      <c r="I209" s="334">
        <f t="shared" si="22"/>
        <v>0</v>
      </c>
      <c r="J209" s="333">
        <f>'Sch4-Cost Savings by ECM'!V209</f>
        <v>0</v>
      </c>
      <c r="K20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09" s="334">
        <f t="shared" si="28"/>
        <v>0</v>
      </c>
      <c r="M209" s="333">
        <f>'Sch4-Cost Savings by ECM'!X209</f>
        <v>0</v>
      </c>
      <c r="N20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09" s="334">
        <f t="shared" si="23"/>
        <v>0</v>
      </c>
      <c r="P209" s="334">
        <f t="shared" si="24"/>
        <v>0</v>
      </c>
      <c r="Q209" s="334">
        <f t="shared" si="25"/>
        <v>0</v>
      </c>
      <c r="R209" s="334">
        <f t="shared" si="26"/>
        <v>0</v>
      </c>
    </row>
    <row r="210" spans="1:18" ht="16.5" thickBot="1">
      <c r="A210" s="40" t="str">
        <f>IF('Sch2a-Imp Price by ECM'!B211="","",'Sch2a-Imp Price by ECM'!B211)</f>
        <v/>
      </c>
      <c r="B210" s="76" t="str">
        <f>IF('Sch2a-Imp Price by ECM'!D211="","",'Sch2a-Imp Price by ECM'!D211)</f>
        <v/>
      </c>
      <c r="C210" s="331" t="s">
        <v>333</v>
      </c>
      <c r="D210" s="332">
        <f>'Sch4-Cost Savings by ECM'!P210</f>
        <v>0</v>
      </c>
      <c r="E210" s="376">
        <f>VLOOKUP(C210,'eGRID subregion name'!$A$2:$N$30,8,0)</f>
        <v>189.83531623683197</v>
      </c>
      <c r="F210" s="376">
        <f t="shared" si="27"/>
        <v>0</v>
      </c>
      <c r="G210" s="333">
        <f>'Sch4-Cost Savings by ECM'!T210</f>
        <v>0</v>
      </c>
      <c r="H210" s="334">
        <f>VLOOKUP("Natural Gas", 'GHG Emissions'!$D$2:$M$66,4,FALSE)+VLOOKUP("Natural Gas", 'GHG Emissions'!$D$2:$M$66,6,FALSE)*'eGRID subregion name'!$P$3+VLOOKUP("Natural Gas", 'GHG Emissions'!$D$2:$M$66,8,FALSE)*'eGRID subregion name'!$P$4</f>
        <v>53.114800000000002</v>
      </c>
      <c r="I210" s="334">
        <f t="shared" si="22"/>
        <v>0</v>
      </c>
      <c r="J210" s="333">
        <f>'Sch4-Cost Savings by ECM'!V210</f>
        <v>0</v>
      </c>
      <c r="K21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0" s="334">
        <f t="shared" si="28"/>
        <v>0</v>
      </c>
      <c r="M210" s="333">
        <f>'Sch4-Cost Savings by ECM'!X210</f>
        <v>0</v>
      </c>
      <c r="N21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0" s="334">
        <f t="shared" si="23"/>
        <v>0</v>
      </c>
      <c r="P210" s="334">
        <f t="shared" si="24"/>
        <v>0</v>
      </c>
      <c r="Q210" s="334">
        <f t="shared" si="25"/>
        <v>0</v>
      </c>
      <c r="R210" s="334">
        <f t="shared" si="26"/>
        <v>0</v>
      </c>
    </row>
    <row r="211" spans="1:18" ht="16.5" thickBot="1">
      <c r="A211" s="40" t="str">
        <f>IF('Sch2a-Imp Price by ECM'!B212="","",'Sch2a-Imp Price by ECM'!B212)</f>
        <v/>
      </c>
      <c r="B211" s="76" t="str">
        <f>IF('Sch2a-Imp Price by ECM'!D212="","",'Sch2a-Imp Price by ECM'!D212)</f>
        <v/>
      </c>
      <c r="C211" s="331" t="s">
        <v>333</v>
      </c>
      <c r="D211" s="332">
        <f>'Sch4-Cost Savings by ECM'!P211</f>
        <v>0</v>
      </c>
      <c r="E211" s="376">
        <f>VLOOKUP(C211,'eGRID subregion name'!$A$2:$N$30,8,0)</f>
        <v>189.83531623683197</v>
      </c>
      <c r="F211" s="376">
        <f t="shared" si="27"/>
        <v>0</v>
      </c>
      <c r="G211" s="333">
        <f>'Sch4-Cost Savings by ECM'!T211</f>
        <v>0</v>
      </c>
      <c r="H211" s="334">
        <f>VLOOKUP("Natural Gas", 'GHG Emissions'!$D$2:$M$66,4,FALSE)+VLOOKUP("Natural Gas", 'GHG Emissions'!$D$2:$M$66,6,FALSE)*'eGRID subregion name'!$P$3+VLOOKUP("Natural Gas", 'GHG Emissions'!$D$2:$M$66,8,FALSE)*'eGRID subregion name'!$P$4</f>
        <v>53.114800000000002</v>
      </c>
      <c r="I211" s="334">
        <f t="shared" si="22"/>
        <v>0</v>
      </c>
      <c r="J211" s="333">
        <f>'Sch4-Cost Savings by ECM'!V211</f>
        <v>0</v>
      </c>
      <c r="K21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1" s="334">
        <f t="shared" si="28"/>
        <v>0</v>
      </c>
      <c r="M211" s="333">
        <f>'Sch4-Cost Savings by ECM'!X211</f>
        <v>0</v>
      </c>
      <c r="N21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1" s="334">
        <f t="shared" si="23"/>
        <v>0</v>
      </c>
      <c r="P211" s="334">
        <f t="shared" si="24"/>
        <v>0</v>
      </c>
      <c r="Q211" s="334">
        <f t="shared" si="25"/>
        <v>0</v>
      </c>
      <c r="R211" s="334">
        <f t="shared" si="26"/>
        <v>0</v>
      </c>
    </row>
    <row r="212" spans="1:18" ht="16.5" thickBot="1">
      <c r="A212" s="40" t="str">
        <f>IF('Sch2a-Imp Price by ECM'!B213="","",'Sch2a-Imp Price by ECM'!B213)</f>
        <v/>
      </c>
      <c r="B212" s="76" t="str">
        <f>IF('Sch2a-Imp Price by ECM'!D213="","",'Sch2a-Imp Price by ECM'!D213)</f>
        <v/>
      </c>
      <c r="C212" s="331" t="s">
        <v>333</v>
      </c>
      <c r="D212" s="332">
        <f>'Sch4-Cost Savings by ECM'!P212</f>
        <v>0</v>
      </c>
      <c r="E212" s="376">
        <f>VLOOKUP(C212,'eGRID subregion name'!$A$2:$N$30,8,0)</f>
        <v>189.83531623683197</v>
      </c>
      <c r="F212" s="376">
        <f t="shared" si="27"/>
        <v>0</v>
      </c>
      <c r="G212" s="333">
        <f>'Sch4-Cost Savings by ECM'!T212</f>
        <v>0</v>
      </c>
      <c r="H212" s="334">
        <f>VLOOKUP("Natural Gas", 'GHG Emissions'!$D$2:$M$66,4,FALSE)+VLOOKUP("Natural Gas", 'GHG Emissions'!$D$2:$M$66,6,FALSE)*'eGRID subregion name'!$P$3+VLOOKUP("Natural Gas", 'GHG Emissions'!$D$2:$M$66,8,FALSE)*'eGRID subregion name'!$P$4</f>
        <v>53.114800000000002</v>
      </c>
      <c r="I212" s="334">
        <f t="shared" si="22"/>
        <v>0</v>
      </c>
      <c r="J212" s="333">
        <f>'Sch4-Cost Savings by ECM'!V212</f>
        <v>0</v>
      </c>
      <c r="K21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2" s="334">
        <f t="shared" si="28"/>
        <v>0</v>
      </c>
      <c r="M212" s="333">
        <f>'Sch4-Cost Savings by ECM'!X212</f>
        <v>0</v>
      </c>
      <c r="N21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2" s="334">
        <f t="shared" si="23"/>
        <v>0</v>
      </c>
      <c r="P212" s="334">
        <f t="shared" si="24"/>
        <v>0</v>
      </c>
      <c r="Q212" s="334">
        <f t="shared" si="25"/>
        <v>0</v>
      </c>
      <c r="R212" s="334">
        <f t="shared" si="26"/>
        <v>0</v>
      </c>
    </row>
    <row r="213" spans="1:18" ht="16.5" thickBot="1">
      <c r="A213" s="40" t="str">
        <f>IF('Sch2a-Imp Price by ECM'!B214="","",'Sch2a-Imp Price by ECM'!B214)</f>
        <v/>
      </c>
      <c r="B213" s="76" t="str">
        <f>IF('Sch2a-Imp Price by ECM'!D214="","",'Sch2a-Imp Price by ECM'!D214)</f>
        <v/>
      </c>
      <c r="C213" s="331" t="s">
        <v>333</v>
      </c>
      <c r="D213" s="332">
        <f>'Sch4-Cost Savings by ECM'!P213</f>
        <v>0</v>
      </c>
      <c r="E213" s="376">
        <f>VLOOKUP(C213,'eGRID subregion name'!$A$2:$N$30,8,0)</f>
        <v>189.83531623683197</v>
      </c>
      <c r="F213" s="376">
        <f t="shared" si="27"/>
        <v>0</v>
      </c>
      <c r="G213" s="333">
        <f>'Sch4-Cost Savings by ECM'!T213</f>
        <v>0</v>
      </c>
      <c r="H213" s="334">
        <f>VLOOKUP("Natural Gas", 'GHG Emissions'!$D$2:$M$66,4,FALSE)+VLOOKUP("Natural Gas", 'GHG Emissions'!$D$2:$M$66,6,FALSE)*'eGRID subregion name'!$P$3+VLOOKUP("Natural Gas", 'GHG Emissions'!$D$2:$M$66,8,FALSE)*'eGRID subregion name'!$P$4</f>
        <v>53.114800000000002</v>
      </c>
      <c r="I213" s="334">
        <f t="shared" si="22"/>
        <v>0</v>
      </c>
      <c r="J213" s="333">
        <f>'Sch4-Cost Savings by ECM'!V213</f>
        <v>0</v>
      </c>
      <c r="K21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3" s="334">
        <f t="shared" si="28"/>
        <v>0</v>
      </c>
      <c r="M213" s="333">
        <f>'Sch4-Cost Savings by ECM'!X213</f>
        <v>0</v>
      </c>
      <c r="N21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3" s="334">
        <f t="shared" si="23"/>
        <v>0</v>
      </c>
      <c r="P213" s="334">
        <f t="shared" si="24"/>
        <v>0</v>
      </c>
      <c r="Q213" s="334">
        <f t="shared" si="25"/>
        <v>0</v>
      </c>
      <c r="R213" s="334">
        <f t="shared" si="26"/>
        <v>0</v>
      </c>
    </row>
    <row r="214" spans="1:18" ht="16.5" thickBot="1">
      <c r="A214" s="40" t="str">
        <f>IF('Sch2a-Imp Price by ECM'!B215="","",'Sch2a-Imp Price by ECM'!B215)</f>
        <v/>
      </c>
      <c r="B214" s="76" t="str">
        <f>IF('Sch2a-Imp Price by ECM'!D215="","",'Sch2a-Imp Price by ECM'!D215)</f>
        <v/>
      </c>
      <c r="C214" s="331" t="s">
        <v>333</v>
      </c>
      <c r="D214" s="332">
        <f>'Sch4-Cost Savings by ECM'!P214</f>
        <v>0</v>
      </c>
      <c r="E214" s="376">
        <f>VLOOKUP(C214,'eGRID subregion name'!$A$2:$N$30,8,0)</f>
        <v>189.83531623683197</v>
      </c>
      <c r="F214" s="376">
        <f t="shared" si="27"/>
        <v>0</v>
      </c>
      <c r="G214" s="333">
        <f>'Sch4-Cost Savings by ECM'!T214</f>
        <v>0</v>
      </c>
      <c r="H214" s="334">
        <f>VLOOKUP("Natural Gas", 'GHG Emissions'!$D$2:$M$66,4,FALSE)+VLOOKUP("Natural Gas", 'GHG Emissions'!$D$2:$M$66,6,FALSE)*'eGRID subregion name'!$P$3+VLOOKUP("Natural Gas", 'GHG Emissions'!$D$2:$M$66,8,FALSE)*'eGRID subregion name'!$P$4</f>
        <v>53.114800000000002</v>
      </c>
      <c r="I214" s="334">
        <f t="shared" si="22"/>
        <v>0</v>
      </c>
      <c r="J214" s="333">
        <f>'Sch4-Cost Savings by ECM'!V214</f>
        <v>0</v>
      </c>
      <c r="K21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4" s="334">
        <f t="shared" si="28"/>
        <v>0</v>
      </c>
      <c r="M214" s="333">
        <f>'Sch4-Cost Savings by ECM'!X214</f>
        <v>0</v>
      </c>
      <c r="N21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4" s="334">
        <f t="shared" si="23"/>
        <v>0</v>
      </c>
      <c r="P214" s="334">
        <f t="shared" si="24"/>
        <v>0</v>
      </c>
      <c r="Q214" s="334">
        <f t="shared" si="25"/>
        <v>0</v>
      </c>
      <c r="R214" s="334">
        <f t="shared" si="26"/>
        <v>0</v>
      </c>
    </row>
    <row r="215" spans="1:18" ht="16.5" thickBot="1">
      <c r="A215" s="40" t="str">
        <f>IF('Sch2a-Imp Price by ECM'!B216="","",'Sch2a-Imp Price by ECM'!B216)</f>
        <v/>
      </c>
      <c r="B215" s="76" t="str">
        <f>IF('Sch2a-Imp Price by ECM'!D216="","",'Sch2a-Imp Price by ECM'!D216)</f>
        <v/>
      </c>
      <c r="C215" s="331" t="s">
        <v>333</v>
      </c>
      <c r="D215" s="332">
        <f>'Sch4-Cost Savings by ECM'!P215</f>
        <v>0</v>
      </c>
      <c r="E215" s="376">
        <f>VLOOKUP(C215,'eGRID subregion name'!$A$2:$N$30,8,0)</f>
        <v>189.83531623683197</v>
      </c>
      <c r="F215" s="376">
        <f t="shared" si="27"/>
        <v>0</v>
      </c>
      <c r="G215" s="333">
        <f>'Sch4-Cost Savings by ECM'!T215</f>
        <v>0</v>
      </c>
      <c r="H215" s="334">
        <f>VLOOKUP("Natural Gas", 'GHG Emissions'!$D$2:$M$66,4,FALSE)+VLOOKUP("Natural Gas", 'GHG Emissions'!$D$2:$M$66,6,FALSE)*'eGRID subregion name'!$P$3+VLOOKUP("Natural Gas", 'GHG Emissions'!$D$2:$M$66,8,FALSE)*'eGRID subregion name'!$P$4</f>
        <v>53.114800000000002</v>
      </c>
      <c r="I215" s="334">
        <f t="shared" si="22"/>
        <v>0</v>
      </c>
      <c r="J215" s="333">
        <f>'Sch4-Cost Savings by ECM'!V215</f>
        <v>0</v>
      </c>
      <c r="K21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5" s="334">
        <f t="shared" si="28"/>
        <v>0</v>
      </c>
      <c r="M215" s="333">
        <f>'Sch4-Cost Savings by ECM'!X215</f>
        <v>0</v>
      </c>
      <c r="N21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5" s="334">
        <f t="shared" si="23"/>
        <v>0</v>
      </c>
      <c r="P215" s="334">
        <f t="shared" si="24"/>
        <v>0</v>
      </c>
      <c r="Q215" s="334">
        <f t="shared" si="25"/>
        <v>0</v>
      </c>
      <c r="R215" s="334">
        <f t="shared" si="26"/>
        <v>0</v>
      </c>
    </row>
    <row r="216" spans="1:18" ht="16.5" thickBot="1">
      <c r="A216" s="40" t="str">
        <f>IF('Sch2a-Imp Price by ECM'!B217="","",'Sch2a-Imp Price by ECM'!B217)</f>
        <v/>
      </c>
      <c r="B216" s="76" t="str">
        <f>IF('Sch2a-Imp Price by ECM'!D217="","",'Sch2a-Imp Price by ECM'!D217)</f>
        <v/>
      </c>
      <c r="C216" s="331" t="s">
        <v>333</v>
      </c>
      <c r="D216" s="332">
        <f>'Sch4-Cost Savings by ECM'!P216</f>
        <v>0</v>
      </c>
      <c r="E216" s="376">
        <f>VLOOKUP(C216,'eGRID subregion name'!$A$2:$N$30,8,0)</f>
        <v>189.83531623683197</v>
      </c>
      <c r="F216" s="376">
        <f t="shared" si="27"/>
        <v>0</v>
      </c>
      <c r="G216" s="333">
        <f>'Sch4-Cost Savings by ECM'!T216</f>
        <v>0</v>
      </c>
      <c r="H216" s="334">
        <f>VLOOKUP("Natural Gas", 'GHG Emissions'!$D$2:$M$66,4,FALSE)+VLOOKUP("Natural Gas", 'GHG Emissions'!$D$2:$M$66,6,FALSE)*'eGRID subregion name'!$P$3+VLOOKUP("Natural Gas", 'GHG Emissions'!$D$2:$M$66,8,FALSE)*'eGRID subregion name'!$P$4</f>
        <v>53.114800000000002</v>
      </c>
      <c r="I216" s="334">
        <f t="shared" si="22"/>
        <v>0</v>
      </c>
      <c r="J216" s="333">
        <f>'Sch4-Cost Savings by ECM'!V216</f>
        <v>0</v>
      </c>
      <c r="K21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6" s="334">
        <f t="shared" si="28"/>
        <v>0</v>
      </c>
      <c r="M216" s="333">
        <f>'Sch4-Cost Savings by ECM'!X216</f>
        <v>0</v>
      </c>
      <c r="N21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6" s="334">
        <f t="shared" si="23"/>
        <v>0</v>
      </c>
      <c r="P216" s="334">
        <f t="shared" si="24"/>
        <v>0</v>
      </c>
      <c r="Q216" s="334">
        <f t="shared" si="25"/>
        <v>0</v>
      </c>
      <c r="R216" s="334">
        <f t="shared" si="26"/>
        <v>0</v>
      </c>
    </row>
    <row r="217" spans="1:18" ht="16.5" thickBot="1">
      <c r="A217" s="40" t="str">
        <f>IF('Sch2a-Imp Price by ECM'!B218="","",'Sch2a-Imp Price by ECM'!B218)</f>
        <v/>
      </c>
      <c r="B217" s="76" t="str">
        <f>IF('Sch2a-Imp Price by ECM'!D218="","",'Sch2a-Imp Price by ECM'!D218)</f>
        <v/>
      </c>
      <c r="C217" s="331" t="s">
        <v>333</v>
      </c>
      <c r="D217" s="332">
        <f>'Sch4-Cost Savings by ECM'!P217</f>
        <v>0</v>
      </c>
      <c r="E217" s="376">
        <f>VLOOKUP(C217,'eGRID subregion name'!$A$2:$N$30,8,0)</f>
        <v>189.83531623683197</v>
      </c>
      <c r="F217" s="376">
        <f t="shared" si="27"/>
        <v>0</v>
      </c>
      <c r="G217" s="333">
        <f>'Sch4-Cost Savings by ECM'!T217</f>
        <v>0</v>
      </c>
      <c r="H217" s="334">
        <f>VLOOKUP("Natural Gas", 'GHG Emissions'!$D$2:$M$66,4,FALSE)+VLOOKUP("Natural Gas", 'GHG Emissions'!$D$2:$M$66,6,FALSE)*'eGRID subregion name'!$P$3+VLOOKUP("Natural Gas", 'GHG Emissions'!$D$2:$M$66,8,FALSE)*'eGRID subregion name'!$P$4</f>
        <v>53.114800000000002</v>
      </c>
      <c r="I217" s="334">
        <f t="shared" si="22"/>
        <v>0</v>
      </c>
      <c r="J217" s="333">
        <f>'Sch4-Cost Savings by ECM'!V217</f>
        <v>0</v>
      </c>
      <c r="K21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7" s="334">
        <f t="shared" si="28"/>
        <v>0</v>
      </c>
      <c r="M217" s="333">
        <f>'Sch4-Cost Savings by ECM'!X217</f>
        <v>0</v>
      </c>
      <c r="N21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7" s="334">
        <f t="shared" si="23"/>
        <v>0</v>
      </c>
      <c r="P217" s="334">
        <f t="shared" si="24"/>
        <v>0</v>
      </c>
      <c r="Q217" s="334">
        <f t="shared" si="25"/>
        <v>0</v>
      </c>
      <c r="R217" s="334">
        <f t="shared" si="26"/>
        <v>0</v>
      </c>
    </row>
    <row r="218" spans="1:18" ht="16.5" thickBot="1">
      <c r="A218" s="40" t="str">
        <f>IF('Sch2a-Imp Price by ECM'!B219="","",'Sch2a-Imp Price by ECM'!B219)</f>
        <v/>
      </c>
      <c r="B218" s="76" t="str">
        <f>IF('Sch2a-Imp Price by ECM'!D219="","",'Sch2a-Imp Price by ECM'!D219)</f>
        <v/>
      </c>
      <c r="C218" s="331" t="s">
        <v>333</v>
      </c>
      <c r="D218" s="332">
        <f>'Sch4-Cost Savings by ECM'!P218</f>
        <v>0</v>
      </c>
      <c r="E218" s="376">
        <f>VLOOKUP(C218,'eGRID subregion name'!$A$2:$N$30,8,0)</f>
        <v>189.83531623683197</v>
      </c>
      <c r="F218" s="376">
        <f t="shared" si="27"/>
        <v>0</v>
      </c>
      <c r="G218" s="333">
        <f>'Sch4-Cost Savings by ECM'!T218</f>
        <v>0</v>
      </c>
      <c r="H218" s="334">
        <f>VLOOKUP("Natural Gas", 'GHG Emissions'!$D$2:$M$66,4,FALSE)+VLOOKUP("Natural Gas", 'GHG Emissions'!$D$2:$M$66,6,FALSE)*'eGRID subregion name'!$P$3+VLOOKUP("Natural Gas", 'GHG Emissions'!$D$2:$M$66,8,FALSE)*'eGRID subregion name'!$P$4</f>
        <v>53.114800000000002</v>
      </c>
      <c r="I218" s="334">
        <f t="shared" si="22"/>
        <v>0</v>
      </c>
      <c r="J218" s="333">
        <f>'Sch4-Cost Savings by ECM'!V218</f>
        <v>0</v>
      </c>
      <c r="K21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8" s="334">
        <f t="shared" si="28"/>
        <v>0</v>
      </c>
      <c r="M218" s="333">
        <f>'Sch4-Cost Savings by ECM'!X218</f>
        <v>0</v>
      </c>
      <c r="N21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8" s="334">
        <f t="shared" si="23"/>
        <v>0</v>
      </c>
      <c r="P218" s="334">
        <f t="shared" si="24"/>
        <v>0</v>
      </c>
      <c r="Q218" s="334">
        <f t="shared" si="25"/>
        <v>0</v>
      </c>
      <c r="R218" s="334">
        <f t="shared" si="26"/>
        <v>0</v>
      </c>
    </row>
    <row r="219" spans="1:18" ht="16.5" thickBot="1">
      <c r="A219" s="40" t="str">
        <f>IF('Sch2a-Imp Price by ECM'!B220="","",'Sch2a-Imp Price by ECM'!B220)</f>
        <v/>
      </c>
      <c r="B219" s="76" t="str">
        <f>IF('Sch2a-Imp Price by ECM'!D220="","",'Sch2a-Imp Price by ECM'!D220)</f>
        <v/>
      </c>
      <c r="C219" s="331" t="s">
        <v>333</v>
      </c>
      <c r="D219" s="332">
        <f>'Sch4-Cost Savings by ECM'!P219</f>
        <v>0</v>
      </c>
      <c r="E219" s="376">
        <f>VLOOKUP(C219,'eGRID subregion name'!$A$2:$N$30,8,0)</f>
        <v>189.83531623683197</v>
      </c>
      <c r="F219" s="376">
        <f t="shared" si="27"/>
        <v>0</v>
      </c>
      <c r="G219" s="333">
        <f>'Sch4-Cost Savings by ECM'!T219</f>
        <v>0</v>
      </c>
      <c r="H219" s="334">
        <f>VLOOKUP("Natural Gas", 'GHG Emissions'!$D$2:$M$66,4,FALSE)+VLOOKUP("Natural Gas", 'GHG Emissions'!$D$2:$M$66,6,FALSE)*'eGRID subregion name'!$P$3+VLOOKUP("Natural Gas", 'GHG Emissions'!$D$2:$M$66,8,FALSE)*'eGRID subregion name'!$P$4</f>
        <v>53.114800000000002</v>
      </c>
      <c r="I219" s="334">
        <f t="shared" si="22"/>
        <v>0</v>
      </c>
      <c r="J219" s="333">
        <f>'Sch4-Cost Savings by ECM'!V219</f>
        <v>0</v>
      </c>
      <c r="K21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19" s="334">
        <f t="shared" si="28"/>
        <v>0</v>
      </c>
      <c r="M219" s="333">
        <f>'Sch4-Cost Savings by ECM'!X219</f>
        <v>0</v>
      </c>
      <c r="N21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19" s="334">
        <f t="shared" si="23"/>
        <v>0</v>
      </c>
      <c r="P219" s="334">
        <f t="shared" si="24"/>
        <v>0</v>
      </c>
      <c r="Q219" s="334">
        <f t="shared" si="25"/>
        <v>0</v>
      </c>
      <c r="R219" s="334">
        <f t="shared" si="26"/>
        <v>0</v>
      </c>
    </row>
    <row r="220" spans="1:18" ht="16.5" thickBot="1">
      <c r="A220" s="40" t="str">
        <f>IF('Sch2a-Imp Price by ECM'!B221="","",'Sch2a-Imp Price by ECM'!B221)</f>
        <v/>
      </c>
      <c r="B220" s="76" t="str">
        <f>IF('Sch2a-Imp Price by ECM'!D221="","",'Sch2a-Imp Price by ECM'!D221)</f>
        <v/>
      </c>
      <c r="C220" s="331" t="s">
        <v>333</v>
      </c>
      <c r="D220" s="332">
        <f>'Sch4-Cost Savings by ECM'!P220</f>
        <v>0</v>
      </c>
      <c r="E220" s="376">
        <f>VLOOKUP(C220,'eGRID subregion name'!$A$2:$N$30,8,0)</f>
        <v>189.83531623683197</v>
      </c>
      <c r="F220" s="376">
        <f t="shared" si="27"/>
        <v>0</v>
      </c>
      <c r="G220" s="333">
        <f>'Sch4-Cost Savings by ECM'!T220</f>
        <v>0</v>
      </c>
      <c r="H220" s="334">
        <f>VLOOKUP("Natural Gas", 'GHG Emissions'!$D$2:$M$66,4,FALSE)+VLOOKUP("Natural Gas", 'GHG Emissions'!$D$2:$M$66,6,FALSE)*'eGRID subregion name'!$P$3+VLOOKUP("Natural Gas", 'GHG Emissions'!$D$2:$M$66,8,FALSE)*'eGRID subregion name'!$P$4</f>
        <v>53.114800000000002</v>
      </c>
      <c r="I220" s="334">
        <f t="shared" si="22"/>
        <v>0</v>
      </c>
      <c r="J220" s="333">
        <f>'Sch4-Cost Savings by ECM'!V220</f>
        <v>0</v>
      </c>
      <c r="K22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0" s="334">
        <f t="shared" si="28"/>
        <v>0</v>
      </c>
      <c r="M220" s="333">
        <f>'Sch4-Cost Savings by ECM'!X220</f>
        <v>0</v>
      </c>
      <c r="N22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0" s="334">
        <f t="shared" si="23"/>
        <v>0</v>
      </c>
      <c r="P220" s="334">
        <f t="shared" si="24"/>
        <v>0</v>
      </c>
      <c r="Q220" s="334">
        <f t="shared" si="25"/>
        <v>0</v>
      </c>
      <c r="R220" s="334">
        <f t="shared" si="26"/>
        <v>0</v>
      </c>
    </row>
    <row r="221" spans="1:18" ht="16.5" thickBot="1">
      <c r="A221" s="40" t="str">
        <f>IF('Sch2a-Imp Price by ECM'!B222="","",'Sch2a-Imp Price by ECM'!B222)</f>
        <v/>
      </c>
      <c r="B221" s="76" t="str">
        <f>IF('Sch2a-Imp Price by ECM'!D222="","",'Sch2a-Imp Price by ECM'!D222)</f>
        <v/>
      </c>
      <c r="C221" s="331" t="s">
        <v>333</v>
      </c>
      <c r="D221" s="332">
        <f>'Sch4-Cost Savings by ECM'!P221</f>
        <v>0</v>
      </c>
      <c r="E221" s="376">
        <f>VLOOKUP(C221,'eGRID subregion name'!$A$2:$N$30,8,0)</f>
        <v>189.83531623683197</v>
      </c>
      <c r="F221" s="376">
        <f t="shared" si="27"/>
        <v>0</v>
      </c>
      <c r="G221" s="333">
        <f>'Sch4-Cost Savings by ECM'!T221</f>
        <v>0</v>
      </c>
      <c r="H221" s="334">
        <f>VLOOKUP("Natural Gas", 'GHG Emissions'!$D$2:$M$66,4,FALSE)+VLOOKUP("Natural Gas", 'GHG Emissions'!$D$2:$M$66,6,FALSE)*'eGRID subregion name'!$P$3+VLOOKUP("Natural Gas", 'GHG Emissions'!$D$2:$M$66,8,FALSE)*'eGRID subregion name'!$P$4</f>
        <v>53.114800000000002</v>
      </c>
      <c r="I221" s="334">
        <f t="shared" si="22"/>
        <v>0</v>
      </c>
      <c r="J221" s="333">
        <f>'Sch4-Cost Savings by ECM'!V221</f>
        <v>0</v>
      </c>
      <c r="K22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1" s="334">
        <f t="shared" si="28"/>
        <v>0</v>
      </c>
      <c r="M221" s="333">
        <f>'Sch4-Cost Savings by ECM'!X221</f>
        <v>0</v>
      </c>
      <c r="N22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1" s="334">
        <f t="shared" si="23"/>
        <v>0</v>
      </c>
      <c r="P221" s="334">
        <f t="shared" si="24"/>
        <v>0</v>
      </c>
      <c r="Q221" s="334">
        <f t="shared" si="25"/>
        <v>0</v>
      </c>
      <c r="R221" s="334">
        <f t="shared" si="26"/>
        <v>0</v>
      </c>
    </row>
    <row r="222" spans="1:18" ht="16.5" thickBot="1">
      <c r="A222" s="40" t="str">
        <f>IF('Sch2a-Imp Price by ECM'!B223="","",'Sch2a-Imp Price by ECM'!B223)</f>
        <v/>
      </c>
      <c r="B222" s="76" t="str">
        <f>IF('Sch2a-Imp Price by ECM'!D223="","",'Sch2a-Imp Price by ECM'!D223)</f>
        <v/>
      </c>
      <c r="C222" s="331" t="s">
        <v>333</v>
      </c>
      <c r="D222" s="332">
        <f>'Sch4-Cost Savings by ECM'!P222</f>
        <v>0</v>
      </c>
      <c r="E222" s="376">
        <f>VLOOKUP(C222,'eGRID subregion name'!$A$2:$N$30,8,0)</f>
        <v>189.83531623683197</v>
      </c>
      <c r="F222" s="376">
        <f t="shared" si="27"/>
        <v>0</v>
      </c>
      <c r="G222" s="333">
        <f>'Sch4-Cost Savings by ECM'!T222</f>
        <v>0</v>
      </c>
      <c r="H222" s="334">
        <f>VLOOKUP("Natural Gas", 'GHG Emissions'!$D$2:$M$66,4,FALSE)+VLOOKUP("Natural Gas", 'GHG Emissions'!$D$2:$M$66,6,FALSE)*'eGRID subregion name'!$P$3+VLOOKUP("Natural Gas", 'GHG Emissions'!$D$2:$M$66,8,FALSE)*'eGRID subregion name'!$P$4</f>
        <v>53.114800000000002</v>
      </c>
      <c r="I222" s="334">
        <f t="shared" si="22"/>
        <v>0</v>
      </c>
      <c r="J222" s="333">
        <f>'Sch4-Cost Savings by ECM'!V222</f>
        <v>0</v>
      </c>
      <c r="K22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2" s="334">
        <f t="shared" si="28"/>
        <v>0</v>
      </c>
      <c r="M222" s="333">
        <f>'Sch4-Cost Savings by ECM'!X222</f>
        <v>0</v>
      </c>
      <c r="N22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2" s="334">
        <f t="shared" si="23"/>
        <v>0</v>
      </c>
      <c r="P222" s="334">
        <f t="shared" si="24"/>
        <v>0</v>
      </c>
      <c r="Q222" s="334">
        <f t="shared" si="25"/>
        <v>0</v>
      </c>
      <c r="R222" s="334">
        <f t="shared" si="26"/>
        <v>0</v>
      </c>
    </row>
    <row r="223" spans="1:18" ht="18" customHeight="1" thickBot="1">
      <c r="A223" s="40" t="str">
        <f>IF('Sch2a-Imp Price by ECM'!B224="","",'Sch2a-Imp Price by ECM'!B224)</f>
        <v/>
      </c>
      <c r="B223" s="76" t="str">
        <f>IF('Sch2a-Imp Price by ECM'!D224="","",'Sch2a-Imp Price by ECM'!D224)</f>
        <v/>
      </c>
      <c r="C223" s="331" t="s">
        <v>333</v>
      </c>
      <c r="D223" s="332">
        <f>'Sch4-Cost Savings by ECM'!P223</f>
        <v>0</v>
      </c>
      <c r="E223" s="376">
        <f>VLOOKUP(C223,'eGRID subregion name'!$A$2:$N$30,8,0)</f>
        <v>189.83531623683197</v>
      </c>
      <c r="F223" s="376">
        <f t="shared" si="27"/>
        <v>0</v>
      </c>
      <c r="G223" s="333">
        <f>'Sch4-Cost Savings by ECM'!T223</f>
        <v>0</v>
      </c>
      <c r="H223" s="334">
        <f>VLOOKUP("Natural Gas", 'GHG Emissions'!$D$2:$M$66,4,FALSE)+VLOOKUP("Natural Gas", 'GHG Emissions'!$D$2:$M$66,6,FALSE)*'eGRID subregion name'!$P$3+VLOOKUP("Natural Gas", 'GHG Emissions'!$D$2:$M$66,8,FALSE)*'eGRID subregion name'!$P$4</f>
        <v>53.114800000000002</v>
      </c>
      <c r="I223" s="334">
        <f t="shared" si="22"/>
        <v>0</v>
      </c>
      <c r="J223" s="333">
        <f>'Sch4-Cost Savings by ECM'!V223</f>
        <v>0</v>
      </c>
      <c r="K22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3" s="334">
        <f t="shared" si="28"/>
        <v>0</v>
      </c>
      <c r="M223" s="333">
        <f>'Sch4-Cost Savings by ECM'!X223</f>
        <v>0</v>
      </c>
      <c r="N22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3" s="334">
        <f t="shared" si="23"/>
        <v>0</v>
      </c>
      <c r="P223" s="334">
        <f t="shared" si="24"/>
        <v>0</v>
      </c>
      <c r="Q223" s="334">
        <f t="shared" si="25"/>
        <v>0</v>
      </c>
      <c r="R223" s="334">
        <f t="shared" si="26"/>
        <v>0</v>
      </c>
    </row>
    <row r="224" spans="1:18" ht="16.5" thickBot="1">
      <c r="A224" s="40" t="str">
        <f>IF('Sch2a-Imp Price by ECM'!B225="","",'Sch2a-Imp Price by ECM'!B225)</f>
        <v/>
      </c>
      <c r="B224" s="76" t="str">
        <f>IF('Sch2a-Imp Price by ECM'!D225="","",'Sch2a-Imp Price by ECM'!D225)</f>
        <v/>
      </c>
      <c r="C224" s="331" t="s">
        <v>333</v>
      </c>
      <c r="D224" s="332">
        <f>'Sch4-Cost Savings by ECM'!P224</f>
        <v>0</v>
      </c>
      <c r="E224" s="376">
        <f>VLOOKUP(C224,'eGRID subregion name'!$A$2:$N$30,8,0)</f>
        <v>189.83531623683197</v>
      </c>
      <c r="F224" s="376">
        <f t="shared" si="27"/>
        <v>0</v>
      </c>
      <c r="G224" s="333">
        <f>'Sch4-Cost Savings by ECM'!T224</f>
        <v>0</v>
      </c>
      <c r="H224" s="334">
        <f>VLOOKUP("Natural Gas", 'GHG Emissions'!$D$2:$M$66,4,FALSE)+VLOOKUP("Natural Gas", 'GHG Emissions'!$D$2:$M$66,6,FALSE)*'eGRID subregion name'!$P$3+VLOOKUP("Natural Gas", 'GHG Emissions'!$D$2:$M$66,8,FALSE)*'eGRID subregion name'!$P$4</f>
        <v>53.114800000000002</v>
      </c>
      <c r="I224" s="334">
        <f t="shared" si="22"/>
        <v>0</v>
      </c>
      <c r="J224" s="333">
        <f>'Sch4-Cost Savings by ECM'!V224</f>
        <v>0</v>
      </c>
      <c r="K22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4" s="334">
        <f t="shared" si="28"/>
        <v>0</v>
      </c>
      <c r="M224" s="333">
        <f>'Sch4-Cost Savings by ECM'!X224</f>
        <v>0</v>
      </c>
      <c r="N22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4" s="334">
        <f t="shared" si="23"/>
        <v>0</v>
      </c>
      <c r="P224" s="334">
        <f t="shared" si="24"/>
        <v>0</v>
      </c>
      <c r="Q224" s="334">
        <f t="shared" si="25"/>
        <v>0</v>
      </c>
      <c r="R224" s="334">
        <f t="shared" si="26"/>
        <v>0</v>
      </c>
    </row>
    <row r="225" spans="1:18" ht="16.5" thickBot="1">
      <c r="A225" s="40" t="str">
        <f>IF('Sch2a-Imp Price by ECM'!B226="","",'Sch2a-Imp Price by ECM'!B226)</f>
        <v/>
      </c>
      <c r="B225" s="76" t="str">
        <f>IF('Sch2a-Imp Price by ECM'!D226="","",'Sch2a-Imp Price by ECM'!D226)</f>
        <v/>
      </c>
      <c r="C225" s="331" t="s">
        <v>333</v>
      </c>
      <c r="D225" s="332">
        <f>'Sch4-Cost Savings by ECM'!P225</f>
        <v>0</v>
      </c>
      <c r="E225" s="376">
        <f>VLOOKUP(C225,'eGRID subregion name'!$A$2:$N$30,8,0)</f>
        <v>189.83531623683197</v>
      </c>
      <c r="F225" s="376">
        <f t="shared" si="27"/>
        <v>0</v>
      </c>
      <c r="G225" s="333">
        <f>'Sch4-Cost Savings by ECM'!T225</f>
        <v>0</v>
      </c>
      <c r="H225" s="334">
        <f>VLOOKUP("Natural Gas", 'GHG Emissions'!$D$2:$M$66,4,FALSE)+VLOOKUP("Natural Gas", 'GHG Emissions'!$D$2:$M$66,6,FALSE)*'eGRID subregion name'!$P$3+VLOOKUP("Natural Gas", 'GHG Emissions'!$D$2:$M$66,8,FALSE)*'eGRID subregion name'!$P$4</f>
        <v>53.114800000000002</v>
      </c>
      <c r="I225" s="334">
        <f t="shared" si="22"/>
        <v>0</v>
      </c>
      <c r="J225" s="333">
        <f>'Sch4-Cost Savings by ECM'!V225</f>
        <v>0</v>
      </c>
      <c r="K22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5" s="334">
        <f t="shared" si="28"/>
        <v>0</v>
      </c>
      <c r="M225" s="333">
        <f>'Sch4-Cost Savings by ECM'!X225</f>
        <v>0</v>
      </c>
      <c r="N22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5" s="334">
        <f t="shared" si="23"/>
        <v>0</v>
      </c>
      <c r="P225" s="334">
        <f t="shared" si="24"/>
        <v>0</v>
      </c>
      <c r="Q225" s="334">
        <f t="shared" si="25"/>
        <v>0</v>
      </c>
      <c r="R225" s="334">
        <f t="shared" si="26"/>
        <v>0</v>
      </c>
    </row>
    <row r="226" spans="1:18" ht="16.5" thickBot="1">
      <c r="A226" s="40" t="str">
        <f>IF('Sch2a-Imp Price by ECM'!B227="","",'Sch2a-Imp Price by ECM'!B227)</f>
        <v/>
      </c>
      <c r="B226" s="76" t="str">
        <f>IF('Sch2a-Imp Price by ECM'!D227="","",'Sch2a-Imp Price by ECM'!D227)</f>
        <v/>
      </c>
      <c r="C226" s="331" t="s">
        <v>333</v>
      </c>
      <c r="D226" s="332">
        <f>'Sch4-Cost Savings by ECM'!P226</f>
        <v>0</v>
      </c>
      <c r="E226" s="376">
        <f>VLOOKUP(C226,'eGRID subregion name'!$A$2:$N$30,8,0)</f>
        <v>189.83531623683197</v>
      </c>
      <c r="F226" s="376">
        <f t="shared" si="27"/>
        <v>0</v>
      </c>
      <c r="G226" s="333">
        <f>'Sch4-Cost Savings by ECM'!T226</f>
        <v>0</v>
      </c>
      <c r="H226" s="334">
        <f>VLOOKUP("Natural Gas", 'GHG Emissions'!$D$2:$M$66,4,FALSE)+VLOOKUP("Natural Gas", 'GHG Emissions'!$D$2:$M$66,6,FALSE)*'eGRID subregion name'!$P$3+VLOOKUP("Natural Gas", 'GHG Emissions'!$D$2:$M$66,8,FALSE)*'eGRID subregion name'!$P$4</f>
        <v>53.114800000000002</v>
      </c>
      <c r="I226" s="334">
        <f t="shared" si="22"/>
        <v>0</v>
      </c>
      <c r="J226" s="333">
        <f>'Sch4-Cost Savings by ECM'!V226</f>
        <v>0</v>
      </c>
      <c r="K22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6" s="334">
        <f t="shared" si="28"/>
        <v>0</v>
      </c>
      <c r="M226" s="333">
        <f>'Sch4-Cost Savings by ECM'!X226</f>
        <v>0</v>
      </c>
      <c r="N22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6" s="334">
        <f t="shared" si="23"/>
        <v>0</v>
      </c>
      <c r="P226" s="334">
        <f t="shared" si="24"/>
        <v>0</v>
      </c>
      <c r="Q226" s="334">
        <f t="shared" si="25"/>
        <v>0</v>
      </c>
      <c r="R226" s="334">
        <f t="shared" si="26"/>
        <v>0</v>
      </c>
    </row>
    <row r="227" spans="1:18" ht="16.5" thickBot="1">
      <c r="A227" s="40" t="str">
        <f>IF('Sch2a-Imp Price by ECM'!B228="","",'Sch2a-Imp Price by ECM'!B228)</f>
        <v/>
      </c>
      <c r="B227" s="76" t="str">
        <f>IF('Sch2a-Imp Price by ECM'!D228="","",'Sch2a-Imp Price by ECM'!D228)</f>
        <v/>
      </c>
      <c r="C227" s="331" t="s">
        <v>333</v>
      </c>
      <c r="D227" s="332">
        <f>'Sch4-Cost Savings by ECM'!P227</f>
        <v>0</v>
      </c>
      <c r="E227" s="376">
        <f>VLOOKUP(C227,'eGRID subregion name'!$A$2:$N$30,8,0)</f>
        <v>189.83531623683197</v>
      </c>
      <c r="F227" s="376">
        <f t="shared" si="27"/>
        <v>0</v>
      </c>
      <c r="G227" s="333">
        <f>'Sch4-Cost Savings by ECM'!T227</f>
        <v>0</v>
      </c>
      <c r="H227" s="334">
        <f>VLOOKUP("Natural Gas", 'GHG Emissions'!$D$2:$M$66,4,FALSE)+VLOOKUP("Natural Gas", 'GHG Emissions'!$D$2:$M$66,6,FALSE)*'eGRID subregion name'!$P$3+VLOOKUP("Natural Gas", 'GHG Emissions'!$D$2:$M$66,8,FALSE)*'eGRID subregion name'!$P$4</f>
        <v>53.114800000000002</v>
      </c>
      <c r="I227" s="334">
        <f t="shared" si="22"/>
        <v>0</v>
      </c>
      <c r="J227" s="333">
        <f>'Sch4-Cost Savings by ECM'!V227</f>
        <v>0</v>
      </c>
      <c r="K22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7" s="334">
        <f t="shared" si="28"/>
        <v>0</v>
      </c>
      <c r="M227" s="333">
        <f>'Sch4-Cost Savings by ECM'!X227</f>
        <v>0</v>
      </c>
      <c r="N22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7" s="334">
        <f t="shared" si="23"/>
        <v>0</v>
      </c>
      <c r="P227" s="334">
        <f t="shared" si="24"/>
        <v>0</v>
      </c>
      <c r="Q227" s="334">
        <f t="shared" si="25"/>
        <v>0</v>
      </c>
      <c r="R227" s="334">
        <f t="shared" si="26"/>
        <v>0</v>
      </c>
    </row>
    <row r="228" spans="1:18" ht="16.5" thickBot="1">
      <c r="A228" s="40" t="str">
        <f>IF('Sch2a-Imp Price by ECM'!B229="","",'Sch2a-Imp Price by ECM'!B229)</f>
        <v/>
      </c>
      <c r="B228" s="76" t="str">
        <f>IF('Sch2a-Imp Price by ECM'!D229="","",'Sch2a-Imp Price by ECM'!D229)</f>
        <v/>
      </c>
      <c r="C228" s="331" t="s">
        <v>333</v>
      </c>
      <c r="D228" s="332">
        <f>'Sch4-Cost Savings by ECM'!P228</f>
        <v>0</v>
      </c>
      <c r="E228" s="376">
        <f>VLOOKUP(C228,'eGRID subregion name'!$A$2:$N$30,8,0)</f>
        <v>189.83531623683197</v>
      </c>
      <c r="F228" s="376">
        <f t="shared" si="27"/>
        <v>0</v>
      </c>
      <c r="G228" s="333">
        <f>'Sch4-Cost Savings by ECM'!T228</f>
        <v>0</v>
      </c>
      <c r="H228" s="334">
        <f>VLOOKUP("Natural Gas", 'GHG Emissions'!$D$2:$M$66,4,FALSE)+VLOOKUP("Natural Gas", 'GHG Emissions'!$D$2:$M$66,6,FALSE)*'eGRID subregion name'!$P$3+VLOOKUP("Natural Gas", 'GHG Emissions'!$D$2:$M$66,8,FALSE)*'eGRID subregion name'!$P$4</f>
        <v>53.114800000000002</v>
      </c>
      <c r="I228" s="334">
        <f t="shared" si="22"/>
        <v>0</v>
      </c>
      <c r="J228" s="333">
        <f>'Sch4-Cost Savings by ECM'!V228</f>
        <v>0</v>
      </c>
      <c r="K22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8" s="334">
        <f t="shared" si="28"/>
        <v>0</v>
      </c>
      <c r="M228" s="333">
        <f>'Sch4-Cost Savings by ECM'!X228</f>
        <v>0</v>
      </c>
      <c r="N22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8" s="334">
        <f t="shared" si="23"/>
        <v>0</v>
      </c>
      <c r="P228" s="334">
        <f t="shared" si="24"/>
        <v>0</v>
      </c>
      <c r="Q228" s="334">
        <f t="shared" si="25"/>
        <v>0</v>
      </c>
      <c r="R228" s="334">
        <f t="shared" si="26"/>
        <v>0</v>
      </c>
    </row>
    <row r="229" spans="1:18" ht="16.5" thickBot="1">
      <c r="A229" s="40" t="str">
        <f>IF('Sch2a-Imp Price by ECM'!B230="","",'Sch2a-Imp Price by ECM'!B230)</f>
        <v/>
      </c>
      <c r="B229" s="76" t="str">
        <f>IF('Sch2a-Imp Price by ECM'!D230="","",'Sch2a-Imp Price by ECM'!D230)</f>
        <v/>
      </c>
      <c r="C229" s="331" t="s">
        <v>333</v>
      </c>
      <c r="D229" s="332">
        <f>'Sch4-Cost Savings by ECM'!P229</f>
        <v>0</v>
      </c>
      <c r="E229" s="376">
        <f>VLOOKUP(C229,'eGRID subregion name'!$A$2:$N$30,8,0)</f>
        <v>189.83531623683197</v>
      </c>
      <c r="F229" s="376">
        <f t="shared" si="27"/>
        <v>0</v>
      </c>
      <c r="G229" s="333">
        <f>'Sch4-Cost Savings by ECM'!T229</f>
        <v>0</v>
      </c>
      <c r="H229" s="334">
        <f>VLOOKUP("Natural Gas", 'GHG Emissions'!$D$2:$M$66,4,FALSE)+VLOOKUP("Natural Gas", 'GHG Emissions'!$D$2:$M$66,6,FALSE)*'eGRID subregion name'!$P$3+VLOOKUP("Natural Gas", 'GHG Emissions'!$D$2:$M$66,8,FALSE)*'eGRID subregion name'!$P$4</f>
        <v>53.114800000000002</v>
      </c>
      <c r="I229" s="334">
        <f t="shared" si="22"/>
        <v>0</v>
      </c>
      <c r="J229" s="333">
        <f>'Sch4-Cost Savings by ECM'!V229</f>
        <v>0</v>
      </c>
      <c r="K22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29" s="334">
        <f t="shared" si="28"/>
        <v>0</v>
      </c>
      <c r="M229" s="333">
        <f>'Sch4-Cost Savings by ECM'!X229</f>
        <v>0</v>
      </c>
      <c r="N22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29" s="334">
        <f t="shared" si="23"/>
        <v>0</v>
      </c>
      <c r="P229" s="334">
        <f t="shared" si="24"/>
        <v>0</v>
      </c>
      <c r="Q229" s="334">
        <f t="shared" si="25"/>
        <v>0</v>
      </c>
      <c r="R229" s="334">
        <f t="shared" si="26"/>
        <v>0</v>
      </c>
    </row>
    <row r="230" spans="1:18" ht="16.5" thickBot="1">
      <c r="A230" s="40" t="str">
        <f>IF('Sch2a-Imp Price by ECM'!B231="","",'Sch2a-Imp Price by ECM'!B231)</f>
        <v/>
      </c>
      <c r="B230" s="76" t="str">
        <f>IF('Sch2a-Imp Price by ECM'!D231="","",'Sch2a-Imp Price by ECM'!D231)</f>
        <v/>
      </c>
      <c r="C230" s="331" t="s">
        <v>333</v>
      </c>
      <c r="D230" s="332">
        <f>'Sch4-Cost Savings by ECM'!P230</f>
        <v>0</v>
      </c>
      <c r="E230" s="376">
        <f>VLOOKUP(C230,'eGRID subregion name'!$A$2:$N$30,8,0)</f>
        <v>189.83531623683197</v>
      </c>
      <c r="F230" s="376">
        <f t="shared" si="27"/>
        <v>0</v>
      </c>
      <c r="G230" s="333">
        <f>'Sch4-Cost Savings by ECM'!T230</f>
        <v>0</v>
      </c>
      <c r="H230" s="334">
        <f>VLOOKUP("Natural Gas", 'GHG Emissions'!$D$2:$M$66,4,FALSE)+VLOOKUP("Natural Gas", 'GHG Emissions'!$D$2:$M$66,6,FALSE)*'eGRID subregion name'!$P$3+VLOOKUP("Natural Gas", 'GHG Emissions'!$D$2:$M$66,8,FALSE)*'eGRID subregion name'!$P$4</f>
        <v>53.114800000000002</v>
      </c>
      <c r="I230" s="334">
        <f t="shared" si="22"/>
        <v>0</v>
      </c>
      <c r="J230" s="333">
        <f>'Sch4-Cost Savings by ECM'!V230</f>
        <v>0</v>
      </c>
      <c r="K23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0" s="334">
        <f t="shared" si="28"/>
        <v>0</v>
      </c>
      <c r="M230" s="333">
        <f>'Sch4-Cost Savings by ECM'!X230</f>
        <v>0</v>
      </c>
      <c r="N23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0" s="334">
        <f t="shared" si="23"/>
        <v>0</v>
      </c>
      <c r="P230" s="334">
        <f t="shared" si="24"/>
        <v>0</v>
      </c>
      <c r="Q230" s="334">
        <f t="shared" si="25"/>
        <v>0</v>
      </c>
      <c r="R230" s="334">
        <f t="shared" si="26"/>
        <v>0</v>
      </c>
    </row>
    <row r="231" spans="1:18" ht="16.5" thickBot="1">
      <c r="A231" s="40" t="str">
        <f>IF('Sch2a-Imp Price by ECM'!B232="","",'Sch2a-Imp Price by ECM'!B232)</f>
        <v/>
      </c>
      <c r="B231" s="76" t="str">
        <f>IF('Sch2a-Imp Price by ECM'!D232="","",'Sch2a-Imp Price by ECM'!D232)</f>
        <v/>
      </c>
      <c r="C231" s="331" t="s">
        <v>333</v>
      </c>
      <c r="D231" s="332">
        <f>'Sch4-Cost Savings by ECM'!P231</f>
        <v>0</v>
      </c>
      <c r="E231" s="376">
        <f>VLOOKUP(C231,'eGRID subregion name'!$A$2:$N$30,8,0)</f>
        <v>189.83531623683197</v>
      </c>
      <c r="F231" s="376">
        <f t="shared" si="27"/>
        <v>0</v>
      </c>
      <c r="G231" s="333">
        <f>'Sch4-Cost Savings by ECM'!T231</f>
        <v>0</v>
      </c>
      <c r="H231" s="334">
        <f>VLOOKUP("Natural Gas", 'GHG Emissions'!$D$2:$M$66,4,FALSE)+VLOOKUP("Natural Gas", 'GHG Emissions'!$D$2:$M$66,6,FALSE)*'eGRID subregion name'!$P$3+VLOOKUP("Natural Gas", 'GHG Emissions'!$D$2:$M$66,8,FALSE)*'eGRID subregion name'!$P$4</f>
        <v>53.114800000000002</v>
      </c>
      <c r="I231" s="334">
        <f t="shared" si="22"/>
        <v>0</v>
      </c>
      <c r="J231" s="333">
        <f>'Sch4-Cost Savings by ECM'!V231</f>
        <v>0</v>
      </c>
      <c r="K23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1" s="334">
        <f t="shared" si="28"/>
        <v>0</v>
      </c>
      <c r="M231" s="333">
        <f>'Sch4-Cost Savings by ECM'!X231</f>
        <v>0</v>
      </c>
      <c r="N23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1" s="334">
        <f t="shared" si="23"/>
        <v>0</v>
      </c>
      <c r="P231" s="334">
        <f t="shared" si="24"/>
        <v>0</v>
      </c>
      <c r="Q231" s="334">
        <f t="shared" si="25"/>
        <v>0</v>
      </c>
      <c r="R231" s="334">
        <f t="shared" si="26"/>
        <v>0</v>
      </c>
    </row>
    <row r="232" spans="1:18" ht="16.5" thickBot="1">
      <c r="A232" s="40" t="str">
        <f>IF('Sch2a-Imp Price by ECM'!B233="","",'Sch2a-Imp Price by ECM'!B233)</f>
        <v/>
      </c>
      <c r="B232" s="76" t="str">
        <f>IF('Sch2a-Imp Price by ECM'!D233="","",'Sch2a-Imp Price by ECM'!D233)</f>
        <v/>
      </c>
      <c r="C232" s="331" t="s">
        <v>333</v>
      </c>
      <c r="D232" s="332">
        <f>'Sch4-Cost Savings by ECM'!P232</f>
        <v>0</v>
      </c>
      <c r="E232" s="376">
        <f>VLOOKUP(C232,'eGRID subregion name'!$A$2:$N$30,8,0)</f>
        <v>189.83531623683197</v>
      </c>
      <c r="F232" s="376">
        <f t="shared" si="27"/>
        <v>0</v>
      </c>
      <c r="G232" s="333">
        <f>'Sch4-Cost Savings by ECM'!T232</f>
        <v>0</v>
      </c>
      <c r="H232" s="334">
        <f>VLOOKUP("Natural Gas", 'GHG Emissions'!$D$2:$M$66,4,FALSE)+VLOOKUP("Natural Gas", 'GHG Emissions'!$D$2:$M$66,6,FALSE)*'eGRID subregion name'!$P$3+VLOOKUP("Natural Gas", 'GHG Emissions'!$D$2:$M$66,8,FALSE)*'eGRID subregion name'!$P$4</f>
        <v>53.114800000000002</v>
      </c>
      <c r="I232" s="334">
        <f t="shared" si="22"/>
        <v>0</v>
      </c>
      <c r="J232" s="333">
        <f>'Sch4-Cost Savings by ECM'!V232</f>
        <v>0</v>
      </c>
      <c r="K23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2" s="334">
        <f t="shared" si="28"/>
        <v>0</v>
      </c>
      <c r="M232" s="333">
        <f>'Sch4-Cost Savings by ECM'!X232</f>
        <v>0</v>
      </c>
      <c r="N23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2" s="334">
        <f t="shared" si="23"/>
        <v>0</v>
      </c>
      <c r="P232" s="334">
        <f t="shared" si="24"/>
        <v>0</v>
      </c>
      <c r="Q232" s="334">
        <f t="shared" si="25"/>
        <v>0</v>
      </c>
      <c r="R232" s="334">
        <f t="shared" si="26"/>
        <v>0</v>
      </c>
    </row>
    <row r="233" spans="1:18" ht="16.5" thickBot="1">
      <c r="A233" s="40" t="str">
        <f>IF('Sch2a-Imp Price by ECM'!B234="","",'Sch2a-Imp Price by ECM'!B234)</f>
        <v/>
      </c>
      <c r="B233" s="76" t="str">
        <f>IF('Sch2a-Imp Price by ECM'!D234="","",'Sch2a-Imp Price by ECM'!D234)</f>
        <v/>
      </c>
      <c r="C233" s="331" t="s">
        <v>333</v>
      </c>
      <c r="D233" s="332">
        <f>'Sch4-Cost Savings by ECM'!P233</f>
        <v>0</v>
      </c>
      <c r="E233" s="376">
        <f>VLOOKUP(C233,'eGRID subregion name'!$A$2:$N$30,8,0)</f>
        <v>189.83531623683197</v>
      </c>
      <c r="F233" s="376">
        <f t="shared" si="27"/>
        <v>0</v>
      </c>
      <c r="G233" s="333">
        <f>'Sch4-Cost Savings by ECM'!T233</f>
        <v>0</v>
      </c>
      <c r="H233" s="334">
        <f>VLOOKUP("Natural Gas", 'GHG Emissions'!$D$2:$M$66,4,FALSE)+VLOOKUP("Natural Gas", 'GHG Emissions'!$D$2:$M$66,6,FALSE)*'eGRID subregion name'!$P$3+VLOOKUP("Natural Gas", 'GHG Emissions'!$D$2:$M$66,8,FALSE)*'eGRID subregion name'!$P$4</f>
        <v>53.114800000000002</v>
      </c>
      <c r="I233" s="334">
        <f t="shared" si="22"/>
        <v>0</v>
      </c>
      <c r="J233" s="333">
        <f>'Sch4-Cost Savings by ECM'!V233</f>
        <v>0</v>
      </c>
      <c r="K23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3" s="334">
        <f t="shared" si="28"/>
        <v>0</v>
      </c>
      <c r="M233" s="333">
        <f>'Sch4-Cost Savings by ECM'!X233</f>
        <v>0</v>
      </c>
      <c r="N23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3" s="334">
        <f t="shared" si="23"/>
        <v>0</v>
      </c>
      <c r="P233" s="334">
        <f t="shared" si="24"/>
        <v>0</v>
      </c>
      <c r="Q233" s="334">
        <f t="shared" si="25"/>
        <v>0</v>
      </c>
      <c r="R233" s="334">
        <f t="shared" si="26"/>
        <v>0</v>
      </c>
    </row>
    <row r="234" spans="1:18" ht="16.5" thickBot="1">
      <c r="A234" s="40" t="str">
        <f>IF('Sch2a-Imp Price by ECM'!B235="","",'Sch2a-Imp Price by ECM'!B235)</f>
        <v/>
      </c>
      <c r="B234" s="76" t="str">
        <f>IF('Sch2a-Imp Price by ECM'!D235="","",'Sch2a-Imp Price by ECM'!D235)</f>
        <v/>
      </c>
      <c r="C234" s="331" t="s">
        <v>333</v>
      </c>
      <c r="D234" s="332">
        <f>'Sch4-Cost Savings by ECM'!P234</f>
        <v>0</v>
      </c>
      <c r="E234" s="376">
        <f>VLOOKUP(C234,'eGRID subregion name'!$A$2:$N$30,8,0)</f>
        <v>189.83531623683197</v>
      </c>
      <c r="F234" s="376">
        <f t="shared" si="27"/>
        <v>0</v>
      </c>
      <c r="G234" s="333">
        <f>'Sch4-Cost Savings by ECM'!T234</f>
        <v>0</v>
      </c>
      <c r="H234" s="334">
        <f>VLOOKUP("Natural Gas", 'GHG Emissions'!$D$2:$M$66,4,FALSE)+VLOOKUP("Natural Gas", 'GHG Emissions'!$D$2:$M$66,6,FALSE)*'eGRID subregion name'!$P$3+VLOOKUP("Natural Gas", 'GHG Emissions'!$D$2:$M$66,8,FALSE)*'eGRID subregion name'!$P$4</f>
        <v>53.114800000000002</v>
      </c>
      <c r="I234" s="334">
        <f t="shared" si="22"/>
        <v>0</v>
      </c>
      <c r="J234" s="333">
        <f>'Sch4-Cost Savings by ECM'!V234</f>
        <v>0</v>
      </c>
      <c r="K23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4" s="334">
        <f t="shared" si="28"/>
        <v>0</v>
      </c>
      <c r="M234" s="333">
        <f>'Sch4-Cost Savings by ECM'!X234</f>
        <v>0</v>
      </c>
      <c r="N23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4" s="334">
        <f t="shared" si="23"/>
        <v>0</v>
      </c>
      <c r="P234" s="334">
        <f t="shared" si="24"/>
        <v>0</v>
      </c>
      <c r="Q234" s="334">
        <f t="shared" si="25"/>
        <v>0</v>
      </c>
      <c r="R234" s="334">
        <f t="shared" si="26"/>
        <v>0</v>
      </c>
    </row>
    <row r="235" spans="1:18" ht="16.5" thickBot="1">
      <c r="A235" s="40" t="str">
        <f>IF('Sch2a-Imp Price by ECM'!B236="","",'Sch2a-Imp Price by ECM'!B236)</f>
        <v/>
      </c>
      <c r="B235" s="76" t="str">
        <f>IF('Sch2a-Imp Price by ECM'!D236="","",'Sch2a-Imp Price by ECM'!D236)</f>
        <v/>
      </c>
      <c r="C235" s="331" t="s">
        <v>333</v>
      </c>
      <c r="D235" s="332">
        <f>'Sch4-Cost Savings by ECM'!P235</f>
        <v>0</v>
      </c>
      <c r="E235" s="376">
        <f>VLOOKUP(C235,'eGRID subregion name'!$A$2:$N$30,8,0)</f>
        <v>189.83531623683197</v>
      </c>
      <c r="F235" s="376">
        <f t="shared" si="27"/>
        <v>0</v>
      </c>
      <c r="G235" s="333">
        <f>'Sch4-Cost Savings by ECM'!T235</f>
        <v>0</v>
      </c>
      <c r="H235" s="334">
        <f>VLOOKUP("Natural Gas", 'GHG Emissions'!$D$2:$M$66,4,FALSE)+VLOOKUP("Natural Gas", 'GHG Emissions'!$D$2:$M$66,6,FALSE)*'eGRID subregion name'!$P$3+VLOOKUP("Natural Gas", 'GHG Emissions'!$D$2:$M$66,8,FALSE)*'eGRID subregion name'!$P$4</f>
        <v>53.114800000000002</v>
      </c>
      <c r="I235" s="334">
        <f t="shared" si="22"/>
        <v>0</v>
      </c>
      <c r="J235" s="333">
        <f>'Sch4-Cost Savings by ECM'!V235</f>
        <v>0</v>
      </c>
      <c r="K23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5" s="334">
        <f t="shared" si="28"/>
        <v>0</v>
      </c>
      <c r="M235" s="333">
        <f>'Sch4-Cost Savings by ECM'!X235</f>
        <v>0</v>
      </c>
      <c r="N23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5" s="334">
        <f t="shared" si="23"/>
        <v>0</v>
      </c>
      <c r="P235" s="334">
        <f t="shared" si="24"/>
        <v>0</v>
      </c>
      <c r="Q235" s="334">
        <f t="shared" si="25"/>
        <v>0</v>
      </c>
      <c r="R235" s="334">
        <f t="shared" si="26"/>
        <v>0</v>
      </c>
    </row>
    <row r="236" spans="1:18" ht="16.5" thickBot="1">
      <c r="A236" s="40" t="str">
        <f>IF('Sch2a-Imp Price by ECM'!B237="","",'Sch2a-Imp Price by ECM'!B237)</f>
        <v/>
      </c>
      <c r="B236" s="76" t="str">
        <f>IF('Sch2a-Imp Price by ECM'!D237="","",'Sch2a-Imp Price by ECM'!D237)</f>
        <v/>
      </c>
      <c r="C236" s="331" t="s">
        <v>333</v>
      </c>
      <c r="D236" s="332">
        <f>'Sch4-Cost Savings by ECM'!P236</f>
        <v>0</v>
      </c>
      <c r="E236" s="376">
        <f>VLOOKUP(C236,'eGRID subregion name'!$A$2:$N$30,8,0)</f>
        <v>189.83531623683197</v>
      </c>
      <c r="F236" s="376">
        <f t="shared" si="27"/>
        <v>0</v>
      </c>
      <c r="G236" s="333">
        <f>'Sch4-Cost Savings by ECM'!T236</f>
        <v>0</v>
      </c>
      <c r="H236" s="334">
        <f>VLOOKUP("Natural Gas", 'GHG Emissions'!$D$2:$M$66,4,FALSE)+VLOOKUP("Natural Gas", 'GHG Emissions'!$D$2:$M$66,6,FALSE)*'eGRID subregion name'!$P$3+VLOOKUP("Natural Gas", 'GHG Emissions'!$D$2:$M$66,8,FALSE)*'eGRID subregion name'!$P$4</f>
        <v>53.114800000000002</v>
      </c>
      <c r="I236" s="334">
        <f t="shared" si="22"/>
        <v>0</v>
      </c>
      <c r="J236" s="333">
        <f>'Sch4-Cost Savings by ECM'!V236</f>
        <v>0</v>
      </c>
      <c r="K23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6" s="334">
        <f t="shared" si="28"/>
        <v>0</v>
      </c>
      <c r="M236" s="333">
        <f>'Sch4-Cost Savings by ECM'!X236</f>
        <v>0</v>
      </c>
      <c r="N23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6" s="334">
        <f t="shared" si="23"/>
        <v>0</v>
      </c>
      <c r="P236" s="334">
        <f t="shared" si="24"/>
        <v>0</v>
      </c>
      <c r="Q236" s="334">
        <f t="shared" si="25"/>
        <v>0</v>
      </c>
      <c r="R236" s="334">
        <f t="shared" si="26"/>
        <v>0</v>
      </c>
    </row>
    <row r="237" spans="1:18" ht="16.5" thickBot="1">
      <c r="A237" s="40" t="str">
        <f>IF('Sch2a-Imp Price by ECM'!B238="","",'Sch2a-Imp Price by ECM'!B238)</f>
        <v/>
      </c>
      <c r="B237" s="76" t="str">
        <f>IF('Sch2a-Imp Price by ECM'!D238="","",'Sch2a-Imp Price by ECM'!D238)</f>
        <v/>
      </c>
      <c r="C237" s="331" t="s">
        <v>333</v>
      </c>
      <c r="D237" s="332">
        <f>'Sch4-Cost Savings by ECM'!P237</f>
        <v>0</v>
      </c>
      <c r="E237" s="376">
        <f>VLOOKUP(C237,'eGRID subregion name'!$A$2:$N$30,8,0)</f>
        <v>189.83531623683197</v>
      </c>
      <c r="F237" s="376">
        <f t="shared" si="27"/>
        <v>0</v>
      </c>
      <c r="G237" s="333">
        <f>'Sch4-Cost Savings by ECM'!T237</f>
        <v>0</v>
      </c>
      <c r="H237" s="334">
        <f>VLOOKUP("Natural Gas", 'GHG Emissions'!$D$2:$M$66,4,FALSE)+VLOOKUP("Natural Gas", 'GHG Emissions'!$D$2:$M$66,6,FALSE)*'eGRID subregion name'!$P$3+VLOOKUP("Natural Gas", 'GHG Emissions'!$D$2:$M$66,8,FALSE)*'eGRID subregion name'!$P$4</f>
        <v>53.114800000000002</v>
      </c>
      <c r="I237" s="334">
        <f t="shared" si="22"/>
        <v>0</v>
      </c>
      <c r="J237" s="333">
        <f>'Sch4-Cost Savings by ECM'!V237</f>
        <v>0</v>
      </c>
      <c r="K23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7" s="334">
        <f t="shared" si="28"/>
        <v>0</v>
      </c>
      <c r="M237" s="333">
        <f>'Sch4-Cost Savings by ECM'!X237</f>
        <v>0</v>
      </c>
      <c r="N23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7" s="334">
        <f t="shared" si="23"/>
        <v>0</v>
      </c>
      <c r="P237" s="334">
        <f t="shared" si="24"/>
        <v>0</v>
      </c>
      <c r="Q237" s="334">
        <f t="shared" si="25"/>
        <v>0</v>
      </c>
      <c r="R237" s="334">
        <f t="shared" si="26"/>
        <v>0</v>
      </c>
    </row>
    <row r="238" spans="1:18" ht="16.5" thickBot="1">
      <c r="A238" s="40" t="str">
        <f>IF('Sch2a-Imp Price by ECM'!B239="","",'Sch2a-Imp Price by ECM'!B239)</f>
        <v/>
      </c>
      <c r="B238" s="76" t="str">
        <f>IF('Sch2a-Imp Price by ECM'!D239="","",'Sch2a-Imp Price by ECM'!D239)</f>
        <v/>
      </c>
      <c r="C238" s="331" t="s">
        <v>333</v>
      </c>
      <c r="D238" s="332">
        <f>'Sch4-Cost Savings by ECM'!P238</f>
        <v>0</v>
      </c>
      <c r="E238" s="376">
        <f>VLOOKUP(C238,'eGRID subregion name'!$A$2:$N$30,8,0)</f>
        <v>189.83531623683197</v>
      </c>
      <c r="F238" s="376">
        <f t="shared" si="27"/>
        <v>0</v>
      </c>
      <c r="G238" s="333">
        <f>'Sch4-Cost Savings by ECM'!T238</f>
        <v>0</v>
      </c>
      <c r="H238" s="334">
        <f>VLOOKUP("Natural Gas", 'GHG Emissions'!$D$2:$M$66,4,FALSE)+VLOOKUP("Natural Gas", 'GHG Emissions'!$D$2:$M$66,6,FALSE)*'eGRID subregion name'!$P$3+VLOOKUP("Natural Gas", 'GHG Emissions'!$D$2:$M$66,8,FALSE)*'eGRID subregion name'!$P$4</f>
        <v>53.114800000000002</v>
      </c>
      <c r="I238" s="334">
        <f t="shared" si="22"/>
        <v>0</v>
      </c>
      <c r="J238" s="333">
        <f>'Sch4-Cost Savings by ECM'!V238</f>
        <v>0</v>
      </c>
      <c r="K23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8" s="334">
        <f t="shared" si="28"/>
        <v>0</v>
      </c>
      <c r="M238" s="333">
        <f>'Sch4-Cost Savings by ECM'!X238</f>
        <v>0</v>
      </c>
      <c r="N23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8" s="334">
        <f t="shared" si="23"/>
        <v>0</v>
      </c>
      <c r="P238" s="334">
        <f t="shared" si="24"/>
        <v>0</v>
      </c>
      <c r="Q238" s="334">
        <f t="shared" si="25"/>
        <v>0</v>
      </c>
      <c r="R238" s="334">
        <f t="shared" si="26"/>
        <v>0</v>
      </c>
    </row>
    <row r="239" spans="1:18" ht="16.5" thickBot="1">
      <c r="A239" s="40" t="str">
        <f>IF('Sch2a-Imp Price by ECM'!B240="","",'Sch2a-Imp Price by ECM'!B240)</f>
        <v/>
      </c>
      <c r="B239" s="76" t="str">
        <f>IF('Sch2a-Imp Price by ECM'!D240="","",'Sch2a-Imp Price by ECM'!D240)</f>
        <v/>
      </c>
      <c r="C239" s="331" t="s">
        <v>333</v>
      </c>
      <c r="D239" s="332">
        <f>'Sch4-Cost Savings by ECM'!P239</f>
        <v>0</v>
      </c>
      <c r="E239" s="376">
        <f>VLOOKUP(C239,'eGRID subregion name'!$A$2:$N$30,8,0)</f>
        <v>189.83531623683197</v>
      </c>
      <c r="F239" s="376">
        <f t="shared" si="27"/>
        <v>0</v>
      </c>
      <c r="G239" s="333">
        <f>'Sch4-Cost Savings by ECM'!T239</f>
        <v>0</v>
      </c>
      <c r="H239" s="334">
        <f>VLOOKUP("Natural Gas", 'GHG Emissions'!$D$2:$M$66,4,FALSE)+VLOOKUP("Natural Gas", 'GHG Emissions'!$D$2:$M$66,6,FALSE)*'eGRID subregion name'!$P$3+VLOOKUP("Natural Gas", 'GHG Emissions'!$D$2:$M$66,8,FALSE)*'eGRID subregion name'!$P$4</f>
        <v>53.114800000000002</v>
      </c>
      <c r="I239" s="334">
        <f t="shared" si="22"/>
        <v>0</v>
      </c>
      <c r="J239" s="333">
        <f>'Sch4-Cost Savings by ECM'!V239</f>
        <v>0</v>
      </c>
      <c r="K23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39" s="334">
        <f t="shared" si="28"/>
        <v>0</v>
      </c>
      <c r="M239" s="333">
        <f>'Sch4-Cost Savings by ECM'!X239</f>
        <v>0</v>
      </c>
      <c r="N23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39" s="334">
        <f t="shared" si="23"/>
        <v>0</v>
      </c>
      <c r="P239" s="334">
        <f t="shared" si="24"/>
        <v>0</v>
      </c>
      <c r="Q239" s="334">
        <f t="shared" si="25"/>
        <v>0</v>
      </c>
      <c r="R239" s="334">
        <f t="shared" si="26"/>
        <v>0</v>
      </c>
    </row>
    <row r="240" spans="1:18" ht="16.5" thickBot="1">
      <c r="A240" s="40" t="str">
        <f>IF('Sch2a-Imp Price by ECM'!B241="","",'Sch2a-Imp Price by ECM'!B241)</f>
        <v/>
      </c>
      <c r="B240" s="76" t="str">
        <f>IF('Sch2a-Imp Price by ECM'!D241="","",'Sch2a-Imp Price by ECM'!D241)</f>
        <v/>
      </c>
      <c r="C240" s="331" t="s">
        <v>333</v>
      </c>
      <c r="D240" s="332">
        <f>'Sch4-Cost Savings by ECM'!P240</f>
        <v>0</v>
      </c>
      <c r="E240" s="376">
        <f>VLOOKUP(C240,'eGRID subregion name'!$A$2:$N$30,8,0)</f>
        <v>189.83531623683197</v>
      </c>
      <c r="F240" s="376">
        <f t="shared" si="27"/>
        <v>0</v>
      </c>
      <c r="G240" s="333">
        <f>'Sch4-Cost Savings by ECM'!T240</f>
        <v>0</v>
      </c>
      <c r="H240" s="334">
        <f>VLOOKUP("Natural Gas", 'GHG Emissions'!$D$2:$M$66,4,FALSE)+VLOOKUP("Natural Gas", 'GHG Emissions'!$D$2:$M$66,6,FALSE)*'eGRID subregion name'!$P$3+VLOOKUP("Natural Gas", 'GHG Emissions'!$D$2:$M$66,8,FALSE)*'eGRID subregion name'!$P$4</f>
        <v>53.114800000000002</v>
      </c>
      <c r="I240" s="334">
        <f t="shared" si="22"/>
        <v>0</v>
      </c>
      <c r="J240" s="333">
        <f>'Sch4-Cost Savings by ECM'!V240</f>
        <v>0</v>
      </c>
      <c r="K24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0" s="334">
        <f t="shared" si="28"/>
        <v>0</v>
      </c>
      <c r="M240" s="333">
        <f>'Sch4-Cost Savings by ECM'!X240</f>
        <v>0</v>
      </c>
      <c r="N24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0" s="334">
        <f t="shared" si="23"/>
        <v>0</v>
      </c>
      <c r="P240" s="334">
        <f t="shared" si="24"/>
        <v>0</v>
      </c>
      <c r="Q240" s="334">
        <f t="shared" si="25"/>
        <v>0</v>
      </c>
      <c r="R240" s="334">
        <f t="shared" si="26"/>
        <v>0</v>
      </c>
    </row>
    <row r="241" spans="1:18" ht="16.5" thickBot="1">
      <c r="A241" s="40" t="str">
        <f>IF('Sch2a-Imp Price by ECM'!B242="","",'Sch2a-Imp Price by ECM'!B242)</f>
        <v/>
      </c>
      <c r="B241" s="76" t="str">
        <f>IF('Sch2a-Imp Price by ECM'!D242="","",'Sch2a-Imp Price by ECM'!D242)</f>
        <v/>
      </c>
      <c r="C241" s="331" t="s">
        <v>333</v>
      </c>
      <c r="D241" s="332">
        <f>'Sch4-Cost Savings by ECM'!P241</f>
        <v>0</v>
      </c>
      <c r="E241" s="376">
        <f>VLOOKUP(C241,'eGRID subregion name'!$A$2:$N$30,8,0)</f>
        <v>189.83531623683197</v>
      </c>
      <c r="F241" s="376">
        <f t="shared" si="27"/>
        <v>0</v>
      </c>
      <c r="G241" s="333">
        <f>'Sch4-Cost Savings by ECM'!T241</f>
        <v>0</v>
      </c>
      <c r="H241" s="334">
        <f>VLOOKUP("Natural Gas", 'GHG Emissions'!$D$2:$M$66,4,FALSE)+VLOOKUP("Natural Gas", 'GHG Emissions'!$D$2:$M$66,6,FALSE)*'eGRID subregion name'!$P$3+VLOOKUP("Natural Gas", 'GHG Emissions'!$D$2:$M$66,8,FALSE)*'eGRID subregion name'!$P$4</f>
        <v>53.114800000000002</v>
      </c>
      <c r="I241" s="334">
        <f t="shared" si="22"/>
        <v>0</v>
      </c>
      <c r="J241" s="333">
        <f>'Sch4-Cost Savings by ECM'!V241</f>
        <v>0</v>
      </c>
      <c r="K24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1" s="334">
        <f t="shared" si="28"/>
        <v>0</v>
      </c>
      <c r="M241" s="333">
        <f>'Sch4-Cost Savings by ECM'!X241</f>
        <v>0</v>
      </c>
      <c r="N24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1" s="334">
        <f t="shared" si="23"/>
        <v>0</v>
      </c>
      <c r="P241" s="334">
        <f t="shared" si="24"/>
        <v>0</v>
      </c>
      <c r="Q241" s="334">
        <f t="shared" si="25"/>
        <v>0</v>
      </c>
      <c r="R241" s="334">
        <f t="shared" si="26"/>
        <v>0</v>
      </c>
    </row>
    <row r="242" spans="1:18" ht="16.5" thickBot="1">
      <c r="A242" s="40" t="str">
        <f>IF('Sch2a-Imp Price by ECM'!B243="","",'Sch2a-Imp Price by ECM'!B243)</f>
        <v/>
      </c>
      <c r="B242" s="76" t="str">
        <f>IF('Sch2a-Imp Price by ECM'!D243="","",'Sch2a-Imp Price by ECM'!D243)</f>
        <v/>
      </c>
      <c r="C242" s="331" t="s">
        <v>333</v>
      </c>
      <c r="D242" s="332">
        <f>'Sch4-Cost Savings by ECM'!P242</f>
        <v>0</v>
      </c>
      <c r="E242" s="376">
        <f>VLOOKUP(C242,'eGRID subregion name'!$A$2:$N$30,8,0)</f>
        <v>189.83531623683197</v>
      </c>
      <c r="F242" s="376">
        <f t="shared" si="27"/>
        <v>0</v>
      </c>
      <c r="G242" s="333">
        <f>'Sch4-Cost Savings by ECM'!T242</f>
        <v>0</v>
      </c>
      <c r="H242" s="334">
        <f>VLOOKUP("Natural Gas", 'GHG Emissions'!$D$2:$M$66,4,FALSE)+VLOOKUP("Natural Gas", 'GHG Emissions'!$D$2:$M$66,6,FALSE)*'eGRID subregion name'!$P$3+VLOOKUP("Natural Gas", 'GHG Emissions'!$D$2:$M$66,8,FALSE)*'eGRID subregion name'!$P$4</f>
        <v>53.114800000000002</v>
      </c>
      <c r="I242" s="334">
        <f t="shared" si="22"/>
        <v>0</v>
      </c>
      <c r="J242" s="333">
        <f>'Sch4-Cost Savings by ECM'!V242</f>
        <v>0</v>
      </c>
      <c r="K24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2" s="334">
        <f t="shared" si="28"/>
        <v>0</v>
      </c>
      <c r="M242" s="333">
        <f>'Sch4-Cost Savings by ECM'!X242</f>
        <v>0</v>
      </c>
      <c r="N24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2" s="334">
        <f t="shared" si="23"/>
        <v>0</v>
      </c>
      <c r="P242" s="334">
        <f t="shared" si="24"/>
        <v>0</v>
      </c>
      <c r="Q242" s="334">
        <f t="shared" si="25"/>
        <v>0</v>
      </c>
      <c r="R242" s="334">
        <f t="shared" si="26"/>
        <v>0</v>
      </c>
    </row>
    <row r="243" spans="1:18" ht="16.5" thickBot="1">
      <c r="A243" s="40" t="str">
        <f>IF('Sch2a-Imp Price by ECM'!B244="","",'Sch2a-Imp Price by ECM'!B244)</f>
        <v/>
      </c>
      <c r="B243" s="76" t="str">
        <f>IF('Sch2a-Imp Price by ECM'!D244="","",'Sch2a-Imp Price by ECM'!D244)</f>
        <v/>
      </c>
      <c r="C243" s="331" t="s">
        <v>333</v>
      </c>
      <c r="D243" s="332">
        <f>'Sch4-Cost Savings by ECM'!P243</f>
        <v>0</v>
      </c>
      <c r="E243" s="376">
        <f>VLOOKUP(C243,'eGRID subregion name'!$A$2:$N$30,8,0)</f>
        <v>189.83531623683197</v>
      </c>
      <c r="F243" s="376">
        <f t="shared" si="27"/>
        <v>0</v>
      </c>
      <c r="G243" s="333">
        <f>'Sch4-Cost Savings by ECM'!T243</f>
        <v>0</v>
      </c>
      <c r="H243" s="334">
        <f>VLOOKUP("Natural Gas", 'GHG Emissions'!$D$2:$M$66,4,FALSE)+VLOOKUP("Natural Gas", 'GHG Emissions'!$D$2:$M$66,6,FALSE)*'eGRID subregion name'!$P$3+VLOOKUP("Natural Gas", 'GHG Emissions'!$D$2:$M$66,8,FALSE)*'eGRID subregion name'!$P$4</f>
        <v>53.114800000000002</v>
      </c>
      <c r="I243" s="334">
        <f t="shared" si="22"/>
        <v>0</v>
      </c>
      <c r="J243" s="333">
        <f>'Sch4-Cost Savings by ECM'!V243</f>
        <v>0</v>
      </c>
      <c r="K24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3" s="334">
        <f t="shared" si="28"/>
        <v>0</v>
      </c>
      <c r="M243" s="333">
        <f>'Sch4-Cost Savings by ECM'!X243</f>
        <v>0</v>
      </c>
      <c r="N24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3" s="334">
        <f t="shared" si="23"/>
        <v>0</v>
      </c>
      <c r="P243" s="334">
        <f t="shared" si="24"/>
        <v>0</v>
      </c>
      <c r="Q243" s="334">
        <f t="shared" si="25"/>
        <v>0</v>
      </c>
      <c r="R243" s="334">
        <f t="shared" si="26"/>
        <v>0</v>
      </c>
    </row>
    <row r="244" spans="1:18" ht="18" customHeight="1" thickBot="1">
      <c r="A244" s="40" t="str">
        <f>IF('Sch2a-Imp Price by ECM'!B245="","",'Sch2a-Imp Price by ECM'!B245)</f>
        <v/>
      </c>
      <c r="B244" s="76" t="str">
        <f>IF('Sch2a-Imp Price by ECM'!D245="","",'Sch2a-Imp Price by ECM'!D245)</f>
        <v/>
      </c>
      <c r="C244" s="331" t="s">
        <v>333</v>
      </c>
      <c r="D244" s="332">
        <f>'Sch4-Cost Savings by ECM'!P244</f>
        <v>0</v>
      </c>
      <c r="E244" s="376">
        <f>VLOOKUP(C244,'eGRID subregion name'!$A$2:$N$30,8,0)</f>
        <v>189.83531623683197</v>
      </c>
      <c r="F244" s="376">
        <f t="shared" si="27"/>
        <v>0</v>
      </c>
      <c r="G244" s="333">
        <f>'Sch4-Cost Savings by ECM'!T244</f>
        <v>0</v>
      </c>
      <c r="H244" s="334">
        <f>VLOOKUP("Natural Gas", 'GHG Emissions'!$D$2:$M$66,4,FALSE)+VLOOKUP("Natural Gas", 'GHG Emissions'!$D$2:$M$66,6,FALSE)*'eGRID subregion name'!$P$3+VLOOKUP("Natural Gas", 'GHG Emissions'!$D$2:$M$66,8,FALSE)*'eGRID subregion name'!$P$4</f>
        <v>53.114800000000002</v>
      </c>
      <c r="I244" s="334">
        <f t="shared" si="22"/>
        <v>0</v>
      </c>
      <c r="J244" s="333">
        <f>'Sch4-Cost Savings by ECM'!V244</f>
        <v>0</v>
      </c>
      <c r="K24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4" s="334">
        <f t="shared" si="28"/>
        <v>0</v>
      </c>
      <c r="M244" s="333">
        <f>'Sch4-Cost Savings by ECM'!X244</f>
        <v>0</v>
      </c>
      <c r="N24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4" s="334">
        <f t="shared" si="23"/>
        <v>0</v>
      </c>
      <c r="P244" s="334">
        <f t="shared" si="24"/>
        <v>0</v>
      </c>
      <c r="Q244" s="334">
        <f t="shared" si="25"/>
        <v>0</v>
      </c>
      <c r="R244" s="334">
        <f t="shared" si="26"/>
        <v>0</v>
      </c>
    </row>
    <row r="245" spans="1:18" ht="16.5" thickBot="1">
      <c r="A245" s="40" t="str">
        <f>IF('Sch2a-Imp Price by ECM'!B246="","",'Sch2a-Imp Price by ECM'!B246)</f>
        <v/>
      </c>
      <c r="B245" s="76" t="str">
        <f>IF('Sch2a-Imp Price by ECM'!D246="","",'Sch2a-Imp Price by ECM'!D246)</f>
        <v/>
      </c>
      <c r="C245" s="331" t="s">
        <v>333</v>
      </c>
      <c r="D245" s="332">
        <f>'Sch4-Cost Savings by ECM'!P245</f>
        <v>0</v>
      </c>
      <c r="E245" s="376">
        <f>VLOOKUP(C245,'eGRID subregion name'!$A$2:$N$30,8,0)</f>
        <v>189.83531623683197</v>
      </c>
      <c r="F245" s="376">
        <f t="shared" si="27"/>
        <v>0</v>
      </c>
      <c r="G245" s="333">
        <f>'Sch4-Cost Savings by ECM'!T245</f>
        <v>0</v>
      </c>
      <c r="H245" s="334">
        <f>VLOOKUP("Natural Gas", 'GHG Emissions'!$D$2:$M$66,4,FALSE)+VLOOKUP("Natural Gas", 'GHG Emissions'!$D$2:$M$66,6,FALSE)*'eGRID subregion name'!$P$3+VLOOKUP("Natural Gas", 'GHG Emissions'!$D$2:$M$66,8,FALSE)*'eGRID subregion name'!$P$4</f>
        <v>53.114800000000002</v>
      </c>
      <c r="I245" s="334">
        <f t="shared" si="22"/>
        <v>0</v>
      </c>
      <c r="J245" s="333">
        <f>'Sch4-Cost Savings by ECM'!V245</f>
        <v>0</v>
      </c>
      <c r="K24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5" s="334">
        <f t="shared" si="28"/>
        <v>0</v>
      </c>
      <c r="M245" s="333">
        <f>'Sch4-Cost Savings by ECM'!X245</f>
        <v>0</v>
      </c>
      <c r="N24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5" s="334">
        <f t="shared" si="23"/>
        <v>0</v>
      </c>
      <c r="P245" s="334">
        <f t="shared" si="24"/>
        <v>0</v>
      </c>
      <c r="Q245" s="334">
        <f t="shared" si="25"/>
        <v>0</v>
      </c>
      <c r="R245" s="334">
        <f t="shared" si="26"/>
        <v>0</v>
      </c>
    </row>
    <row r="246" spans="1:18" ht="16.5" thickBot="1">
      <c r="A246" s="40" t="str">
        <f>IF('Sch2a-Imp Price by ECM'!B247="","",'Sch2a-Imp Price by ECM'!B247)</f>
        <v/>
      </c>
      <c r="B246" s="76" t="str">
        <f>IF('Sch2a-Imp Price by ECM'!D247="","",'Sch2a-Imp Price by ECM'!D247)</f>
        <v/>
      </c>
      <c r="C246" s="331" t="s">
        <v>333</v>
      </c>
      <c r="D246" s="332">
        <f>'Sch4-Cost Savings by ECM'!P246</f>
        <v>0</v>
      </c>
      <c r="E246" s="376">
        <f>VLOOKUP(C246,'eGRID subregion name'!$A$2:$N$30,8,0)</f>
        <v>189.83531623683197</v>
      </c>
      <c r="F246" s="376">
        <f t="shared" si="27"/>
        <v>0</v>
      </c>
      <c r="G246" s="333">
        <f>'Sch4-Cost Savings by ECM'!T246</f>
        <v>0</v>
      </c>
      <c r="H246" s="334">
        <f>VLOOKUP("Natural Gas", 'GHG Emissions'!$D$2:$M$66,4,FALSE)+VLOOKUP("Natural Gas", 'GHG Emissions'!$D$2:$M$66,6,FALSE)*'eGRID subregion name'!$P$3+VLOOKUP("Natural Gas", 'GHG Emissions'!$D$2:$M$66,8,FALSE)*'eGRID subregion name'!$P$4</f>
        <v>53.114800000000002</v>
      </c>
      <c r="I246" s="334">
        <f t="shared" si="22"/>
        <v>0</v>
      </c>
      <c r="J246" s="333">
        <f>'Sch4-Cost Savings by ECM'!V246</f>
        <v>0</v>
      </c>
      <c r="K24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6" s="334">
        <f t="shared" si="28"/>
        <v>0</v>
      </c>
      <c r="M246" s="333">
        <f>'Sch4-Cost Savings by ECM'!X246</f>
        <v>0</v>
      </c>
      <c r="N24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6" s="334">
        <f t="shared" si="23"/>
        <v>0</v>
      </c>
      <c r="P246" s="334">
        <f t="shared" si="24"/>
        <v>0</v>
      </c>
      <c r="Q246" s="334">
        <f t="shared" si="25"/>
        <v>0</v>
      </c>
      <c r="R246" s="334">
        <f t="shared" si="26"/>
        <v>0</v>
      </c>
    </row>
    <row r="247" spans="1:18" ht="16.5" thickBot="1">
      <c r="A247" s="40" t="str">
        <f>IF('Sch2a-Imp Price by ECM'!B248="","",'Sch2a-Imp Price by ECM'!B248)</f>
        <v/>
      </c>
      <c r="B247" s="76" t="str">
        <f>IF('Sch2a-Imp Price by ECM'!D248="","",'Sch2a-Imp Price by ECM'!D248)</f>
        <v/>
      </c>
      <c r="C247" s="331" t="s">
        <v>333</v>
      </c>
      <c r="D247" s="332">
        <f>'Sch4-Cost Savings by ECM'!P247</f>
        <v>0</v>
      </c>
      <c r="E247" s="376">
        <f>VLOOKUP(C247,'eGRID subregion name'!$A$2:$N$30,8,0)</f>
        <v>189.83531623683197</v>
      </c>
      <c r="F247" s="376">
        <f t="shared" si="27"/>
        <v>0</v>
      </c>
      <c r="G247" s="333">
        <f>'Sch4-Cost Savings by ECM'!T247</f>
        <v>0</v>
      </c>
      <c r="H247" s="334">
        <f>VLOOKUP("Natural Gas", 'GHG Emissions'!$D$2:$M$66,4,FALSE)+VLOOKUP("Natural Gas", 'GHG Emissions'!$D$2:$M$66,6,FALSE)*'eGRID subregion name'!$P$3+VLOOKUP("Natural Gas", 'GHG Emissions'!$D$2:$M$66,8,FALSE)*'eGRID subregion name'!$P$4</f>
        <v>53.114800000000002</v>
      </c>
      <c r="I247" s="334">
        <f t="shared" si="22"/>
        <v>0</v>
      </c>
      <c r="J247" s="333">
        <f>'Sch4-Cost Savings by ECM'!V247</f>
        <v>0</v>
      </c>
      <c r="K24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7" s="334">
        <f t="shared" si="28"/>
        <v>0</v>
      </c>
      <c r="M247" s="333">
        <f>'Sch4-Cost Savings by ECM'!X247</f>
        <v>0</v>
      </c>
      <c r="N24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7" s="334">
        <f t="shared" si="23"/>
        <v>0</v>
      </c>
      <c r="P247" s="334">
        <f t="shared" si="24"/>
        <v>0</v>
      </c>
      <c r="Q247" s="334">
        <f t="shared" si="25"/>
        <v>0</v>
      </c>
      <c r="R247" s="334">
        <f t="shared" si="26"/>
        <v>0</v>
      </c>
    </row>
    <row r="248" spans="1:18" ht="16.5" thickBot="1">
      <c r="A248" s="40" t="str">
        <f>IF('Sch2a-Imp Price by ECM'!B249="","",'Sch2a-Imp Price by ECM'!B249)</f>
        <v/>
      </c>
      <c r="B248" s="76" t="str">
        <f>IF('Sch2a-Imp Price by ECM'!D249="","",'Sch2a-Imp Price by ECM'!D249)</f>
        <v/>
      </c>
      <c r="C248" s="331" t="s">
        <v>333</v>
      </c>
      <c r="D248" s="332">
        <f>'Sch4-Cost Savings by ECM'!P248</f>
        <v>0</v>
      </c>
      <c r="E248" s="376">
        <f>VLOOKUP(C248,'eGRID subregion name'!$A$2:$N$30,8,0)</f>
        <v>189.83531623683197</v>
      </c>
      <c r="F248" s="376">
        <f t="shared" si="27"/>
        <v>0</v>
      </c>
      <c r="G248" s="333">
        <f>'Sch4-Cost Savings by ECM'!T248</f>
        <v>0</v>
      </c>
      <c r="H248" s="334">
        <f>VLOOKUP("Natural Gas", 'GHG Emissions'!$D$2:$M$66,4,FALSE)+VLOOKUP("Natural Gas", 'GHG Emissions'!$D$2:$M$66,6,FALSE)*'eGRID subregion name'!$P$3+VLOOKUP("Natural Gas", 'GHG Emissions'!$D$2:$M$66,8,FALSE)*'eGRID subregion name'!$P$4</f>
        <v>53.114800000000002</v>
      </c>
      <c r="I248" s="334">
        <f t="shared" si="22"/>
        <v>0</v>
      </c>
      <c r="J248" s="333">
        <f>'Sch4-Cost Savings by ECM'!V248</f>
        <v>0</v>
      </c>
      <c r="K24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8" s="334">
        <f t="shared" si="28"/>
        <v>0</v>
      </c>
      <c r="M248" s="333">
        <f>'Sch4-Cost Savings by ECM'!X248</f>
        <v>0</v>
      </c>
      <c r="N24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8" s="334">
        <f t="shared" si="23"/>
        <v>0</v>
      </c>
      <c r="P248" s="334">
        <f t="shared" si="24"/>
        <v>0</v>
      </c>
      <c r="Q248" s="334">
        <f t="shared" si="25"/>
        <v>0</v>
      </c>
      <c r="R248" s="334">
        <f t="shared" si="26"/>
        <v>0</v>
      </c>
    </row>
    <row r="249" spans="1:18" ht="16.5" thickBot="1">
      <c r="A249" s="40" t="str">
        <f>IF('Sch2a-Imp Price by ECM'!B250="","",'Sch2a-Imp Price by ECM'!B250)</f>
        <v/>
      </c>
      <c r="B249" s="76" t="str">
        <f>IF('Sch2a-Imp Price by ECM'!D250="","",'Sch2a-Imp Price by ECM'!D250)</f>
        <v/>
      </c>
      <c r="C249" s="331" t="s">
        <v>333</v>
      </c>
      <c r="D249" s="332">
        <f>'Sch4-Cost Savings by ECM'!P249</f>
        <v>0</v>
      </c>
      <c r="E249" s="376">
        <f>VLOOKUP(C249,'eGRID subregion name'!$A$2:$N$30,8,0)</f>
        <v>189.83531623683197</v>
      </c>
      <c r="F249" s="376">
        <f t="shared" si="27"/>
        <v>0</v>
      </c>
      <c r="G249" s="333">
        <f>'Sch4-Cost Savings by ECM'!T249</f>
        <v>0</v>
      </c>
      <c r="H249" s="334">
        <f>VLOOKUP("Natural Gas", 'GHG Emissions'!$D$2:$M$66,4,FALSE)+VLOOKUP("Natural Gas", 'GHG Emissions'!$D$2:$M$66,6,FALSE)*'eGRID subregion name'!$P$3+VLOOKUP("Natural Gas", 'GHG Emissions'!$D$2:$M$66,8,FALSE)*'eGRID subregion name'!$P$4</f>
        <v>53.114800000000002</v>
      </c>
      <c r="I249" s="334">
        <f t="shared" si="22"/>
        <v>0</v>
      </c>
      <c r="J249" s="333">
        <f>'Sch4-Cost Savings by ECM'!V249</f>
        <v>0</v>
      </c>
      <c r="K249"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49" s="334">
        <f t="shared" si="28"/>
        <v>0</v>
      </c>
      <c r="M249" s="333">
        <f>'Sch4-Cost Savings by ECM'!X249</f>
        <v>0</v>
      </c>
      <c r="N249"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49" s="334">
        <f t="shared" si="23"/>
        <v>0</v>
      </c>
      <c r="P249" s="334">
        <f t="shared" si="24"/>
        <v>0</v>
      </c>
      <c r="Q249" s="334">
        <f t="shared" si="25"/>
        <v>0</v>
      </c>
      <c r="R249" s="334">
        <f t="shared" si="26"/>
        <v>0</v>
      </c>
    </row>
    <row r="250" spans="1:18" ht="16.5" thickBot="1">
      <c r="A250" s="40" t="str">
        <f>IF('Sch2a-Imp Price by ECM'!B251="","",'Sch2a-Imp Price by ECM'!B251)</f>
        <v/>
      </c>
      <c r="B250" s="76" t="str">
        <f>IF('Sch2a-Imp Price by ECM'!D251="","",'Sch2a-Imp Price by ECM'!D251)</f>
        <v/>
      </c>
      <c r="C250" s="331" t="s">
        <v>333</v>
      </c>
      <c r="D250" s="332">
        <f>'Sch4-Cost Savings by ECM'!P250</f>
        <v>0</v>
      </c>
      <c r="E250" s="376">
        <f>VLOOKUP(C250,'eGRID subregion name'!$A$2:$N$30,8,0)</f>
        <v>189.83531623683197</v>
      </c>
      <c r="F250" s="376">
        <f t="shared" si="27"/>
        <v>0</v>
      </c>
      <c r="G250" s="333">
        <f>'Sch4-Cost Savings by ECM'!T250</f>
        <v>0</v>
      </c>
      <c r="H250" s="334">
        <f>VLOOKUP("Natural Gas", 'GHG Emissions'!$D$2:$M$66,4,FALSE)+VLOOKUP("Natural Gas", 'GHG Emissions'!$D$2:$M$66,6,FALSE)*'eGRID subregion name'!$P$3+VLOOKUP("Natural Gas", 'GHG Emissions'!$D$2:$M$66,8,FALSE)*'eGRID subregion name'!$P$4</f>
        <v>53.114800000000002</v>
      </c>
      <c r="I250" s="334">
        <f t="shared" si="22"/>
        <v>0</v>
      </c>
      <c r="J250" s="333">
        <f>'Sch4-Cost Savings by ECM'!V250</f>
        <v>0</v>
      </c>
      <c r="K250"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0" s="334">
        <f t="shared" si="28"/>
        <v>0</v>
      </c>
      <c r="M250" s="333">
        <f>'Sch4-Cost Savings by ECM'!X250</f>
        <v>0</v>
      </c>
      <c r="N250"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0" s="334">
        <f t="shared" si="23"/>
        <v>0</v>
      </c>
      <c r="P250" s="334">
        <f t="shared" si="24"/>
        <v>0</v>
      </c>
      <c r="Q250" s="334">
        <f t="shared" si="25"/>
        <v>0</v>
      </c>
      <c r="R250" s="334">
        <f t="shared" si="26"/>
        <v>0</v>
      </c>
    </row>
    <row r="251" spans="1:18" ht="16.5" thickBot="1">
      <c r="A251" s="40" t="str">
        <f>IF('Sch2a-Imp Price by ECM'!B252="","",'Sch2a-Imp Price by ECM'!B252)</f>
        <v/>
      </c>
      <c r="B251" s="76" t="str">
        <f>IF('Sch2a-Imp Price by ECM'!D252="","",'Sch2a-Imp Price by ECM'!D252)</f>
        <v/>
      </c>
      <c r="C251" s="331" t="s">
        <v>333</v>
      </c>
      <c r="D251" s="332">
        <f>'Sch4-Cost Savings by ECM'!P251</f>
        <v>0</v>
      </c>
      <c r="E251" s="376">
        <f>VLOOKUP(C251,'eGRID subregion name'!$A$2:$N$30,8,0)</f>
        <v>189.83531623683197</v>
      </c>
      <c r="F251" s="376">
        <f t="shared" si="27"/>
        <v>0</v>
      </c>
      <c r="G251" s="333">
        <f>'Sch4-Cost Savings by ECM'!T251</f>
        <v>0</v>
      </c>
      <c r="H251" s="334">
        <f>VLOOKUP("Natural Gas", 'GHG Emissions'!$D$2:$M$66,4,FALSE)+VLOOKUP("Natural Gas", 'GHG Emissions'!$D$2:$M$66,6,FALSE)*'eGRID subregion name'!$P$3+VLOOKUP("Natural Gas", 'GHG Emissions'!$D$2:$M$66,8,FALSE)*'eGRID subregion name'!$P$4</f>
        <v>53.114800000000002</v>
      </c>
      <c r="I251" s="334">
        <f t="shared" si="22"/>
        <v>0</v>
      </c>
      <c r="J251" s="333">
        <f>'Sch4-Cost Savings by ECM'!V251</f>
        <v>0</v>
      </c>
      <c r="K251"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1" s="334">
        <f t="shared" si="28"/>
        <v>0</v>
      </c>
      <c r="M251" s="333">
        <f>'Sch4-Cost Savings by ECM'!X251</f>
        <v>0</v>
      </c>
      <c r="N251"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1" s="334">
        <f t="shared" si="23"/>
        <v>0</v>
      </c>
      <c r="P251" s="334">
        <f t="shared" si="24"/>
        <v>0</v>
      </c>
      <c r="Q251" s="334">
        <f t="shared" si="25"/>
        <v>0</v>
      </c>
      <c r="R251" s="334">
        <f t="shared" si="26"/>
        <v>0</v>
      </c>
    </row>
    <row r="252" spans="1:18" ht="16.5" thickBot="1">
      <c r="A252" s="40" t="str">
        <f>IF('Sch2a-Imp Price by ECM'!B253="","",'Sch2a-Imp Price by ECM'!B253)</f>
        <v/>
      </c>
      <c r="B252" s="76" t="str">
        <f>IF('Sch2a-Imp Price by ECM'!D253="","",'Sch2a-Imp Price by ECM'!D253)</f>
        <v/>
      </c>
      <c r="C252" s="331" t="s">
        <v>333</v>
      </c>
      <c r="D252" s="332">
        <f>'Sch4-Cost Savings by ECM'!P252</f>
        <v>0</v>
      </c>
      <c r="E252" s="376">
        <f>VLOOKUP(C252,'eGRID subregion name'!$A$2:$N$30,8,0)</f>
        <v>189.83531623683197</v>
      </c>
      <c r="F252" s="376">
        <f t="shared" si="27"/>
        <v>0</v>
      </c>
      <c r="G252" s="333">
        <f>'Sch4-Cost Savings by ECM'!T252</f>
        <v>0</v>
      </c>
      <c r="H252" s="334">
        <f>VLOOKUP("Natural Gas", 'GHG Emissions'!$D$2:$M$66,4,FALSE)+VLOOKUP("Natural Gas", 'GHG Emissions'!$D$2:$M$66,6,FALSE)*'eGRID subregion name'!$P$3+VLOOKUP("Natural Gas", 'GHG Emissions'!$D$2:$M$66,8,FALSE)*'eGRID subregion name'!$P$4</f>
        <v>53.114800000000002</v>
      </c>
      <c r="I252" s="334">
        <f t="shared" si="22"/>
        <v>0</v>
      </c>
      <c r="J252" s="333">
        <f>'Sch4-Cost Savings by ECM'!V252</f>
        <v>0</v>
      </c>
      <c r="K252"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2" s="334">
        <f t="shared" si="28"/>
        <v>0</v>
      </c>
      <c r="M252" s="333">
        <f>'Sch4-Cost Savings by ECM'!X252</f>
        <v>0</v>
      </c>
      <c r="N252"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2" s="334">
        <f t="shared" si="23"/>
        <v>0</v>
      </c>
      <c r="P252" s="334">
        <f t="shared" si="24"/>
        <v>0</v>
      </c>
      <c r="Q252" s="334">
        <f t="shared" si="25"/>
        <v>0</v>
      </c>
      <c r="R252" s="334">
        <f t="shared" si="26"/>
        <v>0</v>
      </c>
    </row>
    <row r="253" spans="1:18" ht="16.5" thickBot="1">
      <c r="A253" s="40" t="str">
        <f>IF('Sch2a-Imp Price by ECM'!B254="","",'Sch2a-Imp Price by ECM'!B254)</f>
        <v/>
      </c>
      <c r="B253" s="76" t="str">
        <f>IF('Sch2a-Imp Price by ECM'!D254="","",'Sch2a-Imp Price by ECM'!D254)</f>
        <v/>
      </c>
      <c r="C253" s="331" t="s">
        <v>333</v>
      </c>
      <c r="D253" s="332">
        <f>'Sch4-Cost Savings by ECM'!P253</f>
        <v>0</v>
      </c>
      <c r="E253" s="376">
        <f>VLOOKUP(C253,'eGRID subregion name'!$A$2:$N$30,8,0)</f>
        <v>189.83531623683197</v>
      </c>
      <c r="F253" s="376">
        <f t="shared" si="27"/>
        <v>0</v>
      </c>
      <c r="G253" s="333">
        <f>'Sch4-Cost Savings by ECM'!T253</f>
        <v>0</v>
      </c>
      <c r="H253" s="334">
        <f>VLOOKUP("Natural Gas", 'GHG Emissions'!$D$2:$M$66,4,FALSE)+VLOOKUP("Natural Gas", 'GHG Emissions'!$D$2:$M$66,6,FALSE)*'eGRID subregion name'!$P$3+VLOOKUP("Natural Gas", 'GHG Emissions'!$D$2:$M$66,8,FALSE)*'eGRID subregion name'!$P$4</f>
        <v>53.114800000000002</v>
      </c>
      <c r="I253" s="334">
        <f t="shared" si="22"/>
        <v>0</v>
      </c>
      <c r="J253" s="333">
        <f>'Sch4-Cost Savings by ECM'!V253</f>
        <v>0</v>
      </c>
      <c r="K253"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3" s="334">
        <f t="shared" si="28"/>
        <v>0</v>
      </c>
      <c r="M253" s="333">
        <f>'Sch4-Cost Savings by ECM'!X253</f>
        <v>0</v>
      </c>
      <c r="N253"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3" s="334">
        <f t="shared" si="23"/>
        <v>0</v>
      </c>
      <c r="P253" s="334">
        <f t="shared" si="24"/>
        <v>0</v>
      </c>
      <c r="Q253" s="334">
        <f t="shared" si="25"/>
        <v>0</v>
      </c>
      <c r="R253" s="334">
        <f t="shared" si="26"/>
        <v>0</v>
      </c>
    </row>
    <row r="254" spans="1:18" ht="16.5" thickBot="1">
      <c r="A254" s="40" t="str">
        <f>IF('Sch2a-Imp Price by ECM'!B255="","",'Sch2a-Imp Price by ECM'!B255)</f>
        <v/>
      </c>
      <c r="B254" s="76" t="str">
        <f>IF('Sch2a-Imp Price by ECM'!D255="","",'Sch2a-Imp Price by ECM'!D255)</f>
        <v/>
      </c>
      <c r="C254" s="331" t="s">
        <v>333</v>
      </c>
      <c r="D254" s="332">
        <f>'Sch4-Cost Savings by ECM'!P254</f>
        <v>0</v>
      </c>
      <c r="E254" s="376">
        <f>VLOOKUP(C254,'eGRID subregion name'!$A$2:$N$30,8,0)</f>
        <v>189.83531623683197</v>
      </c>
      <c r="F254" s="376">
        <f t="shared" si="27"/>
        <v>0</v>
      </c>
      <c r="G254" s="333">
        <f>'Sch4-Cost Savings by ECM'!T254</f>
        <v>0</v>
      </c>
      <c r="H254" s="334">
        <f>VLOOKUP("Natural Gas", 'GHG Emissions'!$D$2:$M$66,4,FALSE)+VLOOKUP("Natural Gas", 'GHG Emissions'!$D$2:$M$66,6,FALSE)*'eGRID subregion name'!$P$3+VLOOKUP("Natural Gas", 'GHG Emissions'!$D$2:$M$66,8,FALSE)*'eGRID subregion name'!$P$4</f>
        <v>53.114800000000002</v>
      </c>
      <c r="I254" s="334">
        <f t="shared" si="22"/>
        <v>0</v>
      </c>
      <c r="J254" s="333">
        <f>'Sch4-Cost Savings by ECM'!V254</f>
        <v>0</v>
      </c>
      <c r="K254"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4" s="334">
        <f t="shared" si="28"/>
        <v>0</v>
      </c>
      <c r="M254" s="333">
        <f>'Sch4-Cost Savings by ECM'!X254</f>
        <v>0</v>
      </c>
      <c r="N254"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4" s="334">
        <f t="shared" si="23"/>
        <v>0</v>
      </c>
      <c r="P254" s="334">
        <f t="shared" si="24"/>
        <v>0</v>
      </c>
      <c r="Q254" s="334">
        <f t="shared" si="25"/>
        <v>0</v>
      </c>
      <c r="R254" s="334">
        <f t="shared" si="26"/>
        <v>0</v>
      </c>
    </row>
    <row r="255" spans="1:18" ht="16.5" thickBot="1">
      <c r="A255" s="40" t="str">
        <f>IF('Sch2a-Imp Price by ECM'!B256="","",'Sch2a-Imp Price by ECM'!B256)</f>
        <v/>
      </c>
      <c r="B255" s="76" t="str">
        <f>IF('Sch2a-Imp Price by ECM'!D256="","",'Sch2a-Imp Price by ECM'!D256)</f>
        <v/>
      </c>
      <c r="C255" s="331" t="s">
        <v>333</v>
      </c>
      <c r="D255" s="332">
        <f>'Sch4-Cost Savings by ECM'!P255</f>
        <v>0</v>
      </c>
      <c r="E255" s="376">
        <f>VLOOKUP(C255,'eGRID subregion name'!$A$2:$N$30,8,0)</f>
        <v>189.83531623683197</v>
      </c>
      <c r="F255" s="376">
        <f t="shared" si="27"/>
        <v>0</v>
      </c>
      <c r="G255" s="333">
        <f>'Sch4-Cost Savings by ECM'!T255</f>
        <v>0</v>
      </c>
      <c r="H255" s="334">
        <f>VLOOKUP("Natural Gas", 'GHG Emissions'!$D$2:$M$66,4,FALSE)+VLOOKUP("Natural Gas", 'GHG Emissions'!$D$2:$M$66,6,FALSE)*'eGRID subregion name'!$P$3+VLOOKUP("Natural Gas", 'GHG Emissions'!$D$2:$M$66,8,FALSE)*'eGRID subregion name'!$P$4</f>
        <v>53.114800000000002</v>
      </c>
      <c r="I255" s="334">
        <f t="shared" si="22"/>
        <v>0</v>
      </c>
      <c r="J255" s="333">
        <f>'Sch4-Cost Savings by ECM'!V255</f>
        <v>0</v>
      </c>
      <c r="K255"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5" s="334">
        <f t="shared" si="28"/>
        <v>0</v>
      </c>
      <c r="M255" s="333">
        <f>'Sch4-Cost Savings by ECM'!X255</f>
        <v>0</v>
      </c>
      <c r="N255"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5" s="334">
        <f t="shared" si="23"/>
        <v>0</v>
      </c>
      <c r="P255" s="334">
        <f t="shared" si="24"/>
        <v>0</v>
      </c>
      <c r="Q255" s="334">
        <f t="shared" si="25"/>
        <v>0</v>
      </c>
      <c r="R255" s="334">
        <f t="shared" si="26"/>
        <v>0</v>
      </c>
    </row>
    <row r="256" spans="1:18" ht="16.5" thickBot="1">
      <c r="A256" s="40" t="str">
        <f>IF('Sch2a-Imp Price by ECM'!B257="","",'Sch2a-Imp Price by ECM'!B257)</f>
        <v/>
      </c>
      <c r="B256" s="76" t="str">
        <f>IF('Sch2a-Imp Price by ECM'!D257="","",'Sch2a-Imp Price by ECM'!D257)</f>
        <v/>
      </c>
      <c r="C256" s="331" t="s">
        <v>333</v>
      </c>
      <c r="D256" s="332">
        <f>'Sch4-Cost Savings by ECM'!P256</f>
        <v>0</v>
      </c>
      <c r="E256" s="376">
        <f>VLOOKUP(C256,'eGRID subregion name'!$A$2:$N$30,8,0)</f>
        <v>189.83531623683197</v>
      </c>
      <c r="F256" s="376">
        <f t="shared" si="27"/>
        <v>0</v>
      </c>
      <c r="G256" s="333">
        <f>'Sch4-Cost Savings by ECM'!T256</f>
        <v>0</v>
      </c>
      <c r="H256" s="334">
        <f>VLOOKUP("Natural Gas", 'GHG Emissions'!$D$2:$M$66,4,FALSE)+VLOOKUP("Natural Gas", 'GHG Emissions'!$D$2:$M$66,6,FALSE)*'eGRID subregion name'!$P$3+VLOOKUP("Natural Gas", 'GHG Emissions'!$D$2:$M$66,8,FALSE)*'eGRID subregion name'!$P$4</f>
        <v>53.114800000000002</v>
      </c>
      <c r="I256" s="334">
        <f t="shared" si="22"/>
        <v>0</v>
      </c>
      <c r="J256" s="333">
        <f>'Sch4-Cost Savings by ECM'!V256</f>
        <v>0</v>
      </c>
      <c r="K256"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6" s="334">
        <f t="shared" si="28"/>
        <v>0</v>
      </c>
      <c r="M256" s="333">
        <f>'Sch4-Cost Savings by ECM'!X256</f>
        <v>0</v>
      </c>
      <c r="N256"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6" s="334">
        <f t="shared" si="23"/>
        <v>0</v>
      </c>
      <c r="P256" s="334">
        <f t="shared" si="24"/>
        <v>0</v>
      </c>
      <c r="Q256" s="334">
        <f t="shared" si="25"/>
        <v>0</v>
      </c>
      <c r="R256" s="334">
        <f t="shared" si="26"/>
        <v>0</v>
      </c>
    </row>
    <row r="257" spans="1:20" ht="16.5" thickBot="1">
      <c r="A257" s="40" t="str">
        <f>IF('Sch2a-Imp Price by ECM'!B258="","",'Sch2a-Imp Price by ECM'!B258)</f>
        <v/>
      </c>
      <c r="B257" s="76" t="str">
        <f>IF('Sch2a-Imp Price by ECM'!D258="","",'Sch2a-Imp Price by ECM'!D258)</f>
        <v/>
      </c>
      <c r="C257" s="331" t="s">
        <v>333</v>
      </c>
      <c r="D257" s="332">
        <f>'Sch4-Cost Savings by ECM'!P257</f>
        <v>0</v>
      </c>
      <c r="E257" s="376">
        <f>VLOOKUP(C257,'eGRID subregion name'!$A$2:$N$30,8,0)</f>
        <v>189.83531623683197</v>
      </c>
      <c r="F257" s="376">
        <f t="shared" si="27"/>
        <v>0</v>
      </c>
      <c r="G257" s="333">
        <f>'Sch4-Cost Savings by ECM'!T257</f>
        <v>0</v>
      </c>
      <c r="H257" s="334">
        <f>VLOOKUP("Natural Gas", 'GHG Emissions'!$D$2:$M$66,4,FALSE)+VLOOKUP("Natural Gas", 'GHG Emissions'!$D$2:$M$66,6,FALSE)*'eGRID subregion name'!$P$3+VLOOKUP("Natural Gas", 'GHG Emissions'!$D$2:$M$66,8,FALSE)*'eGRID subregion name'!$P$4</f>
        <v>53.114800000000002</v>
      </c>
      <c r="I257" s="334">
        <f t="shared" si="22"/>
        <v>0</v>
      </c>
      <c r="J257" s="333">
        <f>'Sch4-Cost Savings by ECM'!V257</f>
        <v>0</v>
      </c>
      <c r="K257"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7" s="334">
        <f t="shared" si="28"/>
        <v>0</v>
      </c>
      <c r="M257" s="333">
        <f>'Sch4-Cost Savings by ECM'!X257</f>
        <v>0</v>
      </c>
      <c r="N257"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7" s="334">
        <f t="shared" si="23"/>
        <v>0</v>
      </c>
      <c r="P257" s="334">
        <f t="shared" si="24"/>
        <v>0</v>
      </c>
      <c r="Q257" s="334">
        <f t="shared" si="25"/>
        <v>0</v>
      </c>
      <c r="R257" s="334">
        <f t="shared" si="26"/>
        <v>0</v>
      </c>
    </row>
    <row r="258" spans="1:20" ht="16.5" thickBot="1">
      <c r="A258" s="598" t="s">
        <v>54</v>
      </c>
      <c r="B258" s="599"/>
      <c r="C258" s="599"/>
      <c r="D258" s="383">
        <f>SUMIFS(D8:D257, 'Sch2a-Imp Price by ECM'!$C$9:$C$258,"&lt;&gt;Yes",'Sch2a-Imp Price by ECM'!$A$9:$A$258,"&lt;&gt;")</f>
        <v>0</v>
      </c>
      <c r="E258" s="379">
        <v>110</v>
      </c>
      <c r="F258" s="379">
        <f>SUMIFS(F8:F257, 'Sch2a-Imp Price by ECM'!$C$9:$C$258,"&lt;&gt;Yes",'Sch2a-Imp Price by ECM'!$A$9:$A$258,"&lt;&gt;")</f>
        <v>0</v>
      </c>
      <c r="G258" s="335">
        <f>SUMIFS(G8:G257, 'Sch2a-Imp Price by ECM'!$C$9:$C$258,"&lt;&gt;Yes",'Sch2a-Imp Price by ECM'!$A$9:$A$258,"&lt;&gt;")</f>
        <v>0</v>
      </c>
      <c r="H258" s="334">
        <f>VLOOKUP("Natural Gas", 'GHG Emissions'!$D$2:$M$66,4,FALSE)+VLOOKUP("Natural Gas", 'GHG Emissions'!$D$2:$M$66,6,FALSE)*'eGRID subregion name'!$P$3+VLOOKUP("Natural Gas", 'GHG Emissions'!$D$2:$M$66,8,FALSE)*'eGRID subregion name'!$P$4</f>
        <v>53.114800000000002</v>
      </c>
      <c r="I258" s="379">
        <f>SUMIFS(I8:I257, 'Sch2a-Imp Price by ECM'!$C$9:$C$258,"&lt;&gt;Yes",'Sch2a-Imp Price by ECM'!$A$9:$A$258,"&lt;&gt;")</f>
        <v>0</v>
      </c>
      <c r="J258" s="335">
        <f>SUMIFS(J8:J257, 'Sch2a-Imp Price by ECM'!$C$9:$C$258,"&lt;&gt;Yes",'Sch2a-Imp Price by ECM'!$A$9:$A$258,"&lt;&gt;")</f>
        <v>0</v>
      </c>
      <c r="K258" s="334">
        <f>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Emissions'!$D$2:$M$66,4,FALSE)+(VLOOKUP(_xlfn.SWITCH($J$5,"Other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Emissions'!$D$2:$M$66,6,FALSE)*'eGRID subregion name'!$P$3)+(VLOOKUP(_xlfn.SWITCH($J$5,"Other Savings Type 1: Heating Oil","Distillate Fuel Oil No. 2","Other Savings Type 1: Propane","Propane","Other Savings Type 1: Diesel","Distillate Fuel Oil No. 2","Other Savings Type 1: Gasoline","Motor gasoline","Other Savings Type 1: Jet Fuel","Kerosene-type jet fuel","Other Savings Type 1: Purchased Steam","Purchased Steam","Other Savings Type 1: Chilled Water", "Chilled Water","Other Savings Type 1: Other", "Other","Other Savings Type 1: Coal", "Coal - Anthracite","Other Savings Type 1: Hot Water", "Hot Water"),'GHG Emissions'!$D$2:$M$66,8,FALSE)*'eGRID subregion name'!$P$4)</f>
        <v>0</v>
      </c>
      <c r="L258" s="379">
        <f>SUMIFS(L8:L257, 'Sch2a-Imp Price by ECM'!$C$9:$C$258,"&lt;&gt;Yes",'Sch2a-Imp Price by ECM'!$A$9:$A$258,"&lt;&gt;")</f>
        <v>0</v>
      </c>
      <c r="M258" s="335">
        <f>SUMIFS(M8:M257, 'Sch2a-Imp Price by ECM'!$C$9:$C$258,"&lt;&gt;Yes",'Sch2a-Imp Price by ECM'!$A$9:$A$258,"&lt;&gt;")</f>
        <v>0</v>
      </c>
      <c r="N258" s="334">
        <f>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Emissions'!$D$2:$M$66,4,FALSE)+(VLOOKUP(_xlfn.SWITCH($M$5,"Other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Emissions'!$D$2:$M$66,6,FALSE)*'eGRID subregion name'!$P$3)+(VLOOKUP(_xlfn.SWITCH($M$5,"Other Savings Type 2: Heating Oil","Distillate Fuel Oil No. 2","Other Savings Type 2: Propane","Propane","Other Savings Type 2: Diesel","Distillate Fuel Oil No. 2","Other Savings Type 2: Gasoline","Motor gasoline","Other Savings Type 2: Jet Fuel","Kerosene-type jet fuel","Other Savings Type 2: Purchased Steam","Purchased Steam","Other Savings Type 2: Chilled Water", "Chilled Water","Other Savings Type 2: Other", "Other","Other Savings Type 2: Coal", "Coal - Anthracite","Other Savings Type 2: Hot Water", "Hot Water"),'GHG Emissions'!$D$2:$M$66,8,FALSE)*'eGRID subregion name'!$P$4)</f>
        <v>0</v>
      </c>
      <c r="O258" s="379">
        <f>SUMIFS(O8:O257, 'Sch2a-Imp Price by ECM'!$C$9:$C$258,"&lt;&gt;Yes",'Sch2a-Imp Price by ECM'!$A$9:$A$258,"&lt;&gt;")</f>
        <v>0</v>
      </c>
      <c r="P258" s="379">
        <f>IF(SUM(P8:P257)=0,IF(AND($L$5&lt;&gt;"Other Savings Type 1: Chilled Water",$L$5&lt;&gt;"Other Savings Type 1: Purchased Steam"),L258,0)+IF(AND($O$5&lt;&gt;"Other Savings Type 2: Chilled Water",$O$5&lt;&gt;"Other Savings Type 2: Purchased Steam"),O258,0),SUMIFS(P8:P257, 'Sch2a-Imp Price by ECM'!$C$9:$C$258,"&lt;&gt;Yes",'Sch2a-Imp Price by ECM'!$A$9:$A$258,"&lt;&gt;"))</f>
        <v>0</v>
      </c>
      <c r="Q258" s="379">
        <f>IF(SUM(Q8:Q257)=0,F258+IF(OR($L$5="Other Savings Type 1: Chilled Water",$L$5="Other Savings Type 1: Purchased Steam"),L258,0)+IF(OR($O$5="Other Savings Type 2: Chilled Water",$O$5="Other Savings Type 2: Purchased Steam"),O258,0),SUMIFS(Q8:Q257, 'Sch2a-Imp Price by ECM'!$C$9:$C$258,"&lt;&gt;Yes",'Sch2a-Imp Price by ECM'!$A$9:$A$258,"&lt;&gt;"))</f>
        <v>0</v>
      </c>
      <c r="R258" s="379">
        <f>IF(SUM(R8:R257)=0,(P258+Q258),SUM(R8:R257))</f>
        <v>0</v>
      </c>
    </row>
    <row r="259" spans="1:20" ht="16.5" thickBot="1">
      <c r="A259" s="336"/>
      <c r="B259" s="337"/>
      <c r="C259" s="337"/>
      <c r="D259" s="338"/>
      <c r="E259" s="338"/>
      <c r="F259" s="338"/>
      <c r="G259" s="339"/>
      <c r="H259" s="339"/>
      <c r="I259" s="339"/>
      <c r="J259" s="339"/>
      <c r="K259" s="339"/>
      <c r="L259" s="339"/>
      <c r="M259" s="340"/>
      <c r="N259" s="340"/>
      <c r="O259" s="340"/>
      <c r="P259" s="340"/>
      <c r="Q259" s="340"/>
      <c r="R259" s="340"/>
    </row>
    <row r="260" spans="1:20">
      <c r="A260" s="609" t="s">
        <v>15</v>
      </c>
      <c r="B260" s="610"/>
      <c r="C260" s="610"/>
      <c r="D260" s="610"/>
      <c r="E260" s="610"/>
      <c r="F260" s="610"/>
      <c r="G260" s="610"/>
      <c r="H260" s="610"/>
      <c r="I260" s="610"/>
      <c r="J260" s="610"/>
      <c r="K260" s="610"/>
      <c r="L260" s="610"/>
      <c r="M260" s="610"/>
      <c r="N260" s="610"/>
      <c r="O260" s="610"/>
      <c r="P260" s="610"/>
      <c r="Q260" s="610"/>
      <c r="R260" s="445"/>
    </row>
    <row r="261" spans="1:20" ht="16" customHeight="1">
      <c r="A261" s="611" t="s">
        <v>531</v>
      </c>
      <c r="B261" s="581"/>
      <c r="C261" s="581"/>
      <c r="D261" s="581"/>
      <c r="E261" s="581"/>
      <c r="F261" s="581"/>
      <c r="G261" s="581"/>
      <c r="H261" s="581"/>
      <c r="I261" s="581"/>
      <c r="J261" s="581"/>
      <c r="K261" s="581"/>
      <c r="L261" s="581"/>
      <c r="M261" s="581"/>
      <c r="N261" s="581"/>
      <c r="O261" s="581"/>
      <c r="P261" s="581"/>
      <c r="Q261" s="581"/>
      <c r="R261" s="485"/>
    </row>
    <row r="262" spans="1:20" ht="17" customHeight="1">
      <c r="A262" s="611" t="s">
        <v>532</v>
      </c>
      <c r="B262" s="581"/>
      <c r="C262" s="581"/>
      <c r="D262" s="581"/>
      <c r="E262" s="581"/>
      <c r="F262" s="581"/>
      <c r="G262" s="581"/>
      <c r="H262" s="581"/>
      <c r="I262" s="581"/>
      <c r="J262" s="581"/>
      <c r="K262" s="581"/>
      <c r="L262" s="581"/>
      <c r="M262" s="581"/>
      <c r="N262" s="581"/>
      <c r="O262" s="581"/>
      <c r="P262" s="581"/>
      <c r="Q262" s="581"/>
      <c r="R262" s="485"/>
    </row>
    <row r="263" spans="1:20" ht="17" customHeight="1">
      <c r="A263" s="611" t="s">
        <v>533</v>
      </c>
      <c r="B263" s="581"/>
      <c r="C263" s="581"/>
      <c r="D263" s="581"/>
      <c r="E263" s="581"/>
      <c r="F263" s="581"/>
      <c r="G263" s="581"/>
      <c r="H263" s="581"/>
      <c r="I263" s="581"/>
      <c r="J263" s="581"/>
      <c r="K263" s="581"/>
      <c r="L263" s="581"/>
      <c r="M263" s="581"/>
      <c r="N263" s="581"/>
      <c r="O263" s="581"/>
      <c r="P263" s="581"/>
      <c r="Q263" s="581"/>
      <c r="R263" s="485"/>
    </row>
    <row r="264" spans="1:20" ht="16" customHeight="1">
      <c r="A264" s="612" t="s">
        <v>534</v>
      </c>
      <c r="B264" s="596"/>
      <c r="C264" s="596"/>
      <c r="D264" s="596"/>
      <c r="E264" s="596"/>
      <c r="F264" s="596"/>
      <c r="G264" s="596"/>
      <c r="H264" s="596"/>
      <c r="I264" s="596"/>
      <c r="J264" s="596"/>
      <c r="K264" s="596"/>
      <c r="L264" s="596"/>
      <c r="M264" s="596"/>
      <c r="N264" s="596"/>
      <c r="O264" s="596"/>
      <c r="P264" s="596"/>
      <c r="Q264" s="596"/>
      <c r="R264" s="485"/>
    </row>
    <row r="265" spans="1:20" ht="16" customHeight="1">
      <c r="A265" s="612" t="s">
        <v>540</v>
      </c>
      <c r="B265" s="596"/>
      <c r="C265" s="596"/>
      <c r="D265" s="596"/>
      <c r="E265" s="596"/>
      <c r="F265" s="596"/>
      <c r="G265" s="596"/>
      <c r="H265" s="596"/>
      <c r="I265" s="596"/>
      <c r="J265" s="596"/>
      <c r="K265" s="596"/>
      <c r="L265" s="596"/>
      <c r="M265" s="596"/>
      <c r="N265" s="596"/>
      <c r="O265" s="596"/>
      <c r="P265" s="596"/>
      <c r="Q265" s="596"/>
      <c r="R265" s="596"/>
      <c r="S265" s="596"/>
      <c r="T265" s="485"/>
    </row>
    <row r="266" spans="1:20" ht="16" customHeight="1">
      <c r="A266" s="611" t="s">
        <v>541</v>
      </c>
      <c r="B266" s="581"/>
      <c r="C266" s="581"/>
      <c r="D266" s="581"/>
      <c r="E266" s="581"/>
      <c r="F266" s="581"/>
      <c r="G266" s="581"/>
      <c r="H266" s="581"/>
      <c r="I266" s="581"/>
      <c r="J266" s="581"/>
      <c r="K266" s="581"/>
      <c r="L266" s="581"/>
      <c r="M266" s="581"/>
      <c r="N266" s="581"/>
      <c r="O266" s="581"/>
      <c r="P266" s="581"/>
      <c r="Q266" s="581"/>
      <c r="R266" s="581"/>
      <c r="S266" s="581"/>
      <c r="T266" s="582"/>
    </row>
    <row r="267" spans="1:20">
      <c r="A267" s="604" t="s">
        <v>113</v>
      </c>
      <c r="B267" s="605"/>
      <c r="C267" s="605"/>
      <c r="D267" s="605"/>
      <c r="E267" s="605"/>
      <c r="F267" s="605"/>
      <c r="G267" s="605"/>
      <c r="H267" s="605"/>
      <c r="I267" s="605"/>
      <c r="J267" s="605"/>
      <c r="K267" s="605"/>
      <c r="L267" s="605"/>
      <c r="M267" s="605"/>
      <c r="N267" s="605"/>
      <c r="O267" s="605"/>
      <c r="P267" s="605"/>
      <c r="Q267" s="605"/>
      <c r="R267" s="485"/>
    </row>
    <row r="268" spans="1:20" ht="95.5" customHeight="1">
      <c r="A268" s="606"/>
      <c r="B268" s="607"/>
      <c r="C268" s="607"/>
      <c r="D268" s="607"/>
      <c r="E268" s="607"/>
      <c r="F268" s="607"/>
      <c r="G268" s="607"/>
      <c r="H268" s="607"/>
      <c r="I268" s="607"/>
      <c r="J268" s="607"/>
      <c r="K268" s="607"/>
      <c r="L268" s="607"/>
      <c r="M268" s="607"/>
      <c r="N268" s="607"/>
      <c r="O268" s="607"/>
      <c r="P268" s="607"/>
      <c r="Q268" s="607"/>
      <c r="R268" s="608"/>
    </row>
    <row r="269" spans="1:20">
      <c r="A269" s="1" t="s">
        <v>511</v>
      </c>
    </row>
    <row r="270" spans="1:20">
      <c r="A270" s="1" t="str">
        <f>'Summary Schedule'!A53</f>
        <v>4.2.9.n</v>
      </c>
    </row>
    <row r="271" spans="1:20">
      <c r="A271" s="1" t="str">
        <f>'Summary Schedule'!A54</f>
        <v>02072025</v>
      </c>
    </row>
  </sheetData>
  <sheetProtection algorithmName="SHA-512" hashValue="3C2B0Wd7Ue8ibIV5g5QuXqAYBQX5NIcMCIp0Kb2OFrfnUseuYEHP2j3XxRgRjB21FRdZYpGM4K9iHCjkb37zTw==" saltValue="/r0BwiHMXtrhh1PXGN7KCQ==" spinCount="100000" sheet="1" objects="1" scenarios="1"/>
  <mergeCells count="16">
    <mergeCell ref="A1:O1"/>
    <mergeCell ref="A2:O2"/>
    <mergeCell ref="A4:C4"/>
    <mergeCell ref="A5:A6"/>
    <mergeCell ref="B5:B6"/>
    <mergeCell ref="C5:C6"/>
    <mergeCell ref="A267:R267"/>
    <mergeCell ref="A268:R268"/>
    <mergeCell ref="A258:C258"/>
    <mergeCell ref="A260:R260"/>
    <mergeCell ref="A261:R261"/>
    <mergeCell ref="A262:R262"/>
    <mergeCell ref="A263:R263"/>
    <mergeCell ref="A264:R264"/>
    <mergeCell ref="A265:T265"/>
    <mergeCell ref="A266:T266"/>
  </mergeCells>
  <dataValidations count="6">
    <dataValidation type="whole" allowBlank="1" showInputMessage="1" showErrorMessage="1" error="Please enter a valid value" sqref="M8:M257 D8:D257 J8:J257 G8:G257" xr:uid="{453C6450-457F-2440-B20F-F6A80162EA36}">
      <formula1>-1000000000</formula1>
      <formula2>1000000000</formula2>
    </dataValidation>
    <dataValidation allowBlank="1" showInputMessage="1" showErrorMessage="1" error="Please enter a valid value" sqref="E8" xr:uid="{50179F1A-0547-CA4F-BEB5-0297BF9EB3B2}"/>
    <dataValidation type="whole" allowBlank="1" showInputMessage="1" showErrorMessage="1" error="Enter a number" sqref="F8:F257" xr:uid="{A2F99E5E-0555-422D-9313-C5C62D9A18A4}">
      <formula1>-1000000000</formula1>
      <formula2>1000000000</formula2>
    </dataValidation>
    <dataValidation type="whole" allowBlank="1" showInputMessage="1" showErrorMessage="1" error="Enter a number" sqref="E258:F258 E9:E257 K258:L258 K8:L257 N8:R257 N258:R258" xr:uid="{34B0385D-03CA-4440-A254-018D1A99392B}">
      <formula1>0</formula1>
      <formula2>1000000000</formula2>
    </dataValidation>
    <dataValidation type="whole" allowBlank="1" showInputMessage="1" showErrorMessage="1" error="Enter a number" sqref="H8:I257" xr:uid="{745A7615-51C7-4EFA-8207-8B4167D56F02}">
      <formula1>0</formula1>
      <formula2>1000000000</formula2>
    </dataValidation>
    <dataValidation type="whole" allowBlank="1" showInputMessage="1" showErrorMessage="1" error="Enter a number" sqref="H258:I258" xr:uid="{7B324DF2-3391-48EC-AA71-D5E410BF9723}">
      <formula1>0</formula1>
      <formula2>1000000000</formula2>
    </dataValidation>
  </dataValidations>
  <pageMargins left="0.75" right="0.75" top="1" bottom="1" header="0.5" footer="0.5"/>
  <pageSetup scale="24" fitToHeight="0" orientation="landscape" horizontalDpi="4294967292" verticalDpi="4294967292"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88D0BB0B-5C96-C148-9813-A47F1470E4DE}">
          <x14:formula1>
            <xm:f>'eGRID subregion name'!$A$2:$A$30</xm:f>
          </x14:formula1>
          <xm:sqref>C8:C257</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pageSetUpPr fitToPage="1"/>
  </sheetPr>
  <dimension ref="A1:N41"/>
  <sheetViews>
    <sheetView zoomScale="90" zoomScaleNormal="90" zoomScalePageLayoutView="75" workbookViewId="0">
      <selection sqref="A1:N1"/>
    </sheetView>
  </sheetViews>
  <sheetFormatPr defaultColWidth="11" defaultRowHeight="16"/>
  <cols>
    <col min="1" max="1" width="18.5" style="1" customWidth="1"/>
    <col min="2" max="2" width="7.5" style="1" customWidth="1"/>
    <col min="3" max="3" width="15" style="1" customWidth="1"/>
    <col min="4" max="12" width="15.1640625" style="1" bestFit="1" customWidth="1"/>
    <col min="13" max="14" width="15.5" style="1" bestFit="1" customWidth="1"/>
    <col min="15" max="16384" width="11" style="1"/>
  </cols>
  <sheetData>
    <row r="1" spans="1:14" ht="20.25" customHeight="1">
      <c r="A1" s="621" t="s">
        <v>68</v>
      </c>
      <c r="B1" s="621"/>
      <c r="C1" s="621"/>
      <c r="D1" s="621"/>
      <c r="E1" s="621"/>
      <c r="F1" s="621"/>
      <c r="G1" s="621"/>
      <c r="H1" s="621"/>
      <c r="I1" s="621"/>
      <c r="J1" s="621"/>
      <c r="K1" s="621"/>
      <c r="L1" s="621"/>
      <c r="M1" s="621"/>
      <c r="N1" s="621"/>
    </row>
    <row r="2" spans="1:14" ht="21" customHeight="1" thickBot="1">
      <c r="A2" s="621" t="s">
        <v>74</v>
      </c>
      <c r="B2" s="621"/>
      <c r="C2" s="621"/>
      <c r="D2" s="621"/>
      <c r="E2" s="621"/>
      <c r="F2" s="621"/>
      <c r="G2" s="621"/>
      <c r="H2" s="621"/>
      <c r="I2" s="621"/>
      <c r="J2" s="621"/>
      <c r="K2" s="621"/>
      <c r="L2" s="621"/>
      <c r="M2" s="621"/>
      <c r="N2" s="621"/>
    </row>
    <row r="3" spans="1:14" ht="18" customHeight="1" thickBot="1">
      <c r="A3" s="622"/>
      <c r="B3" s="623"/>
      <c r="C3" s="623"/>
      <c r="D3" s="623"/>
      <c r="E3" s="623"/>
      <c r="F3" s="623"/>
      <c r="G3" s="623"/>
      <c r="H3" s="623"/>
      <c r="I3" s="623"/>
      <c r="J3" s="623"/>
      <c r="K3" s="623"/>
      <c r="L3" s="623"/>
      <c r="M3" s="623"/>
      <c r="N3" s="624"/>
    </row>
    <row r="4" spans="1:14" ht="48.75" customHeight="1" thickBot="1">
      <c r="A4" s="617" t="s">
        <v>77</v>
      </c>
      <c r="B4" s="618"/>
      <c r="C4" s="79">
        <v>1</v>
      </c>
      <c r="D4" s="79">
        <v>2</v>
      </c>
      <c r="E4" s="79">
        <v>3</v>
      </c>
      <c r="F4" s="79">
        <v>4</v>
      </c>
      <c r="G4" s="79">
        <v>5</v>
      </c>
      <c r="H4" s="79">
        <v>6</v>
      </c>
      <c r="I4" s="79">
        <v>7</v>
      </c>
      <c r="J4" s="79">
        <v>8</v>
      </c>
      <c r="K4" s="79">
        <v>9</v>
      </c>
      <c r="L4" s="79">
        <v>10</v>
      </c>
      <c r="M4" s="79">
        <v>11</v>
      </c>
      <c r="N4" s="79">
        <v>12</v>
      </c>
    </row>
    <row r="5" spans="1:14" ht="18" customHeight="1" thickBot="1">
      <c r="A5" s="619" t="s">
        <v>142</v>
      </c>
      <c r="B5" s="620"/>
      <c r="C5" s="80"/>
      <c r="D5" s="80"/>
      <c r="E5" s="80"/>
      <c r="F5" s="80"/>
      <c r="G5" s="80"/>
      <c r="H5" s="80"/>
      <c r="I5" s="80"/>
      <c r="J5" s="80"/>
      <c r="K5" s="80"/>
      <c r="L5" s="80"/>
      <c r="M5" s="80"/>
      <c r="N5" s="80"/>
    </row>
    <row r="6" spans="1:14" ht="18" customHeight="1" thickBot="1">
      <c r="A6" s="614">
        <v>1</v>
      </c>
      <c r="B6" s="615"/>
      <c r="C6" s="80"/>
      <c r="D6" s="80"/>
      <c r="E6" s="80"/>
      <c r="F6" s="80"/>
      <c r="G6" s="80"/>
      <c r="H6" s="80"/>
      <c r="I6" s="80"/>
      <c r="J6" s="80"/>
      <c r="K6" s="80"/>
      <c r="L6" s="80"/>
      <c r="M6" s="80"/>
      <c r="N6" s="80"/>
    </row>
    <row r="7" spans="1:14" ht="18" customHeight="1" thickBot="1">
      <c r="A7" s="614">
        <v>2</v>
      </c>
      <c r="B7" s="615"/>
      <c r="C7" s="80"/>
      <c r="D7" s="80"/>
      <c r="E7" s="80"/>
      <c r="F7" s="80"/>
      <c r="G7" s="80"/>
      <c r="H7" s="80"/>
      <c r="I7" s="80"/>
      <c r="J7" s="80"/>
      <c r="K7" s="80"/>
      <c r="L7" s="80"/>
      <c r="M7" s="80"/>
      <c r="N7" s="80"/>
    </row>
    <row r="8" spans="1:14" ht="18" customHeight="1" thickBot="1">
      <c r="A8" s="614">
        <v>3</v>
      </c>
      <c r="B8" s="615"/>
      <c r="C8" s="80"/>
      <c r="D8" s="80"/>
      <c r="E8" s="80"/>
      <c r="F8" s="80"/>
      <c r="G8" s="80"/>
      <c r="H8" s="80"/>
      <c r="I8" s="80"/>
      <c r="J8" s="80"/>
      <c r="K8" s="80"/>
      <c r="L8" s="80"/>
      <c r="M8" s="80"/>
      <c r="N8" s="80"/>
    </row>
    <row r="9" spans="1:14" ht="18" customHeight="1" thickBot="1">
      <c r="A9" s="614">
        <v>4</v>
      </c>
      <c r="B9" s="615"/>
      <c r="C9" s="80"/>
      <c r="D9" s="80"/>
      <c r="E9" s="80"/>
      <c r="F9" s="80"/>
      <c r="G9" s="80"/>
      <c r="H9" s="80"/>
      <c r="I9" s="80"/>
      <c r="J9" s="80"/>
      <c r="K9" s="80"/>
      <c r="L9" s="80"/>
      <c r="M9" s="80"/>
      <c r="N9" s="80"/>
    </row>
    <row r="10" spans="1:14" ht="18" customHeight="1" thickBot="1">
      <c r="A10" s="614">
        <v>5</v>
      </c>
      <c r="B10" s="615"/>
      <c r="C10" s="80"/>
      <c r="D10" s="80"/>
      <c r="E10" s="80"/>
      <c r="F10" s="80"/>
      <c r="G10" s="80"/>
      <c r="H10" s="80"/>
      <c r="I10" s="80"/>
      <c r="J10" s="80"/>
      <c r="K10" s="80"/>
      <c r="L10" s="80"/>
      <c r="M10" s="80"/>
      <c r="N10" s="80"/>
    </row>
    <row r="11" spans="1:14" ht="18" customHeight="1" thickBot="1">
      <c r="A11" s="614">
        <v>6</v>
      </c>
      <c r="B11" s="615"/>
      <c r="C11" s="80"/>
      <c r="D11" s="80"/>
      <c r="E11" s="80"/>
      <c r="F11" s="80"/>
      <c r="G11" s="80"/>
      <c r="H11" s="80"/>
      <c r="I11" s="80"/>
      <c r="J11" s="80"/>
      <c r="K11" s="80"/>
      <c r="L11" s="80"/>
      <c r="M11" s="80"/>
      <c r="N11" s="80"/>
    </row>
    <row r="12" spans="1:14" ht="18" customHeight="1" thickBot="1">
      <c r="A12" s="614">
        <v>7</v>
      </c>
      <c r="B12" s="615"/>
      <c r="C12" s="80"/>
      <c r="D12" s="80"/>
      <c r="E12" s="80"/>
      <c r="F12" s="80"/>
      <c r="G12" s="80"/>
      <c r="H12" s="80"/>
      <c r="I12" s="80"/>
      <c r="J12" s="80"/>
      <c r="K12" s="80"/>
      <c r="L12" s="80"/>
      <c r="M12" s="80"/>
      <c r="N12" s="80"/>
    </row>
    <row r="13" spans="1:14" ht="18" customHeight="1" thickBot="1">
      <c r="A13" s="614">
        <v>8</v>
      </c>
      <c r="B13" s="615"/>
      <c r="C13" s="80"/>
      <c r="D13" s="80"/>
      <c r="E13" s="80"/>
      <c r="F13" s="80"/>
      <c r="G13" s="80"/>
      <c r="H13" s="80"/>
      <c r="I13" s="80"/>
      <c r="J13" s="80"/>
      <c r="K13" s="80"/>
      <c r="L13" s="80"/>
      <c r="M13" s="80"/>
      <c r="N13" s="80"/>
    </row>
    <row r="14" spans="1:14" ht="18" customHeight="1" thickBot="1">
      <c r="A14" s="614">
        <v>9</v>
      </c>
      <c r="B14" s="615"/>
      <c r="C14" s="80"/>
      <c r="D14" s="80"/>
      <c r="E14" s="80"/>
      <c r="F14" s="80"/>
      <c r="G14" s="80"/>
      <c r="H14" s="80"/>
      <c r="I14" s="80"/>
      <c r="J14" s="80"/>
      <c r="K14" s="80"/>
      <c r="L14" s="80"/>
      <c r="M14" s="80"/>
      <c r="N14" s="80"/>
    </row>
    <row r="15" spans="1:14" ht="18" customHeight="1" thickBot="1">
      <c r="A15" s="614">
        <v>10</v>
      </c>
      <c r="B15" s="615"/>
      <c r="C15" s="80"/>
      <c r="D15" s="80"/>
      <c r="E15" s="80"/>
      <c r="F15" s="80"/>
      <c r="G15" s="80"/>
      <c r="H15" s="80"/>
      <c r="I15" s="80"/>
      <c r="J15" s="80"/>
      <c r="K15" s="80"/>
      <c r="L15" s="80"/>
      <c r="M15" s="80"/>
      <c r="N15" s="80"/>
    </row>
    <row r="16" spans="1:14" ht="18" customHeight="1" thickBot="1">
      <c r="A16" s="614">
        <v>11</v>
      </c>
      <c r="B16" s="615"/>
      <c r="C16" s="80"/>
      <c r="D16" s="80"/>
      <c r="E16" s="80"/>
      <c r="F16" s="80"/>
      <c r="G16" s="80"/>
      <c r="H16" s="80"/>
      <c r="I16" s="80"/>
      <c r="J16" s="80"/>
      <c r="K16" s="80"/>
      <c r="L16" s="80"/>
      <c r="M16" s="80"/>
      <c r="N16" s="80"/>
    </row>
    <row r="17" spans="1:14" ht="18" customHeight="1" thickBot="1">
      <c r="A17" s="614">
        <v>12</v>
      </c>
      <c r="B17" s="615"/>
      <c r="C17" s="80"/>
      <c r="D17" s="80"/>
      <c r="E17" s="80"/>
      <c r="F17" s="80"/>
      <c r="G17" s="80"/>
      <c r="H17" s="80"/>
      <c r="I17" s="80"/>
      <c r="J17" s="80"/>
      <c r="K17" s="80"/>
      <c r="L17" s="80"/>
      <c r="M17" s="80"/>
      <c r="N17" s="80"/>
    </row>
    <row r="18" spans="1:14" ht="18" customHeight="1" thickBot="1">
      <c r="A18" s="614">
        <v>13</v>
      </c>
      <c r="B18" s="615"/>
      <c r="C18" s="80"/>
      <c r="D18" s="80"/>
      <c r="E18" s="80"/>
      <c r="F18" s="80"/>
      <c r="G18" s="80"/>
      <c r="H18" s="80"/>
      <c r="I18" s="80"/>
      <c r="J18" s="80"/>
      <c r="K18" s="80"/>
      <c r="L18" s="80"/>
      <c r="M18" s="80"/>
      <c r="N18" s="80"/>
    </row>
    <row r="19" spans="1:14" ht="18" customHeight="1" thickBot="1">
      <c r="A19" s="614">
        <v>14</v>
      </c>
      <c r="B19" s="615"/>
      <c r="C19" s="80"/>
      <c r="D19" s="80"/>
      <c r="E19" s="80"/>
      <c r="F19" s="80"/>
      <c r="G19" s="80"/>
      <c r="H19" s="80"/>
      <c r="I19" s="80"/>
      <c r="J19" s="80"/>
      <c r="K19" s="80"/>
      <c r="L19" s="80"/>
      <c r="M19" s="80"/>
      <c r="N19" s="80"/>
    </row>
    <row r="20" spans="1:14" ht="18" customHeight="1" thickBot="1">
      <c r="A20" s="614">
        <v>15</v>
      </c>
      <c r="B20" s="615"/>
      <c r="C20" s="80"/>
      <c r="D20" s="80"/>
      <c r="E20" s="80"/>
      <c r="F20" s="80"/>
      <c r="G20" s="80"/>
      <c r="H20" s="80"/>
      <c r="I20" s="80"/>
      <c r="J20" s="80"/>
      <c r="K20" s="80"/>
      <c r="L20" s="80"/>
      <c r="M20" s="80"/>
      <c r="N20" s="80"/>
    </row>
    <row r="21" spans="1:14" ht="18" customHeight="1" thickBot="1">
      <c r="A21" s="614">
        <v>16</v>
      </c>
      <c r="B21" s="615"/>
      <c r="C21" s="80"/>
      <c r="D21" s="80"/>
      <c r="E21" s="80"/>
      <c r="F21" s="80"/>
      <c r="G21" s="80"/>
      <c r="H21" s="80"/>
      <c r="I21" s="80"/>
      <c r="J21" s="80"/>
      <c r="K21" s="80"/>
      <c r="L21" s="80"/>
      <c r="M21" s="80"/>
      <c r="N21" s="80"/>
    </row>
    <row r="22" spans="1:14" ht="18" customHeight="1" thickBot="1">
      <c r="A22" s="614">
        <v>17</v>
      </c>
      <c r="B22" s="615"/>
      <c r="C22" s="80"/>
      <c r="D22" s="80"/>
      <c r="E22" s="80"/>
      <c r="F22" s="80"/>
      <c r="G22" s="80"/>
      <c r="H22" s="80"/>
      <c r="I22" s="80"/>
      <c r="J22" s="80"/>
      <c r="K22" s="80"/>
      <c r="L22" s="80"/>
      <c r="M22" s="80"/>
      <c r="N22" s="80"/>
    </row>
    <row r="23" spans="1:14" ht="18" customHeight="1" thickBot="1">
      <c r="A23" s="614">
        <v>18</v>
      </c>
      <c r="B23" s="615"/>
      <c r="C23" s="80"/>
      <c r="D23" s="80"/>
      <c r="E23" s="80"/>
      <c r="F23" s="80"/>
      <c r="G23" s="80"/>
      <c r="H23" s="80"/>
      <c r="I23" s="80"/>
      <c r="J23" s="80"/>
      <c r="K23" s="80"/>
      <c r="L23" s="80"/>
      <c r="M23" s="80"/>
      <c r="N23" s="80"/>
    </row>
    <row r="24" spans="1:14" ht="18" customHeight="1" thickBot="1">
      <c r="A24" s="614">
        <v>19</v>
      </c>
      <c r="B24" s="615"/>
      <c r="C24" s="80"/>
      <c r="D24" s="80"/>
      <c r="E24" s="80"/>
      <c r="F24" s="80"/>
      <c r="G24" s="80"/>
      <c r="H24" s="80"/>
      <c r="I24" s="80"/>
      <c r="J24" s="80"/>
      <c r="K24" s="80"/>
      <c r="L24" s="80"/>
      <c r="M24" s="80"/>
      <c r="N24" s="80"/>
    </row>
    <row r="25" spans="1:14" ht="18" customHeight="1" thickBot="1">
      <c r="A25" s="614">
        <v>20</v>
      </c>
      <c r="B25" s="615"/>
      <c r="C25" s="80"/>
      <c r="D25" s="80"/>
      <c r="E25" s="80"/>
      <c r="F25" s="80"/>
      <c r="G25" s="80"/>
      <c r="H25" s="80"/>
      <c r="I25" s="80"/>
      <c r="J25" s="80"/>
      <c r="K25" s="80"/>
      <c r="L25" s="80"/>
      <c r="M25" s="80"/>
      <c r="N25" s="80"/>
    </row>
    <row r="26" spans="1:14" ht="18" customHeight="1" thickBot="1">
      <c r="A26" s="614">
        <v>21</v>
      </c>
      <c r="B26" s="615"/>
      <c r="C26" s="80"/>
      <c r="D26" s="80"/>
      <c r="E26" s="80"/>
      <c r="F26" s="80"/>
      <c r="G26" s="80"/>
      <c r="H26" s="80"/>
      <c r="I26" s="80"/>
      <c r="J26" s="80"/>
      <c r="K26" s="80"/>
      <c r="L26" s="80"/>
      <c r="M26" s="80"/>
      <c r="N26" s="80"/>
    </row>
    <row r="27" spans="1:14" ht="18" customHeight="1" thickBot="1">
      <c r="A27" s="614">
        <v>22</v>
      </c>
      <c r="B27" s="615"/>
      <c r="C27" s="80"/>
      <c r="D27" s="80"/>
      <c r="E27" s="80"/>
      <c r="F27" s="80"/>
      <c r="G27" s="80"/>
      <c r="H27" s="80"/>
      <c r="I27" s="80"/>
      <c r="J27" s="80"/>
      <c r="K27" s="80"/>
      <c r="L27" s="80"/>
      <c r="M27" s="80"/>
      <c r="N27" s="80"/>
    </row>
    <row r="28" spans="1:14" ht="18" customHeight="1" thickBot="1">
      <c r="A28" s="614">
        <v>23</v>
      </c>
      <c r="B28" s="615"/>
      <c r="C28" s="80"/>
      <c r="D28" s="80"/>
      <c r="E28" s="80"/>
      <c r="F28" s="80"/>
      <c r="G28" s="80"/>
      <c r="H28" s="80"/>
      <c r="I28" s="80"/>
      <c r="J28" s="80"/>
      <c r="K28" s="80"/>
      <c r="L28" s="80"/>
      <c r="M28" s="80"/>
      <c r="N28" s="80"/>
    </row>
    <row r="29" spans="1:14" ht="18" customHeight="1" thickBot="1">
      <c r="A29" s="614">
        <v>24</v>
      </c>
      <c r="B29" s="615"/>
      <c r="C29" s="80"/>
      <c r="D29" s="80"/>
      <c r="E29" s="80"/>
      <c r="F29" s="80"/>
      <c r="G29" s="80"/>
      <c r="H29" s="80"/>
      <c r="I29" s="80"/>
      <c r="J29" s="80"/>
      <c r="K29" s="80"/>
      <c r="L29" s="80"/>
      <c r="M29" s="80"/>
      <c r="N29" s="80"/>
    </row>
    <row r="30" spans="1:14" ht="18" customHeight="1" thickBot="1">
      <c r="A30" s="614">
        <v>25</v>
      </c>
      <c r="B30" s="615"/>
      <c r="C30" s="80"/>
      <c r="D30" s="80"/>
      <c r="E30" s="80"/>
      <c r="F30" s="80"/>
      <c r="G30" s="80"/>
      <c r="H30" s="80"/>
      <c r="I30" s="80"/>
      <c r="J30" s="80"/>
      <c r="K30" s="80"/>
      <c r="L30" s="80"/>
      <c r="M30" s="80"/>
      <c r="N30" s="80"/>
    </row>
    <row r="31" spans="1:14" ht="18" customHeight="1" thickBot="1">
      <c r="A31" s="631"/>
      <c r="B31" s="632"/>
      <c r="C31" s="632"/>
      <c r="D31" s="632"/>
      <c r="E31" s="632"/>
      <c r="F31" s="632"/>
      <c r="G31" s="632"/>
      <c r="H31" s="632"/>
      <c r="I31" s="632"/>
      <c r="J31" s="632"/>
      <c r="K31" s="632"/>
      <c r="L31" s="632"/>
      <c r="M31" s="632"/>
      <c r="N31" s="633"/>
    </row>
    <row r="32" spans="1:14" ht="19.5" customHeight="1">
      <c r="A32" s="625" t="s">
        <v>15</v>
      </c>
      <c r="B32" s="626"/>
      <c r="C32" s="626"/>
      <c r="D32" s="626"/>
      <c r="E32" s="626"/>
      <c r="F32" s="626"/>
      <c r="G32" s="626"/>
      <c r="H32" s="626"/>
      <c r="I32" s="626"/>
      <c r="J32" s="626"/>
      <c r="K32" s="626"/>
      <c r="L32" s="626"/>
      <c r="M32" s="626"/>
      <c r="N32" s="627"/>
    </row>
    <row r="33" spans="1:14" ht="19.5" customHeight="1">
      <c r="A33" s="634" t="s">
        <v>140</v>
      </c>
      <c r="B33" s="577"/>
      <c r="C33" s="577"/>
      <c r="D33" s="577"/>
      <c r="E33" s="577"/>
      <c r="F33" s="577"/>
      <c r="G33" s="577"/>
      <c r="H33" s="577"/>
      <c r="I33" s="577"/>
      <c r="J33" s="577"/>
      <c r="K33" s="577"/>
      <c r="L33" s="577"/>
      <c r="M33" s="577"/>
      <c r="N33" s="635"/>
    </row>
    <row r="34" spans="1:14" ht="31" customHeight="1">
      <c r="A34" s="560" t="s">
        <v>141</v>
      </c>
      <c r="B34" s="561"/>
      <c r="C34" s="561"/>
      <c r="D34" s="561"/>
      <c r="E34" s="561"/>
      <c r="F34" s="561"/>
      <c r="G34" s="561"/>
      <c r="H34" s="561"/>
      <c r="I34" s="561"/>
      <c r="J34" s="561"/>
      <c r="K34" s="561"/>
      <c r="L34" s="561"/>
      <c r="M34" s="561"/>
      <c r="N34" s="616"/>
    </row>
    <row r="35" spans="1:14">
      <c r="A35" s="634" t="s">
        <v>204</v>
      </c>
      <c r="B35" s="636"/>
      <c r="C35" s="636"/>
      <c r="D35" s="636"/>
      <c r="E35" s="636"/>
      <c r="F35" s="636"/>
      <c r="G35" s="636"/>
      <c r="H35" s="636"/>
      <c r="I35" s="636"/>
      <c r="J35" s="636"/>
      <c r="K35" s="636"/>
      <c r="L35" s="636"/>
      <c r="M35" s="636"/>
      <c r="N35" s="637"/>
    </row>
    <row r="36" spans="1:14" ht="16.5" thickBot="1">
      <c r="A36" s="634" t="s">
        <v>205</v>
      </c>
      <c r="B36" s="636"/>
      <c r="C36" s="636"/>
      <c r="D36" s="636"/>
      <c r="E36" s="636"/>
      <c r="F36" s="636"/>
      <c r="G36" s="636"/>
      <c r="H36" s="636"/>
      <c r="I36" s="636"/>
      <c r="J36" s="636"/>
      <c r="K36" s="636"/>
      <c r="L36" s="636"/>
      <c r="M36" s="636"/>
      <c r="N36" s="637"/>
    </row>
    <row r="37" spans="1:14" ht="16.5" thickBot="1">
      <c r="A37" s="634"/>
      <c r="B37" s="636"/>
      <c r="C37" s="636"/>
      <c r="D37" s="636"/>
      <c r="E37" s="636"/>
      <c r="F37" s="636"/>
      <c r="G37" s="636"/>
      <c r="H37" s="636"/>
      <c r="I37" s="636"/>
      <c r="J37" s="636"/>
      <c r="K37" s="636"/>
      <c r="L37" s="636"/>
      <c r="M37" s="636"/>
      <c r="N37" s="637"/>
    </row>
    <row r="38" spans="1:14">
      <c r="A38" s="625" t="s">
        <v>113</v>
      </c>
      <c r="B38" s="626"/>
      <c r="C38" s="626"/>
      <c r="D38" s="626"/>
      <c r="E38" s="626"/>
      <c r="F38" s="626"/>
      <c r="G38" s="626"/>
      <c r="H38" s="626"/>
      <c r="I38" s="626"/>
      <c r="J38" s="626"/>
      <c r="K38" s="626"/>
      <c r="L38" s="626"/>
      <c r="M38" s="626"/>
      <c r="N38" s="627"/>
    </row>
    <row r="39" spans="1:14" ht="68" customHeight="1" thickBot="1">
      <c r="A39" s="628"/>
      <c r="B39" s="629"/>
      <c r="C39" s="629"/>
      <c r="D39" s="629"/>
      <c r="E39" s="629"/>
      <c r="F39" s="629"/>
      <c r="G39" s="629"/>
      <c r="H39" s="629"/>
      <c r="I39" s="629"/>
      <c r="J39" s="629"/>
      <c r="K39" s="629"/>
      <c r="L39" s="629"/>
      <c r="M39" s="629"/>
      <c r="N39" s="630"/>
    </row>
    <row r="40" spans="1:14">
      <c r="A40" s="153" t="str">
        <f>'Summary Schedule'!A53</f>
        <v>4.2.9.n</v>
      </c>
    </row>
    <row r="41" spans="1:14">
      <c r="A41" s="153" t="str">
        <f>'Summary Schedule'!A54</f>
        <v>02072025</v>
      </c>
    </row>
  </sheetData>
  <sheetProtection algorithmName="SHA-512" hashValue="eI+JxSNkDm/QsBFx6WCWJnveMIgSh7olF/Pu4XPosnYkaQocbHzviM4jcWg40zDevrzyjSjMks47ZdkNHfBg3Q==" saltValue="W91jnX11g+aovyW0y8xwTg==" spinCount="100000" sheet="1" objects="1" scenarios="1"/>
  <mergeCells count="39">
    <mergeCell ref="A38:N38"/>
    <mergeCell ref="A39:N39"/>
    <mergeCell ref="A31:N31"/>
    <mergeCell ref="A32:N32"/>
    <mergeCell ref="A33:N33"/>
    <mergeCell ref="A35:N35"/>
    <mergeCell ref="A36:N36"/>
    <mergeCell ref="A37:N37"/>
    <mergeCell ref="A27:B27"/>
    <mergeCell ref="A28:B28"/>
    <mergeCell ref="A17:B17"/>
    <mergeCell ref="A11:B11"/>
    <mergeCell ref="A12:B12"/>
    <mergeCell ref="A16:B16"/>
    <mergeCell ref="A10:B10"/>
    <mergeCell ref="A13:B13"/>
    <mergeCell ref="A14:B14"/>
    <mergeCell ref="A15:B15"/>
    <mergeCell ref="A1:N1"/>
    <mergeCell ref="A2:N2"/>
    <mergeCell ref="A3:N3"/>
    <mergeCell ref="A7:B7"/>
    <mergeCell ref="A8:B8"/>
    <mergeCell ref="A29:B29"/>
    <mergeCell ref="A34:N34"/>
    <mergeCell ref="A4:B4"/>
    <mergeCell ref="A5:B5"/>
    <mergeCell ref="A6:B6"/>
    <mergeCell ref="A30:B30"/>
    <mergeCell ref="A19:B19"/>
    <mergeCell ref="A20:B20"/>
    <mergeCell ref="A21:B21"/>
    <mergeCell ref="A22:B22"/>
    <mergeCell ref="A23:B23"/>
    <mergeCell ref="A24:B24"/>
    <mergeCell ref="A25:B25"/>
    <mergeCell ref="A26:B26"/>
    <mergeCell ref="A18:B18"/>
    <mergeCell ref="A9:B9"/>
  </mergeCells>
  <dataValidations count="1">
    <dataValidation type="whole" allowBlank="1" showInputMessage="1" showErrorMessage="1" error="Please enter a valid number" sqref="C5:N30" xr:uid="{00000000-0002-0000-0B00-000000000000}">
      <formula1>0</formula1>
      <formula2>1000000000</formula2>
    </dataValidation>
  </dataValidations>
  <pageMargins left="0.75" right="0.75" top="1" bottom="1" header="0.5" footer="0.5"/>
  <pageSetup scale="48" orientation="portrait" horizontalDpi="4294967292" verticalDpi="4294967292"/>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184BDB-0328-9848-9BB0-DD259F0E8994}">
  <sheetPr codeName="Sheet25"/>
  <dimension ref="A1:Q66"/>
  <sheetViews>
    <sheetView workbookViewId="0">
      <selection activeCell="A39" activeCellId="4" sqref="A15:XFD15 A27:XFD27 A42:XFD42 A58:XFD61 A39:XFD39"/>
    </sheetView>
  </sheetViews>
  <sheetFormatPr defaultColWidth="10.6640625" defaultRowHeight="15.5"/>
  <cols>
    <col min="1" max="1" width="34.33203125" customWidth="1"/>
    <col min="2" max="2" width="8.6640625" bestFit="1" customWidth="1"/>
    <col min="3" max="3" width="8.5" bestFit="1" customWidth="1"/>
    <col min="4" max="4" width="41.33203125" bestFit="1" customWidth="1"/>
    <col min="8" max="8" width="17.83203125" customWidth="1"/>
    <col min="10" max="10" width="18.1640625" customWidth="1"/>
  </cols>
  <sheetData>
    <row r="1" spans="1:17" s="342" customFormat="1" ht="26">
      <c r="A1" s="341" t="s">
        <v>334</v>
      </c>
      <c r="B1" s="341" t="s">
        <v>335</v>
      </c>
      <c r="C1" s="341" t="s">
        <v>336</v>
      </c>
      <c r="D1" s="341" t="s">
        <v>337</v>
      </c>
      <c r="E1" s="341" t="s">
        <v>338</v>
      </c>
      <c r="F1" s="341" t="s">
        <v>339</v>
      </c>
      <c r="G1" s="341" t="s">
        <v>340</v>
      </c>
      <c r="H1" s="341" t="s">
        <v>341</v>
      </c>
      <c r="I1" s="341" t="s">
        <v>342</v>
      </c>
      <c r="J1" s="341" t="s">
        <v>343</v>
      </c>
      <c r="K1" s="341" t="s">
        <v>344</v>
      </c>
      <c r="L1" s="341" t="s">
        <v>345</v>
      </c>
      <c r="M1" s="341" t="s">
        <v>346</v>
      </c>
      <c r="N1" s="341" t="s">
        <v>347</v>
      </c>
    </row>
    <row r="2" spans="1:17">
      <c r="A2" s="343" t="str">
        <f t="shared" ref="A2:A57" si="0">CONCATENATE(B2,"-",C2,"-",D2)</f>
        <v>Scope All-Fuels-Asphalt and road oil</v>
      </c>
      <c r="B2" s="343" t="s">
        <v>348</v>
      </c>
      <c r="C2" s="343" t="s">
        <v>349</v>
      </c>
      <c r="D2" s="343" t="s">
        <v>350</v>
      </c>
      <c r="E2" s="344">
        <v>0.158</v>
      </c>
      <c r="F2" s="344" t="s">
        <v>351</v>
      </c>
      <c r="G2" s="344">
        <v>75.36</v>
      </c>
      <c r="H2" s="344" t="s">
        <v>352</v>
      </c>
      <c r="I2" s="344">
        <v>3.0000000000000001E-3</v>
      </c>
      <c r="J2" s="344" t="s">
        <v>353</v>
      </c>
      <c r="K2" s="344">
        <v>5.9999999999999995E-4</v>
      </c>
      <c r="L2" s="343" t="s">
        <v>354</v>
      </c>
      <c r="M2" s="343" t="s">
        <v>355</v>
      </c>
      <c r="N2" s="345" t="s">
        <v>356</v>
      </c>
      <c r="O2" s="343"/>
      <c r="P2" s="343"/>
      <c r="Q2" s="343"/>
    </row>
    <row r="3" spans="1:17">
      <c r="A3" s="343" t="str">
        <f t="shared" si="0"/>
        <v>Scope All-Fuels-Aviation gasoline</v>
      </c>
      <c r="B3" s="343" t="s">
        <v>348</v>
      </c>
      <c r="C3" s="343" t="s">
        <v>349</v>
      </c>
      <c r="D3" s="343" t="s">
        <v>357</v>
      </c>
      <c r="E3" s="344">
        <v>0.12</v>
      </c>
      <c r="F3" s="344" t="s">
        <v>351</v>
      </c>
      <c r="G3" s="344">
        <v>69.25</v>
      </c>
      <c r="H3" s="344" t="s">
        <v>352</v>
      </c>
      <c r="I3" s="344">
        <v>3.0000000000000001E-3</v>
      </c>
      <c r="J3" s="344" t="s">
        <v>353</v>
      </c>
      <c r="K3" s="344">
        <v>5.9999999999999995E-4</v>
      </c>
      <c r="L3" s="343" t="s">
        <v>354</v>
      </c>
      <c r="M3" s="343" t="s">
        <v>355</v>
      </c>
      <c r="N3" s="345" t="s">
        <v>356</v>
      </c>
      <c r="O3" s="343"/>
      <c r="P3" s="343"/>
      <c r="Q3" s="343"/>
    </row>
    <row r="4" spans="1:17">
      <c r="A4" s="343" t="str">
        <f t="shared" si="0"/>
        <v>Scope All-Fuels-Biodiesel - B100</v>
      </c>
      <c r="B4" s="343" t="s">
        <v>348</v>
      </c>
      <c r="C4" s="343" t="s">
        <v>349</v>
      </c>
      <c r="D4" s="343" t="s">
        <v>358</v>
      </c>
      <c r="E4" s="343">
        <v>0.128</v>
      </c>
      <c r="F4" s="343" t="s">
        <v>351</v>
      </c>
      <c r="G4" s="343">
        <v>73.84</v>
      </c>
      <c r="H4" s="343" t="s">
        <v>352</v>
      </c>
      <c r="I4" s="343">
        <f>1.1*10^-3</f>
        <v>1.1000000000000001E-3</v>
      </c>
      <c r="J4" s="343" t="s">
        <v>353</v>
      </c>
      <c r="K4" s="343">
        <f>1.1*10^-4</f>
        <v>1.1000000000000002E-4</v>
      </c>
      <c r="L4" s="343" t="s">
        <v>354</v>
      </c>
      <c r="M4" s="343" t="s">
        <v>355</v>
      </c>
      <c r="N4" s="345" t="s">
        <v>359</v>
      </c>
      <c r="O4" s="343"/>
      <c r="P4" s="343"/>
      <c r="Q4" s="343"/>
    </row>
    <row r="5" spans="1:17">
      <c r="A5" s="343" t="str">
        <f t="shared" si="0"/>
        <v>Scope All-Fuels-Biogas - captured methane</v>
      </c>
      <c r="B5" s="343" t="s">
        <v>348</v>
      </c>
      <c r="C5" s="343" t="s">
        <v>349</v>
      </c>
      <c r="D5" s="343" t="s">
        <v>360</v>
      </c>
      <c r="E5" s="344">
        <v>4.8500000000000003E-4</v>
      </c>
      <c r="F5" s="344" t="s">
        <v>361</v>
      </c>
      <c r="G5" s="344">
        <v>52.07</v>
      </c>
      <c r="H5" s="344" t="s">
        <v>352</v>
      </c>
      <c r="I5" s="344">
        <v>3.2000000000000002E-3</v>
      </c>
      <c r="J5" s="344" t="s">
        <v>353</v>
      </c>
      <c r="K5" s="344">
        <v>6.3000000000000003E-4</v>
      </c>
      <c r="L5" s="343" t="s">
        <v>354</v>
      </c>
      <c r="M5" s="343" t="s">
        <v>355</v>
      </c>
      <c r="N5" s="345" t="s">
        <v>356</v>
      </c>
      <c r="O5" s="343"/>
      <c r="P5" s="343"/>
      <c r="Q5" s="343"/>
    </row>
    <row r="6" spans="1:17">
      <c r="A6" s="343" t="str">
        <f t="shared" si="0"/>
        <v>Scope All-Fuels-Biogas - LandGEM</v>
      </c>
      <c r="B6" s="343" t="s">
        <v>348</v>
      </c>
      <c r="C6" s="343" t="s">
        <v>349</v>
      </c>
      <c r="D6" s="343" t="s">
        <v>362</v>
      </c>
      <c r="E6" s="343">
        <f>(0.841*(10^-3))*(1/0.0423)*2.20462*1000</f>
        <v>43.83180661938534</v>
      </c>
      <c r="F6" s="343" t="s">
        <v>363</v>
      </c>
      <c r="G6" s="343">
        <f>(52.07)*(1/1000)</f>
        <v>5.2069999999999998E-2</v>
      </c>
      <c r="H6" s="343" t="s">
        <v>364</v>
      </c>
      <c r="I6" s="343">
        <f>(3.2*10^-3)*(1/1000)</f>
        <v>3.2000000000000003E-6</v>
      </c>
      <c r="J6" s="343" t="s">
        <v>365</v>
      </c>
      <c r="K6" s="343">
        <f>(6.3*10^-4)*(1/1000)</f>
        <v>6.3E-7</v>
      </c>
      <c r="L6" s="343" t="s">
        <v>366</v>
      </c>
      <c r="M6" s="343" t="s">
        <v>367</v>
      </c>
      <c r="N6" s="346" t="s">
        <v>368</v>
      </c>
      <c r="O6" s="343"/>
      <c r="P6" s="343"/>
      <c r="Q6" s="343"/>
    </row>
    <row r="7" spans="1:17">
      <c r="A7" s="343" t="str">
        <f t="shared" si="0"/>
        <v>Scope All-Fuels-Biogas - WWTP</v>
      </c>
      <c r="B7" s="343" t="s">
        <v>348</v>
      </c>
      <c r="C7" s="343" t="s">
        <v>349</v>
      </c>
      <c r="D7" s="343" t="s">
        <v>369</v>
      </c>
      <c r="E7" s="343">
        <f>(0.841*(10^-3))*(1/0.0423)*2.20462</f>
        <v>4.3831806619385343E-2</v>
      </c>
      <c r="F7" s="343" t="s">
        <v>370</v>
      </c>
      <c r="G7" s="343">
        <f>(52.07)*(1/1000)</f>
        <v>5.2069999999999998E-2</v>
      </c>
      <c r="H7" s="343" t="s">
        <v>364</v>
      </c>
      <c r="I7" s="343">
        <f>(3.2*10^-3)*(1/1000)</f>
        <v>3.2000000000000003E-6</v>
      </c>
      <c r="J7" s="343" t="s">
        <v>365</v>
      </c>
      <c r="K7" s="343">
        <f>(6.3*10^-4)*(1/1000)</f>
        <v>6.3E-7</v>
      </c>
      <c r="L7" s="343" t="s">
        <v>366</v>
      </c>
      <c r="M7" s="343" t="s">
        <v>367</v>
      </c>
      <c r="N7" s="346" t="s">
        <v>368</v>
      </c>
      <c r="O7" s="343"/>
      <c r="P7" s="343"/>
      <c r="Q7" s="343"/>
    </row>
    <row r="8" spans="1:17">
      <c r="A8" s="343" t="str">
        <f t="shared" si="0"/>
        <v>Scope All-Fuels-Biomass - Agricultural byproducts</v>
      </c>
      <c r="B8" s="343" t="s">
        <v>348</v>
      </c>
      <c r="C8" s="343" t="s">
        <v>349</v>
      </c>
      <c r="D8" s="343" t="s">
        <v>371</v>
      </c>
      <c r="E8" s="344">
        <v>8.25</v>
      </c>
      <c r="F8" s="344" t="s">
        <v>372</v>
      </c>
      <c r="G8" s="344">
        <v>118.17</v>
      </c>
      <c r="H8" s="344" t="s">
        <v>352</v>
      </c>
      <c r="I8" s="344">
        <v>3.2000000000000001E-2</v>
      </c>
      <c r="J8" s="344" t="s">
        <v>353</v>
      </c>
      <c r="K8" s="344">
        <v>4.2000000000000006E-3</v>
      </c>
      <c r="L8" s="343" t="s">
        <v>354</v>
      </c>
      <c r="M8" s="343" t="s">
        <v>355</v>
      </c>
      <c r="N8" s="345" t="s">
        <v>356</v>
      </c>
      <c r="O8" s="343"/>
      <c r="P8" s="343"/>
      <c r="Q8" s="343"/>
    </row>
    <row r="9" spans="1:17">
      <c r="A9" s="343" t="str">
        <f t="shared" si="0"/>
        <v>Scope All-Fuels-Biomass - Peat</v>
      </c>
      <c r="B9" s="343" t="s">
        <v>348</v>
      </c>
      <c r="C9" s="343" t="s">
        <v>349</v>
      </c>
      <c r="D9" s="343" t="s">
        <v>373</v>
      </c>
      <c r="E9" s="344">
        <v>8</v>
      </c>
      <c r="F9" s="344" t="s">
        <v>372</v>
      </c>
      <c r="G9" s="344">
        <v>111.84</v>
      </c>
      <c r="H9" s="344" t="s">
        <v>352</v>
      </c>
      <c r="I9" s="344">
        <v>3.2000000000000001E-2</v>
      </c>
      <c r="J9" s="344" t="s">
        <v>353</v>
      </c>
      <c r="K9" s="344">
        <v>4.2000000000000006E-3</v>
      </c>
      <c r="L9" s="343" t="s">
        <v>354</v>
      </c>
      <c r="M9" s="343" t="s">
        <v>355</v>
      </c>
      <c r="N9" s="345" t="s">
        <v>356</v>
      </c>
      <c r="O9" s="343"/>
      <c r="P9" s="343"/>
      <c r="Q9" s="343"/>
    </row>
    <row r="10" spans="1:17">
      <c r="A10" s="343" t="str">
        <f t="shared" si="0"/>
        <v>Scope All-Fuels-Biomass - Solid byproducts</v>
      </c>
      <c r="B10" s="343" t="s">
        <v>348</v>
      </c>
      <c r="C10" s="343" t="s">
        <v>349</v>
      </c>
      <c r="D10" s="343" t="s">
        <v>374</v>
      </c>
      <c r="E10" s="344">
        <v>10.39</v>
      </c>
      <c r="F10" s="344" t="s">
        <v>372</v>
      </c>
      <c r="G10" s="344">
        <v>105.51</v>
      </c>
      <c r="H10" s="344" t="s">
        <v>352</v>
      </c>
      <c r="I10" s="344">
        <v>3.2000000000000001E-2</v>
      </c>
      <c r="J10" s="344" t="s">
        <v>353</v>
      </c>
      <c r="K10" s="344">
        <v>4.2000000000000006E-3</v>
      </c>
      <c r="L10" s="343" t="s">
        <v>354</v>
      </c>
      <c r="M10" s="343" t="s">
        <v>355</v>
      </c>
      <c r="N10" s="345" t="s">
        <v>356</v>
      </c>
      <c r="O10" s="343"/>
      <c r="P10" s="343"/>
      <c r="Q10" s="343"/>
    </row>
    <row r="11" spans="1:17">
      <c r="A11" s="343" t="str">
        <f t="shared" si="0"/>
        <v>Scope All-Fuels-Biomass - Wood and wood residuals</v>
      </c>
      <c r="B11" s="343" t="s">
        <v>348</v>
      </c>
      <c r="C11" s="343" t="s">
        <v>349</v>
      </c>
      <c r="D11" s="343" t="s">
        <v>375</v>
      </c>
      <c r="E11" s="344">
        <v>17.48</v>
      </c>
      <c r="F11" s="344" t="s">
        <v>372</v>
      </c>
      <c r="G11" s="344">
        <v>93.8</v>
      </c>
      <c r="H11" s="344" t="s">
        <v>352</v>
      </c>
      <c r="I11" s="344">
        <v>7.1999999999999998E-3</v>
      </c>
      <c r="J11" s="344" t="s">
        <v>353</v>
      </c>
      <c r="K11" s="344">
        <v>3.5999999999999999E-3</v>
      </c>
      <c r="L11" s="343" t="s">
        <v>354</v>
      </c>
      <c r="M11" s="343" t="s">
        <v>355</v>
      </c>
      <c r="N11" s="345" t="s">
        <v>356</v>
      </c>
      <c r="O11" s="343"/>
      <c r="P11" s="343"/>
      <c r="Q11" s="343"/>
    </row>
    <row r="12" spans="1:17">
      <c r="A12" s="343" t="str">
        <f t="shared" si="0"/>
        <v>Scope All-Fuels-Blast furnace gas - Fossil-derived</v>
      </c>
      <c r="B12" s="343" t="s">
        <v>348</v>
      </c>
      <c r="C12" s="343" t="s">
        <v>349</v>
      </c>
      <c r="D12" s="343" t="s">
        <v>376</v>
      </c>
      <c r="E12" s="344">
        <f>0.092*10^-3</f>
        <v>9.2E-5</v>
      </c>
      <c r="F12" s="344" t="s">
        <v>361</v>
      </c>
      <c r="G12" s="344">
        <v>274.32</v>
      </c>
      <c r="H12" s="344" t="s">
        <v>352</v>
      </c>
      <c r="I12" s="344">
        <v>2.1999999999999999E-5</v>
      </c>
      <c r="J12" s="344" t="s">
        <v>353</v>
      </c>
      <c r="K12" s="344">
        <v>1E-4</v>
      </c>
      <c r="L12" s="343" t="s">
        <v>354</v>
      </c>
      <c r="M12" s="343" t="s">
        <v>355</v>
      </c>
      <c r="N12" s="345" t="s">
        <v>356</v>
      </c>
      <c r="O12" s="343"/>
      <c r="P12" s="343"/>
      <c r="Q12" s="343"/>
    </row>
    <row r="13" spans="1:17">
      <c r="A13" s="343" t="str">
        <f t="shared" si="0"/>
        <v>Scope All-Fuels-Butane</v>
      </c>
      <c r="B13" s="343" t="s">
        <v>348</v>
      </c>
      <c r="C13" s="343" t="s">
        <v>349</v>
      </c>
      <c r="D13" s="343" t="s">
        <v>377</v>
      </c>
      <c r="E13" s="344">
        <v>0.10299999999999999</v>
      </c>
      <c r="F13" s="344" t="s">
        <v>351</v>
      </c>
      <c r="G13" s="344">
        <v>64.77</v>
      </c>
      <c r="H13" s="344" t="s">
        <v>352</v>
      </c>
      <c r="I13" s="344">
        <v>3.0000000000000001E-3</v>
      </c>
      <c r="J13" s="344" t="s">
        <v>353</v>
      </c>
      <c r="K13" s="344">
        <v>5.9999999999999995E-4</v>
      </c>
      <c r="L13" s="343" t="s">
        <v>354</v>
      </c>
      <c r="M13" s="343" t="s">
        <v>355</v>
      </c>
      <c r="N13" s="345" t="s">
        <v>356</v>
      </c>
      <c r="O13" s="343"/>
      <c r="P13" s="343"/>
      <c r="Q13" s="343"/>
    </row>
    <row r="14" spans="1:17">
      <c r="A14" s="343" t="str">
        <f t="shared" si="0"/>
        <v>Scope All-Fuels-Butylene</v>
      </c>
      <c r="B14" s="343" t="s">
        <v>348</v>
      </c>
      <c r="C14" s="343" t="s">
        <v>349</v>
      </c>
      <c r="D14" s="343" t="s">
        <v>378</v>
      </c>
      <c r="E14" s="344">
        <v>0.105</v>
      </c>
      <c r="F14" s="344" t="s">
        <v>351</v>
      </c>
      <c r="G14" s="344">
        <v>68.72</v>
      </c>
      <c r="H14" s="344" t="s">
        <v>352</v>
      </c>
      <c r="I14" s="344">
        <v>3.0000000000000001E-3</v>
      </c>
      <c r="J14" s="344" t="s">
        <v>353</v>
      </c>
      <c r="K14" s="344">
        <v>5.9999999999999995E-4</v>
      </c>
      <c r="L14" s="343" t="s">
        <v>354</v>
      </c>
      <c r="M14" s="343" t="s">
        <v>355</v>
      </c>
      <c r="N14" s="345" t="s">
        <v>356</v>
      </c>
      <c r="O14" s="343"/>
      <c r="P14" s="343"/>
      <c r="Q14" s="343"/>
    </row>
    <row r="15" spans="1:17" s="361" customFormat="1">
      <c r="A15" s="361" t="str">
        <f t="shared" si="0"/>
        <v>Scope All-Fuels-Coal - Anthracite</v>
      </c>
      <c r="B15" s="361" t="s">
        <v>348</v>
      </c>
      <c r="C15" s="361" t="s">
        <v>349</v>
      </c>
      <c r="D15" s="361" t="s">
        <v>379</v>
      </c>
      <c r="E15" s="366">
        <v>25.09</v>
      </c>
      <c r="F15" s="366" t="s">
        <v>372</v>
      </c>
      <c r="G15" s="366">
        <v>103.69</v>
      </c>
      <c r="H15" s="366" t="s">
        <v>352</v>
      </c>
      <c r="I15" s="366">
        <v>1.0999999999999999E-2</v>
      </c>
      <c r="J15" s="366" t="s">
        <v>353</v>
      </c>
      <c r="K15" s="366">
        <v>1.6000000000000001E-3</v>
      </c>
      <c r="L15" s="361" t="s">
        <v>354</v>
      </c>
      <c r="M15" s="361" t="s">
        <v>355</v>
      </c>
      <c r="N15" s="368" t="s">
        <v>356</v>
      </c>
    </row>
    <row r="16" spans="1:17">
      <c r="A16" s="343" t="str">
        <f t="shared" si="0"/>
        <v>Scope All-Fuels-Coal - Bituminous</v>
      </c>
      <c r="B16" s="343" t="s">
        <v>348</v>
      </c>
      <c r="C16" s="343" t="s">
        <v>349</v>
      </c>
      <c r="D16" s="343" t="s">
        <v>380</v>
      </c>
      <c r="E16" s="344">
        <v>24.93</v>
      </c>
      <c r="F16" s="344" t="s">
        <v>372</v>
      </c>
      <c r="G16" s="344">
        <v>93.28</v>
      </c>
      <c r="H16" s="344" t="s">
        <v>352</v>
      </c>
      <c r="I16" s="344">
        <v>1.0999999999999999E-2</v>
      </c>
      <c r="J16" s="344" t="s">
        <v>353</v>
      </c>
      <c r="K16" s="344">
        <v>1.6000000000000001E-3</v>
      </c>
      <c r="L16" s="343" t="s">
        <v>354</v>
      </c>
      <c r="M16" s="343" t="s">
        <v>355</v>
      </c>
      <c r="N16" s="345" t="s">
        <v>356</v>
      </c>
      <c r="O16" s="343"/>
      <c r="P16" s="343"/>
      <c r="Q16" s="343"/>
    </row>
    <row r="17" spans="1:17">
      <c r="A17" s="343" t="str">
        <f t="shared" si="0"/>
        <v>Scope All-Fuels-Coal - Coke</v>
      </c>
      <c r="B17" s="343" t="s">
        <v>348</v>
      </c>
      <c r="C17" s="343" t="s">
        <v>349</v>
      </c>
      <c r="D17" s="343" t="s">
        <v>381</v>
      </c>
      <c r="E17" s="344">
        <v>24.8</v>
      </c>
      <c r="F17" s="344" t="s">
        <v>372</v>
      </c>
      <c r="G17" s="344">
        <v>113.67</v>
      </c>
      <c r="H17" s="344" t="s">
        <v>352</v>
      </c>
      <c r="I17" s="344">
        <v>1.0999999999999999E-2</v>
      </c>
      <c r="J17" s="344" t="s">
        <v>353</v>
      </c>
      <c r="K17" s="344">
        <v>1.6000000000000001E-3</v>
      </c>
      <c r="L17" s="343" t="s">
        <v>354</v>
      </c>
      <c r="M17" s="343" t="s">
        <v>355</v>
      </c>
      <c r="N17" s="345" t="s">
        <v>356</v>
      </c>
      <c r="O17" s="343"/>
      <c r="P17" s="343"/>
      <c r="Q17" s="343"/>
    </row>
    <row r="18" spans="1:17">
      <c r="A18" s="343" t="str">
        <f t="shared" si="0"/>
        <v>Scope All-Fuels-Coal - Lignite</v>
      </c>
      <c r="B18" s="343" t="s">
        <v>348</v>
      </c>
      <c r="C18" s="343" t="s">
        <v>349</v>
      </c>
      <c r="D18" s="343" t="s">
        <v>382</v>
      </c>
      <c r="E18" s="344">
        <v>14.21</v>
      </c>
      <c r="F18" s="344" t="s">
        <v>372</v>
      </c>
      <c r="G18" s="344">
        <v>97.27</v>
      </c>
      <c r="H18" s="344" t="s">
        <v>352</v>
      </c>
      <c r="I18" s="344">
        <v>1.0999999999999999E-2</v>
      </c>
      <c r="J18" s="344" t="s">
        <v>353</v>
      </c>
      <c r="K18" s="344">
        <v>1.6000000000000001E-3</v>
      </c>
      <c r="L18" s="343" t="s">
        <v>354</v>
      </c>
      <c r="M18" s="343" t="s">
        <v>355</v>
      </c>
      <c r="N18" s="345" t="s">
        <v>356</v>
      </c>
      <c r="O18" s="343"/>
      <c r="P18" s="343"/>
      <c r="Q18" s="343"/>
    </row>
    <row r="19" spans="1:17">
      <c r="A19" s="343" t="str">
        <f t="shared" si="0"/>
        <v>Scope All-Fuels-Coal - Mixed (Commercial sector)</v>
      </c>
      <c r="B19" s="343" t="s">
        <v>348</v>
      </c>
      <c r="C19" s="343" t="s">
        <v>349</v>
      </c>
      <c r="D19" s="343" t="s">
        <v>383</v>
      </c>
      <c r="E19" s="344">
        <v>21.39</v>
      </c>
      <c r="F19" s="344" t="s">
        <v>372</v>
      </c>
      <c r="G19" s="344">
        <v>94.27</v>
      </c>
      <c r="H19" s="344" t="s">
        <v>352</v>
      </c>
      <c r="I19" s="344">
        <v>1.0999999999999999E-2</v>
      </c>
      <c r="J19" s="344" t="s">
        <v>353</v>
      </c>
      <c r="K19" s="344">
        <v>1.6000000000000001E-3</v>
      </c>
      <c r="L19" s="343" t="s">
        <v>354</v>
      </c>
      <c r="M19" s="343" t="s">
        <v>355</v>
      </c>
      <c r="N19" s="345" t="s">
        <v>356</v>
      </c>
      <c r="O19" s="343"/>
      <c r="P19" s="343"/>
      <c r="Q19" s="343"/>
    </row>
    <row r="20" spans="1:17">
      <c r="A20" s="343" t="str">
        <f t="shared" si="0"/>
        <v>Scope All-Fuels-Coal - Mixed (Electric Power sector)</v>
      </c>
      <c r="B20" s="343" t="s">
        <v>348</v>
      </c>
      <c r="C20" s="343" t="s">
        <v>349</v>
      </c>
      <c r="D20" s="343" t="s">
        <v>384</v>
      </c>
      <c r="E20" s="344">
        <v>19.73</v>
      </c>
      <c r="F20" s="344" t="s">
        <v>372</v>
      </c>
      <c r="G20" s="344">
        <v>95.52</v>
      </c>
      <c r="H20" s="344" t="s">
        <v>352</v>
      </c>
      <c r="I20" s="344">
        <v>1.0999999999999999E-2</v>
      </c>
      <c r="J20" s="344" t="s">
        <v>353</v>
      </c>
      <c r="K20" s="344">
        <v>1.6000000000000001E-3</v>
      </c>
      <c r="L20" s="343" t="s">
        <v>354</v>
      </c>
      <c r="M20" s="343" t="s">
        <v>355</v>
      </c>
      <c r="N20" s="345" t="s">
        <v>356</v>
      </c>
      <c r="O20" s="343"/>
      <c r="P20" s="343"/>
      <c r="Q20" s="343"/>
    </row>
    <row r="21" spans="1:17">
      <c r="A21" s="343" t="str">
        <f t="shared" si="0"/>
        <v>Scope All-Fuels-Coal - Mixed (Industrial coking)</v>
      </c>
      <c r="B21" s="343" t="s">
        <v>348</v>
      </c>
      <c r="C21" s="343" t="s">
        <v>349</v>
      </c>
      <c r="D21" s="343" t="s">
        <v>385</v>
      </c>
      <c r="E21" s="344">
        <v>26.28</v>
      </c>
      <c r="F21" s="344" t="s">
        <v>372</v>
      </c>
      <c r="G21" s="344">
        <v>93.9</v>
      </c>
      <c r="H21" s="344" t="s">
        <v>352</v>
      </c>
      <c r="I21" s="344">
        <v>1.0999999999999999E-2</v>
      </c>
      <c r="J21" s="344" t="s">
        <v>353</v>
      </c>
      <c r="K21" s="344">
        <v>1.6000000000000001E-3</v>
      </c>
      <c r="L21" s="343" t="s">
        <v>354</v>
      </c>
      <c r="M21" s="343" t="s">
        <v>355</v>
      </c>
      <c r="N21" s="345" t="s">
        <v>356</v>
      </c>
      <c r="O21" s="343"/>
      <c r="P21" s="343"/>
      <c r="Q21" s="343"/>
    </row>
    <row r="22" spans="1:17">
      <c r="A22" s="343" t="str">
        <f t="shared" si="0"/>
        <v>Scope All-Fuels-Coal - Mixed (Industrial sector)</v>
      </c>
      <c r="B22" s="343" t="s">
        <v>348</v>
      </c>
      <c r="C22" s="343" t="s">
        <v>349</v>
      </c>
      <c r="D22" s="343" t="s">
        <v>386</v>
      </c>
      <c r="E22" s="344">
        <v>22.35</v>
      </c>
      <c r="F22" s="344" t="s">
        <v>372</v>
      </c>
      <c r="G22" s="344">
        <v>94.67</v>
      </c>
      <c r="H22" s="344" t="s">
        <v>352</v>
      </c>
      <c r="I22" s="344">
        <v>1.0999999999999999E-2</v>
      </c>
      <c r="J22" s="344" t="s">
        <v>353</v>
      </c>
      <c r="K22" s="344">
        <v>1.6000000000000001E-3</v>
      </c>
      <c r="L22" s="343" t="s">
        <v>354</v>
      </c>
      <c r="M22" s="343" t="s">
        <v>355</v>
      </c>
      <c r="N22" s="345" t="s">
        <v>356</v>
      </c>
      <c r="O22" s="343"/>
      <c r="P22" s="343"/>
      <c r="Q22" s="343"/>
    </row>
    <row r="23" spans="1:17">
      <c r="A23" s="343" t="str">
        <f t="shared" si="0"/>
        <v>Scope All-Fuels-Coal - Subbituminous</v>
      </c>
      <c r="B23" s="343" t="s">
        <v>348</v>
      </c>
      <c r="C23" s="343" t="s">
        <v>349</v>
      </c>
      <c r="D23" s="343" t="s">
        <v>387</v>
      </c>
      <c r="E23" s="344">
        <v>17.25</v>
      </c>
      <c r="F23" s="344" t="s">
        <v>372</v>
      </c>
      <c r="G23" s="344">
        <v>97.17</v>
      </c>
      <c r="H23" s="344" t="s">
        <v>352</v>
      </c>
      <c r="I23" s="344">
        <v>1.0999999999999999E-2</v>
      </c>
      <c r="J23" s="344" t="s">
        <v>353</v>
      </c>
      <c r="K23" s="344">
        <v>1.6000000000000001E-3</v>
      </c>
      <c r="L23" s="343" t="s">
        <v>354</v>
      </c>
      <c r="M23" s="343" t="s">
        <v>355</v>
      </c>
      <c r="N23" s="345" t="s">
        <v>356</v>
      </c>
      <c r="O23" s="343"/>
      <c r="P23" s="343"/>
      <c r="Q23" s="343"/>
    </row>
    <row r="24" spans="1:17">
      <c r="A24" s="343" t="str">
        <f t="shared" si="0"/>
        <v>Scope All-Fuels-Coke oven gas - Fossil-derived</v>
      </c>
      <c r="B24" s="343" t="s">
        <v>348</v>
      </c>
      <c r="C24" s="343" t="s">
        <v>349</v>
      </c>
      <c r="D24" s="343" t="s">
        <v>388</v>
      </c>
      <c r="E24" s="344">
        <f>0.599*10^-3</f>
        <v>5.9900000000000003E-4</v>
      </c>
      <c r="F24" s="344" t="s">
        <v>361</v>
      </c>
      <c r="G24" s="344">
        <v>46.85</v>
      </c>
      <c r="H24" s="344" t="s">
        <v>352</v>
      </c>
      <c r="I24" s="344">
        <v>4.7999999999999996E-4</v>
      </c>
      <c r="J24" s="344" t="s">
        <v>353</v>
      </c>
      <c r="K24" s="344">
        <v>1E-4</v>
      </c>
      <c r="L24" s="343" t="s">
        <v>354</v>
      </c>
      <c r="M24" s="343" t="s">
        <v>355</v>
      </c>
      <c r="N24" s="345" t="s">
        <v>356</v>
      </c>
      <c r="O24" s="343"/>
      <c r="P24" s="343"/>
      <c r="Q24" s="343"/>
    </row>
    <row r="25" spans="1:17">
      <c r="A25" s="343" t="str">
        <f t="shared" si="0"/>
        <v>Scope All-Fuels-Crude oil</v>
      </c>
      <c r="B25" s="343" t="s">
        <v>348</v>
      </c>
      <c r="C25" s="343" t="s">
        <v>349</v>
      </c>
      <c r="D25" s="343" t="s">
        <v>389</v>
      </c>
      <c r="E25" s="344">
        <v>0.13800000000000001</v>
      </c>
      <c r="F25" s="344" t="s">
        <v>351</v>
      </c>
      <c r="G25" s="344">
        <v>74.540000000000006</v>
      </c>
      <c r="H25" s="344" t="s">
        <v>352</v>
      </c>
      <c r="I25" s="344">
        <v>3.0000000000000001E-3</v>
      </c>
      <c r="J25" s="344" t="s">
        <v>353</v>
      </c>
      <c r="K25" s="344">
        <v>5.9999999999999995E-4</v>
      </c>
      <c r="L25" s="343" t="s">
        <v>354</v>
      </c>
      <c r="M25" s="343" t="s">
        <v>355</v>
      </c>
      <c r="N25" s="345" t="s">
        <v>356</v>
      </c>
      <c r="O25" s="343"/>
      <c r="P25" s="343"/>
      <c r="Q25" s="343"/>
    </row>
    <row r="26" spans="1:17">
      <c r="A26" s="343" t="str">
        <f t="shared" si="0"/>
        <v>Scope All-Fuels-Distillate Fuel Oil No. 1</v>
      </c>
      <c r="B26" s="343" t="s">
        <v>348</v>
      </c>
      <c r="C26" s="343" t="s">
        <v>349</v>
      </c>
      <c r="D26" s="343" t="s">
        <v>390</v>
      </c>
      <c r="E26" s="344">
        <v>0.13900000000000001</v>
      </c>
      <c r="F26" s="344" t="s">
        <v>351</v>
      </c>
      <c r="G26" s="344">
        <v>73.25</v>
      </c>
      <c r="H26" s="344" t="s">
        <v>352</v>
      </c>
      <c r="I26" s="344">
        <v>3.0000000000000001E-3</v>
      </c>
      <c r="J26" s="344" t="s">
        <v>353</v>
      </c>
      <c r="K26" s="344">
        <v>5.9999999999999995E-4</v>
      </c>
      <c r="L26" s="343" t="s">
        <v>354</v>
      </c>
      <c r="M26" s="343" t="s">
        <v>355</v>
      </c>
      <c r="N26" s="345" t="s">
        <v>356</v>
      </c>
      <c r="O26" s="343"/>
      <c r="P26" s="343"/>
      <c r="Q26" s="343"/>
    </row>
    <row r="27" spans="1:17" s="361" customFormat="1">
      <c r="A27" s="361" t="str">
        <f t="shared" si="0"/>
        <v>Scope All-Fuels-Distillate Fuel Oil No. 2</v>
      </c>
      <c r="B27" s="361" t="s">
        <v>348</v>
      </c>
      <c r="C27" s="361" t="s">
        <v>349</v>
      </c>
      <c r="D27" s="361" t="s">
        <v>391</v>
      </c>
      <c r="E27" s="366">
        <v>0.13800000000000001</v>
      </c>
      <c r="F27" s="366" t="s">
        <v>351</v>
      </c>
      <c r="G27" s="366">
        <v>73.959999999999994</v>
      </c>
      <c r="H27" s="366" t="s">
        <v>352</v>
      </c>
      <c r="I27" s="366">
        <v>3.0000000000000001E-3</v>
      </c>
      <c r="J27" s="366" t="s">
        <v>353</v>
      </c>
      <c r="K27" s="366">
        <v>5.9999999999999995E-4</v>
      </c>
      <c r="L27" s="361" t="s">
        <v>354</v>
      </c>
      <c r="M27" s="361" t="s">
        <v>355</v>
      </c>
      <c r="N27" s="368" t="s">
        <v>356</v>
      </c>
    </row>
    <row r="28" spans="1:17">
      <c r="A28" s="343" t="str">
        <f t="shared" si="0"/>
        <v>Scope All-Fuels-Distillate Fuel Oil No. 4</v>
      </c>
      <c r="B28" s="343" t="s">
        <v>348</v>
      </c>
      <c r="C28" s="343" t="s">
        <v>349</v>
      </c>
      <c r="D28" s="343" t="s">
        <v>392</v>
      </c>
      <c r="E28" s="344">
        <v>0.14599999999999999</v>
      </c>
      <c r="F28" s="344" t="s">
        <v>351</v>
      </c>
      <c r="G28" s="344">
        <v>75.040000000000006</v>
      </c>
      <c r="H28" s="344" t="s">
        <v>352</v>
      </c>
      <c r="I28" s="344">
        <v>3.0000000000000001E-3</v>
      </c>
      <c r="J28" s="344" t="s">
        <v>353</v>
      </c>
      <c r="K28" s="344">
        <v>5.9999999999999995E-4</v>
      </c>
      <c r="L28" s="343" t="s">
        <v>354</v>
      </c>
      <c r="M28" s="343" t="s">
        <v>355</v>
      </c>
      <c r="N28" s="345" t="s">
        <v>356</v>
      </c>
      <c r="O28" s="343"/>
      <c r="P28" s="343"/>
      <c r="Q28" s="343"/>
    </row>
    <row r="29" spans="1:17">
      <c r="A29" s="343" t="str">
        <f t="shared" si="0"/>
        <v>Scope All-Fuels-Ethane</v>
      </c>
      <c r="B29" s="343" t="s">
        <v>348</v>
      </c>
      <c r="C29" s="343" t="s">
        <v>349</v>
      </c>
      <c r="D29" s="343" t="s">
        <v>393</v>
      </c>
      <c r="E29" s="344">
        <v>6.8000000000000005E-2</v>
      </c>
      <c r="F29" s="344" t="s">
        <v>351</v>
      </c>
      <c r="G29" s="344">
        <v>59.6</v>
      </c>
      <c r="H29" s="344" t="s">
        <v>352</v>
      </c>
      <c r="I29" s="344">
        <v>3.0000000000000001E-3</v>
      </c>
      <c r="J29" s="344" t="s">
        <v>353</v>
      </c>
      <c r="K29" s="344">
        <v>5.9999999999999995E-4</v>
      </c>
      <c r="L29" s="343" t="s">
        <v>354</v>
      </c>
      <c r="M29" s="343" t="s">
        <v>355</v>
      </c>
      <c r="N29" s="345" t="s">
        <v>356</v>
      </c>
      <c r="O29" s="343"/>
      <c r="P29" s="343"/>
      <c r="Q29" s="343"/>
    </row>
    <row r="30" spans="1:17">
      <c r="A30" s="343" t="str">
        <f t="shared" si="0"/>
        <v>Scope All-Fuels-Ethanol - E100</v>
      </c>
      <c r="B30" s="343" t="s">
        <v>348</v>
      </c>
      <c r="C30" s="343" t="s">
        <v>349</v>
      </c>
      <c r="D30" s="343" t="s">
        <v>394</v>
      </c>
      <c r="E30" s="343">
        <v>8.4000000000000005E-2</v>
      </c>
      <c r="F30" s="343" t="s">
        <v>351</v>
      </c>
      <c r="G30" s="343">
        <v>68.44</v>
      </c>
      <c r="H30" s="343" t="s">
        <v>352</v>
      </c>
      <c r="I30" s="343">
        <f>1.1*10^-3</f>
        <v>1.1000000000000001E-3</v>
      </c>
      <c r="J30" s="343" t="s">
        <v>353</v>
      </c>
      <c r="K30" s="343">
        <f>1.1*10^-4</f>
        <v>1.1000000000000002E-4</v>
      </c>
      <c r="L30" s="343" t="s">
        <v>354</v>
      </c>
      <c r="M30" s="343" t="s">
        <v>355</v>
      </c>
      <c r="N30" s="345" t="s">
        <v>359</v>
      </c>
      <c r="O30" s="343"/>
      <c r="P30" s="343"/>
      <c r="Q30" s="343"/>
    </row>
    <row r="31" spans="1:17">
      <c r="A31" s="343" t="str">
        <f t="shared" si="0"/>
        <v>Scope All-Fuels-Ethylene</v>
      </c>
      <c r="B31" s="343" t="s">
        <v>348</v>
      </c>
      <c r="C31" s="343" t="s">
        <v>349</v>
      </c>
      <c r="D31" s="343" t="s">
        <v>395</v>
      </c>
      <c r="E31" s="348">
        <v>5.8000000000000003E-2</v>
      </c>
      <c r="F31" s="344" t="s">
        <v>351</v>
      </c>
      <c r="G31" s="344">
        <v>65.959999999999994</v>
      </c>
      <c r="H31" s="344" t="s">
        <v>352</v>
      </c>
      <c r="I31" s="344">
        <v>3.0000000000000001E-3</v>
      </c>
      <c r="J31" s="344" t="s">
        <v>353</v>
      </c>
      <c r="K31" s="344">
        <v>5.9999999999999995E-4</v>
      </c>
      <c r="L31" s="343" t="s">
        <v>354</v>
      </c>
      <c r="M31" s="343" t="s">
        <v>355</v>
      </c>
      <c r="N31" s="345" t="s">
        <v>356</v>
      </c>
      <c r="O31" s="343"/>
      <c r="P31" s="343"/>
      <c r="Q31" s="343"/>
    </row>
    <row r="32" spans="1:17">
      <c r="A32" s="343" t="str">
        <f t="shared" si="0"/>
        <v>Scope All-Fuels-Heavy gas oils</v>
      </c>
      <c r="B32" s="343" t="s">
        <v>348</v>
      </c>
      <c r="C32" s="343" t="s">
        <v>349</v>
      </c>
      <c r="D32" s="343" t="s">
        <v>396</v>
      </c>
      <c r="E32" s="344">
        <v>0.14799999999999999</v>
      </c>
      <c r="F32" s="344" t="s">
        <v>351</v>
      </c>
      <c r="G32" s="344">
        <v>74.92</v>
      </c>
      <c r="H32" s="344" t="s">
        <v>352</v>
      </c>
      <c r="I32" s="344">
        <v>3.0000000000000001E-3</v>
      </c>
      <c r="J32" s="344" t="s">
        <v>353</v>
      </c>
      <c r="K32" s="344">
        <v>5.9999999999999995E-4</v>
      </c>
      <c r="L32" s="343" t="s">
        <v>354</v>
      </c>
      <c r="M32" s="343" t="s">
        <v>355</v>
      </c>
      <c r="N32" s="345" t="s">
        <v>356</v>
      </c>
      <c r="O32" s="343"/>
      <c r="P32" s="343"/>
      <c r="Q32" s="343"/>
    </row>
    <row r="33" spans="1:17">
      <c r="A33" s="343" t="str">
        <f t="shared" si="0"/>
        <v>Scope All-Fuels-Isobutene</v>
      </c>
      <c r="B33" s="343" t="s">
        <v>348</v>
      </c>
      <c r="C33" s="343" t="s">
        <v>349</v>
      </c>
      <c r="D33" s="343" t="s">
        <v>397</v>
      </c>
      <c r="E33" s="344">
        <v>9.9000000000000005E-2</v>
      </c>
      <c r="F33" s="344" t="s">
        <v>351</v>
      </c>
      <c r="G33" s="344">
        <v>64.94</v>
      </c>
      <c r="H33" s="344" t="s">
        <v>352</v>
      </c>
      <c r="I33" s="344">
        <v>3.0000000000000001E-3</v>
      </c>
      <c r="J33" s="344" t="s">
        <v>353</v>
      </c>
      <c r="K33" s="344">
        <v>5.9999999999999995E-4</v>
      </c>
      <c r="L33" s="343" t="s">
        <v>354</v>
      </c>
      <c r="M33" s="343" t="s">
        <v>355</v>
      </c>
      <c r="N33" s="345" t="s">
        <v>356</v>
      </c>
      <c r="O33" s="343"/>
      <c r="P33" s="343"/>
      <c r="Q33" s="343"/>
    </row>
    <row r="34" spans="1:17">
      <c r="A34" s="343" t="str">
        <f t="shared" si="0"/>
        <v>Scope All-Fuels-Isobutylene</v>
      </c>
      <c r="B34" s="343" t="s">
        <v>348</v>
      </c>
      <c r="C34" s="343" t="s">
        <v>349</v>
      </c>
      <c r="D34" s="343" t="s">
        <v>398</v>
      </c>
      <c r="E34" s="344">
        <v>0.10299999999999999</v>
      </c>
      <c r="F34" s="344" t="s">
        <v>351</v>
      </c>
      <c r="G34" s="344">
        <v>68.86</v>
      </c>
      <c r="H34" s="344" t="s">
        <v>352</v>
      </c>
      <c r="I34" s="344">
        <v>3.0000000000000001E-3</v>
      </c>
      <c r="J34" s="344" t="s">
        <v>353</v>
      </c>
      <c r="K34" s="344">
        <v>5.9999999999999995E-4</v>
      </c>
      <c r="L34" s="343" t="s">
        <v>354</v>
      </c>
      <c r="M34" s="343" t="s">
        <v>355</v>
      </c>
      <c r="N34" s="345" t="s">
        <v>356</v>
      </c>
      <c r="O34" s="343"/>
      <c r="P34" s="343"/>
      <c r="Q34" s="343"/>
    </row>
    <row r="35" spans="1:17">
      <c r="A35" s="343" t="str">
        <f t="shared" si="0"/>
        <v>Scope All-Fuels-Kerosene</v>
      </c>
      <c r="B35" s="343" t="s">
        <v>348</v>
      </c>
      <c r="C35" s="343" t="s">
        <v>349</v>
      </c>
      <c r="D35" s="343" t="s">
        <v>399</v>
      </c>
      <c r="E35" s="344">
        <v>0.13500000000000001</v>
      </c>
      <c r="F35" s="344" t="s">
        <v>351</v>
      </c>
      <c r="G35" s="344">
        <v>75.2</v>
      </c>
      <c r="H35" s="344" t="s">
        <v>352</v>
      </c>
      <c r="I35" s="344">
        <v>3.0000000000000001E-3</v>
      </c>
      <c r="J35" s="344" t="s">
        <v>353</v>
      </c>
      <c r="K35" s="344">
        <v>5.9999999999999995E-4</v>
      </c>
      <c r="L35" s="343" t="s">
        <v>354</v>
      </c>
      <c r="M35" s="343" t="s">
        <v>355</v>
      </c>
      <c r="N35" s="345" t="s">
        <v>356</v>
      </c>
      <c r="O35" s="343"/>
      <c r="P35" s="343"/>
      <c r="Q35" s="343"/>
    </row>
    <row r="36" spans="1:17">
      <c r="A36" s="343" t="str">
        <f t="shared" si="0"/>
        <v>Scope All-Fuels-Kerosene-type jet fuel</v>
      </c>
      <c r="B36" s="343" t="s">
        <v>348</v>
      </c>
      <c r="C36" s="343" t="s">
        <v>349</v>
      </c>
      <c r="D36" s="343" t="s">
        <v>400</v>
      </c>
      <c r="E36" s="344">
        <v>0.13500000000000001</v>
      </c>
      <c r="F36" s="344" t="s">
        <v>351</v>
      </c>
      <c r="G36" s="349">
        <v>72.22</v>
      </c>
      <c r="H36" s="344" t="s">
        <v>352</v>
      </c>
      <c r="I36" s="344">
        <v>3.0000000000000001E-3</v>
      </c>
      <c r="J36" s="344" t="s">
        <v>353</v>
      </c>
      <c r="K36" s="344">
        <v>5.9999999999999995E-4</v>
      </c>
      <c r="L36" s="343" t="s">
        <v>354</v>
      </c>
      <c r="M36" s="343" t="s">
        <v>355</v>
      </c>
      <c r="N36" s="345" t="s">
        <v>356</v>
      </c>
      <c r="O36" s="343"/>
      <c r="P36" s="343"/>
      <c r="Q36" s="343"/>
    </row>
    <row r="37" spans="1:17">
      <c r="A37" s="343" t="str">
        <f t="shared" si="0"/>
        <v>Scope All-Fuels-Liquefied petroleum gases (LPG)</v>
      </c>
      <c r="B37" s="343" t="s">
        <v>348</v>
      </c>
      <c r="C37" s="344" t="s">
        <v>349</v>
      </c>
      <c r="D37" s="343" t="s">
        <v>401</v>
      </c>
      <c r="E37" s="344">
        <v>9.1999999999999998E-2</v>
      </c>
      <c r="F37" s="344" t="s">
        <v>351</v>
      </c>
      <c r="G37" s="344">
        <v>61.71</v>
      </c>
      <c r="H37" s="344" t="s">
        <v>352</v>
      </c>
      <c r="I37" s="344">
        <v>3.0000000000000001E-3</v>
      </c>
      <c r="J37" s="344" t="s">
        <v>353</v>
      </c>
      <c r="K37" s="344">
        <v>5.9999999999999995E-4</v>
      </c>
      <c r="L37" s="343" t="s">
        <v>354</v>
      </c>
      <c r="M37" s="343" t="s">
        <v>355</v>
      </c>
      <c r="N37" s="345" t="s">
        <v>356</v>
      </c>
      <c r="O37" s="343"/>
      <c r="P37" s="343"/>
      <c r="Q37" s="343"/>
    </row>
    <row r="38" spans="1:17">
      <c r="A38" s="343" t="str">
        <f t="shared" si="0"/>
        <v>Scope All-Fuels-Lubricants</v>
      </c>
      <c r="B38" s="343" t="s">
        <v>348</v>
      </c>
      <c r="C38" s="343" t="s">
        <v>349</v>
      </c>
      <c r="D38" s="343" t="s">
        <v>402</v>
      </c>
      <c r="E38" s="344">
        <v>0.14399999999999999</v>
      </c>
      <c r="F38" s="344" t="s">
        <v>351</v>
      </c>
      <c r="G38" s="344">
        <v>74.27</v>
      </c>
      <c r="H38" s="344" t="s">
        <v>352</v>
      </c>
      <c r="I38" s="344">
        <v>3.0000000000000001E-3</v>
      </c>
      <c r="J38" s="344" t="s">
        <v>353</v>
      </c>
      <c r="K38" s="344">
        <v>5.9999999999999995E-4</v>
      </c>
      <c r="L38" s="343" t="s">
        <v>354</v>
      </c>
      <c r="M38" s="343" t="s">
        <v>355</v>
      </c>
      <c r="N38" s="345" t="s">
        <v>356</v>
      </c>
      <c r="O38" s="343"/>
      <c r="P38" s="343"/>
      <c r="Q38" s="343"/>
    </row>
    <row r="39" spans="1:17" s="361" customFormat="1">
      <c r="A39" s="361" t="str">
        <f t="shared" si="0"/>
        <v>Scope All-Fuels-Motor gasoline</v>
      </c>
      <c r="B39" s="361" t="s">
        <v>348</v>
      </c>
      <c r="C39" s="361" t="s">
        <v>349</v>
      </c>
      <c r="D39" s="361" t="s">
        <v>403</v>
      </c>
      <c r="E39" s="366">
        <v>0.125</v>
      </c>
      <c r="F39" s="366" t="s">
        <v>351</v>
      </c>
      <c r="G39" s="366">
        <v>70.22</v>
      </c>
      <c r="H39" s="366" t="s">
        <v>352</v>
      </c>
      <c r="I39" s="366">
        <v>3.0000000000000001E-3</v>
      </c>
      <c r="J39" s="366" t="s">
        <v>353</v>
      </c>
      <c r="K39" s="366">
        <v>5.9999999999999995E-4</v>
      </c>
      <c r="L39" s="361" t="s">
        <v>354</v>
      </c>
      <c r="M39" s="361" t="s">
        <v>355</v>
      </c>
      <c r="N39" s="368" t="s">
        <v>356</v>
      </c>
    </row>
    <row r="40" spans="1:17">
      <c r="A40" s="343" t="str">
        <f t="shared" si="0"/>
        <v>Scope All-Fuels-Municipal solid waste - Fossil-derived</v>
      </c>
      <c r="B40" s="343" t="s">
        <v>348</v>
      </c>
      <c r="C40" s="343" t="s">
        <v>349</v>
      </c>
      <c r="D40" s="344" t="s">
        <v>404</v>
      </c>
      <c r="E40" s="344">
        <v>9.9499999999999993</v>
      </c>
      <c r="F40" s="344" t="s">
        <v>372</v>
      </c>
      <c r="G40" s="344">
        <v>90.7</v>
      </c>
      <c r="H40" s="344" t="s">
        <v>352</v>
      </c>
      <c r="I40" s="344">
        <v>3.2000000000000001E-2</v>
      </c>
      <c r="J40" s="344" t="s">
        <v>353</v>
      </c>
      <c r="K40" s="344">
        <v>4.2000000000000006E-3</v>
      </c>
      <c r="L40" s="343" t="s">
        <v>354</v>
      </c>
      <c r="M40" s="343" t="s">
        <v>355</v>
      </c>
      <c r="N40" s="345" t="s">
        <v>356</v>
      </c>
      <c r="O40" s="343"/>
      <c r="P40" s="343"/>
      <c r="Q40" s="343"/>
    </row>
    <row r="41" spans="1:17">
      <c r="A41" s="343" t="str">
        <f t="shared" si="0"/>
        <v>Scope All-Fuels-Naphtha - &lt;401 degrees F</v>
      </c>
      <c r="B41" s="343" t="s">
        <v>348</v>
      </c>
      <c r="C41" s="343" t="s">
        <v>349</v>
      </c>
      <c r="D41" s="344" t="s">
        <v>405</v>
      </c>
      <c r="E41" s="344">
        <v>0.125</v>
      </c>
      <c r="F41" s="344" t="s">
        <v>351</v>
      </c>
      <c r="G41" s="344">
        <v>68.02</v>
      </c>
      <c r="H41" s="344" t="s">
        <v>352</v>
      </c>
      <c r="I41" s="344">
        <v>3.0000000000000001E-3</v>
      </c>
      <c r="J41" s="344" t="s">
        <v>353</v>
      </c>
      <c r="K41" s="344">
        <v>5.9999999999999995E-4</v>
      </c>
      <c r="L41" s="343" t="s">
        <v>354</v>
      </c>
      <c r="M41" s="343" t="s">
        <v>355</v>
      </c>
      <c r="N41" s="345" t="s">
        <v>356</v>
      </c>
      <c r="O41" s="343"/>
      <c r="P41" s="343"/>
      <c r="Q41" s="343"/>
    </row>
    <row r="42" spans="1:17" s="361" customFormat="1">
      <c r="A42" s="361" t="str">
        <f t="shared" si="0"/>
        <v>Scope All-Fuels-Natural Gas</v>
      </c>
      <c r="B42" s="361" t="s">
        <v>348</v>
      </c>
      <c r="C42" s="361" t="s">
        <v>349</v>
      </c>
      <c r="D42" s="361" t="s">
        <v>38</v>
      </c>
      <c r="E42" s="366">
        <f>1.026*10^-3</f>
        <v>1.026E-3</v>
      </c>
      <c r="F42" s="366" t="s">
        <v>361</v>
      </c>
      <c r="G42" s="366">
        <v>53.06</v>
      </c>
      <c r="H42" s="366" t="s">
        <v>352</v>
      </c>
      <c r="I42" s="366">
        <v>1E-3</v>
      </c>
      <c r="J42" s="366" t="s">
        <v>353</v>
      </c>
      <c r="K42" s="366">
        <v>1E-4</v>
      </c>
      <c r="L42" s="361" t="s">
        <v>354</v>
      </c>
      <c r="M42" s="361" t="s">
        <v>355</v>
      </c>
      <c r="N42" s="368" t="s">
        <v>356</v>
      </c>
    </row>
    <row r="43" spans="1:17">
      <c r="A43" s="343" t="str">
        <f t="shared" si="0"/>
        <v>Scope All-Fuels-Natural gasoline</v>
      </c>
      <c r="B43" s="343" t="s">
        <v>348</v>
      </c>
      <c r="C43" s="343" t="s">
        <v>349</v>
      </c>
      <c r="D43" s="343" t="s">
        <v>406</v>
      </c>
      <c r="E43" s="344">
        <v>0.11</v>
      </c>
      <c r="F43" s="344" t="s">
        <v>351</v>
      </c>
      <c r="G43" s="344">
        <v>66.88</v>
      </c>
      <c r="H43" s="344" t="s">
        <v>352</v>
      </c>
      <c r="I43" s="344">
        <v>3.0000000000000001E-3</v>
      </c>
      <c r="J43" s="344" t="s">
        <v>353</v>
      </c>
      <c r="K43" s="344">
        <v>5.9999999999999995E-4</v>
      </c>
      <c r="L43" s="343" t="s">
        <v>354</v>
      </c>
      <c r="M43" s="343" t="s">
        <v>355</v>
      </c>
      <c r="N43" s="345" t="s">
        <v>356</v>
      </c>
      <c r="O43" s="343"/>
      <c r="P43" s="343"/>
      <c r="Q43" s="343"/>
    </row>
    <row r="44" spans="1:17">
      <c r="A44" s="343" t="str">
        <f t="shared" si="0"/>
        <v>Scope All-Fuels-Other oil (&gt;401 degrees F)</v>
      </c>
      <c r="B44" s="343" t="s">
        <v>348</v>
      </c>
      <c r="C44" s="343" t="s">
        <v>349</v>
      </c>
      <c r="D44" s="343" t="s">
        <v>407</v>
      </c>
      <c r="E44" s="344">
        <v>0.13900000000000001</v>
      </c>
      <c r="F44" s="344" t="s">
        <v>351</v>
      </c>
      <c r="G44" s="344">
        <v>76.22</v>
      </c>
      <c r="H44" s="344" t="s">
        <v>352</v>
      </c>
      <c r="I44" s="344">
        <v>3.0000000000000001E-3</v>
      </c>
      <c r="J44" s="344" t="s">
        <v>353</v>
      </c>
      <c r="K44" s="344">
        <v>5.9999999999999995E-4</v>
      </c>
      <c r="L44" s="343" t="s">
        <v>354</v>
      </c>
      <c r="M44" s="343" t="s">
        <v>355</v>
      </c>
      <c r="N44" s="345" t="s">
        <v>356</v>
      </c>
      <c r="O44" s="343"/>
      <c r="P44" s="343"/>
      <c r="Q44" s="343"/>
    </row>
    <row r="45" spans="1:17">
      <c r="A45" s="343" t="str">
        <f t="shared" si="0"/>
        <v>Scope All-Fuels-Pentanes plus</v>
      </c>
      <c r="B45" s="343" t="s">
        <v>348</v>
      </c>
      <c r="C45" s="343" t="s">
        <v>349</v>
      </c>
      <c r="D45" s="343" t="s">
        <v>408</v>
      </c>
      <c r="E45" s="344">
        <v>0.11</v>
      </c>
      <c r="F45" s="344" t="s">
        <v>351</v>
      </c>
      <c r="G45" s="344">
        <v>70.02</v>
      </c>
      <c r="H45" s="344" t="s">
        <v>352</v>
      </c>
      <c r="I45" s="344">
        <v>3.0000000000000001E-3</v>
      </c>
      <c r="J45" s="344" t="s">
        <v>353</v>
      </c>
      <c r="K45" s="344">
        <v>5.9999999999999995E-4</v>
      </c>
      <c r="L45" s="343" t="s">
        <v>354</v>
      </c>
      <c r="M45" s="343" t="s">
        <v>355</v>
      </c>
      <c r="N45" s="345" t="s">
        <v>356</v>
      </c>
      <c r="O45" s="343"/>
      <c r="P45" s="343"/>
      <c r="Q45" s="343"/>
    </row>
    <row r="46" spans="1:17">
      <c r="A46" s="343" t="str">
        <f t="shared" si="0"/>
        <v>Scope All-Fuels-Petrochemical feedstocks</v>
      </c>
      <c r="B46" s="343" t="s">
        <v>348</v>
      </c>
      <c r="C46" s="343" t="s">
        <v>349</v>
      </c>
      <c r="D46" s="343" t="s">
        <v>409</v>
      </c>
      <c r="E46" s="344">
        <v>0.125</v>
      </c>
      <c r="F46" s="344" t="s">
        <v>351</v>
      </c>
      <c r="G46" s="344">
        <v>71.02</v>
      </c>
      <c r="H46" s="344" t="s">
        <v>352</v>
      </c>
      <c r="I46" s="344">
        <v>3.0000000000000001E-3</v>
      </c>
      <c r="J46" s="344" t="s">
        <v>353</v>
      </c>
      <c r="K46" s="344">
        <v>5.9999999999999995E-4</v>
      </c>
      <c r="L46" s="343" t="s">
        <v>354</v>
      </c>
      <c r="M46" s="343" t="s">
        <v>355</v>
      </c>
      <c r="N46" s="345" t="s">
        <v>356</v>
      </c>
      <c r="O46" s="343"/>
      <c r="P46" s="343"/>
      <c r="Q46" s="343"/>
    </row>
    <row r="47" spans="1:17">
      <c r="A47" s="343" t="str">
        <f t="shared" si="0"/>
        <v>Scope All-Fuels-Petroleum coke</v>
      </c>
      <c r="B47" s="343" t="s">
        <v>348</v>
      </c>
      <c r="C47" s="343" t="s">
        <v>349</v>
      </c>
      <c r="D47" s="343" t="s">
        <v>410</v>
      </c>
      <c r="E47" s="344">
        <v>0.14299999999999999</v>
      </c>
      <c r="F47" s="344" t="s">
        <v>351</v>
      </c>
      <c r="G47" s="344">
        <v>102.41</v>
      </c>
      <c r="H47" s="344" t="s">
        <v>352</v>
      </c>
      <c r="I47" s="344">
        <v>3.0000000000000001E-3</v>
      </c>
      <c r="J47" s="344" t="s">
        <v>353</v>
      </c>
      <c r="K47" s="344">
        <v>5.9999999999999995E-4</v>
      </c>
      <c r="L47" s="343" t="s">
        <v>354</v>
      </c>
      <c r="M47" s="343" t="s">
        <v>355</v>
      </c>
      <c r="N47" s="345" t="s">
        <v>356</v>
      </c>
      <c r="O47" s="343"/>
      <c r="P47" s="343"/>
      <c r="Q47" s="343"/>
    </row>
    <row r="48" spans="1:17" s="350" customFormat="1">
      <c r="A48" s="350" t="str">
        <f t="shared" si="0"/>
        <v>Scope All-Fuels-Propane</v>
      </c>
      <c r="B48" s="350" t="s">
        <v>348</v>
      </c>
      <c r="C48" s="350" t="s">
        <v>349</v>
      </c>
      <c r="D48" s="350" t="s">
        <v>411</v>
      </c>
      <c r="E48" s="366">
        <v>9.0999999999999998E-2</v>
      </c>
      <c r="F48" s="366" t="s">
        <v>351</v>
      </c>
      <c r="G48" s="366">
        <v>62.87</v>
      </c>
      <c r="H48" s="366" t="s">
        <v>352</v>
      </c>
      <c r="I48" s="366">
        <v>3.0000000000000001E-3</v>
      </c>
      <c r="J48" s="366" t="s">
        <v>353</v>
      </c>
      <c r="K48" s="366">
        <v>5.9999999999999995E-4</v>
      </c>
      <c r="L48" s="350" t="s">
        <v>354</v>
      </c>
      <c r="M48" s="350" t="s">
        <v>355</v>
      </c>
      <c r="N48" s="367" t="s">
        <v>356</v>
      </c>
    </row>
    <row r="49" spans="1:17">
      <c r="A49" s="343" t="str">
        <f t="shared" si="0"/>
        <v>Scope All-Fuels-Propylene</v>
      </c>
      <c r="B49" s="343" t="s">
        <v>348</v>
      </c>
      <c r="C49" s="343" t="s">
        <v>349</v>
      </c>
      <c r="D49" s="343" t="s">
        <v>412</v>
      </c>
      <c r="E49" s="344">
        <v>9.0999999999999998E-2</v>
      </c>
      <c r="F49" s="344" t="s">
        <v>351</v>
      </c>
      <c r="G49" s="347">
        <v>67.77</v>
      </c>
      <c r="H49" s="344" t="s">
        <v>352</v>
      </c>
      <c r="I49" s="344">
        <v>3.0000000000000001E-3</v>
      </c>
      <c r="J49" s="344" t="s">
        <v>353</v>
      </c>
      <c r="K49" s="344">
        <v>5.9999999999999995E-4</v>
      </c>
      <c r="L49" s="343" t="s">
        <v>354</v>
      </c>
      <c r="M49" s="343" t="s">
        <v>355</v>
      </c>
      <c r="N49" s="345" t="s">
        <v>356</v>
      </c>
      <c r="O49" s="343"/>
      <c r="P49" s="343"/>
      <c r="Q49" s="343"/>
    </row>
    <row r="50" spans="1:17">
      <c r="A50" s="343" t="str">
        <f t="shared" si="0"/>
        <v>Scope All-Fuels-Rendered animal fat</v>
      </c>
      <c r="B50" s="343" t="s">
        <v>348</v>
      </c>
      <c r="C50" s="343" t="s">
        <v>349</v>
      </c>
      <c r="D50" s="343" t="s">
        <v>413</v>
      </c>
      <c r="E50" s="343">
        <v>0.125</v>
      </c>
      <c r="F50" s="343" t="s">
        <v>351</v>
      </c>
      <c r="G50" s="343">
        <v>71.06</v>
      </c>
      <c r="H50" s="343" t="s">
        <v>352</v>
      </c>
      <c r="I50" s="343">
        <f>1.1*10^-3</f>
        <v>1.1000000000000001E-3</v>
      </c>
      <c r="J50" s="343" t="s">
        <v>353</v>
      </c>
      <c r="K50" s="343">
        <f>1.1*10^-4</f>
        <v>1.1000000000000002E-4</v>
      </c>
      <c r="L50" s="343" t="s">
        <v>354</v>
      </c>
      <c r="M50" s="343" t="s">
        <v>355</v>
      </c>
      <c r="N50" s="345" t="s">
        <v>359</v>
      </c>
      <c r="O50" s="343"/>
      <c r="P50" s="343"/>
      <c r="Q50" s="343"/>
    </row>
    <row r="51" spans="1:17">
      <c r="A51" s="343" t="str">
        <f t="shared" si="0"/>
        <v>Scope All-Fuels-Residual  Fuel Oil No. 6</v>
      </c>
      <c r="B51" s="343" t="s">
        <v>348</v>
      </c>
      <c r="C51" s="343" t="s">
        <v>349</v>
      </c>
      <c r="D51" s="344" t="s">
        <v>414</v>
      </c>
      <c r="E51" s="344">
        <v>0.15</v>
      </c>
      <c r="F51" s="344" t="s">
        <v>351</v>
      </c>
      <c r="G51" s="344">
        <v>75.099999999999994</v>
      </c>
      <c r="H51" s="344" t="s">
        <v>352</v>
      </c>
      <c r="I51" s="344">
        <v>3.0000000000000001E-3</v>
      </c>
      <c r="J51" s="344" t="s">
        <v>353</v>
      </c>
      <c r="K51" s="344">
        <v>5.9999999999999995E-4</v>
      </c>
      <c r="L51" s="343" t="s">
        <v>354</v>
      </c>
      <c r="M51" s="343" t="s">
        <v>355</v>
      </c>
      <c r="N51" s="345" t="s">
        <v>356</v>
      </c>
      <c r="O51" s="343"/>
      <c r="P51" s="343"/>
      <c r="Q51" s="343"/>
    </row>
    <row r="52" spans="1:17">
      <c r="A52" s="343" t="str">
        <f t="shared" si="0"/>
        <v>Scope All-Fuels-Residual Fuel Oil No. 5</v>
      </c>
      <c r="B52" s="343" t="s">
        <v>348</v>
      </c>
      <c r="C52" s="343" t="s">
        <v>349</v>
      </c>
      <c r="D52" s="344" t="s">
        <v>415</v>
      </c>
      <c r="E52" s="344">
        <v>0.14000000000000001</v>
      </c>
      <c r="F52" s="344" t="s">
        <v>351</v>
      </c>
      <c r="G52" s="344">
        <v>72.930000000000007</v>
      </c>
      <c r="H52" s="344" t="s">
        <v>352</v>
      </c>
      <c r="I52" s="344">
        <v>3.0000000000000001E-3</v>
      </c>
      <c r="J52" s="344" t="s">
        <v>353</v>
      </c>
      <c r="K52" s="344">
        <v>5.9999999999999995E-4</v>
      </c>
      <c r="L52" s="343" t="s">
        <v>354</v>
      </c>
      <c r="M52" s="343" t="s">
        <v>355</v>
      </c>
      <c r="N52" s="345" t="s">
        <v>356</v>
      </c>
      <c r="O52" s="343"/>
      <c r="P52" s="343"/>
      <c r="Q52" s="343"/>
    </row>
    <row r="53" spans="1:17">
      <c r="A53" s="343" t="str">
        <f t="shared" si="0"/>
        <v>Scope All-Fuels-Special naphtha</v>
      </c>
      <c r="B53" s="343" t="s">
        <v>348</v>
      </c>
      <c r="C53" s="343" t="s">
        <v>349</v>
      </c>
      <c r="D53" s="343" t="s">
        <v>416</v>
      </c>
      <c r="E53" s="344">
        <v>0.125</v>
      </c>
      <c r="F53" s="344" t="s">
        <v>351</v>
      </c>
      <c r="G53" s="344">
        <v>72.34</v>
      </c>
      <c r="H53" s="344" t="s">
        <v>352</v>
      </c>
      <c r="I53" s="344">
        <v>3.0000000000000001E-3</v>
      </c>
      <c r="J53" s="344" t="s">
        <v>353</v>
      </c>
      <c r="K53" s="344">
        <v>5.9999999999999995E-4</v>
      </c>
      <c r="L53" s="343" t="s">
        <v>354</v>
      </c>
      <c r="M53" s="343" t="s">
        <v>355</v>
      </c>
      <c r="N53" s="345" t="s">
        <v>356</v>
      </c>
      <c r="O53" s="343"/>
      <c r="P53" s="343"/>
      <c r="Q53" s="343"/>
    </row>
    <row r="54" spans="1:17">
      <c r="A54" s="343" t="str">
        <f t="shared" si="0"/>
        <v>Scope All-Fuels-Still gas</v>
      </c>
      <c r="B54" s="343" t="s">
        <v>348</v>
      </c>
      <c r="C54" s="343" t="s">
        <v>349</v>
      </c>
      <c r="D54" s="343" t="s">
        <v>417</v>
      </c>
      <c r="E54" s="344">
        <v>0.14299999999999999</v>
      </c>
      <c r="F54" s="344" t="s">
        <v>351</v>
      </c>
      <c r="G54" s="344">
        <v>66.72</v>
      </c>
      <c r="H54" s="344" t="s">
        <v>352</v>
      </c>
      <c r="I54" s="344">
        <v>3.0000000000000001E-3</v>
      </c>
      <c r="J54" s="344" t="s">
        <v>353</v>
      </c>
      <c r="K54" s="344">
        <v>5.9999999999999995E-4</v>
      </c>
      <c r="L54" s="343" t="s">
        <v>354</v>
      </c>
      <c r="M54" s="343" t="s">
        <v>355</v>
      </c>
      <c r="N54" s="345" t="s">
        <v>356</v>
      </c>
      <c r="O54" s="343"/>
      <c r="P54" s="343"/>
      <c r="Q54" s="343"/>
    </row>
    <row r="55" spans="1:17">
      <c r="A55" s="343" t="str">
        <f t="shared" si="0"/>
        <v>Scope All-Fuels-Tires - Fossil-derived</v>
      </c>
      <c r="B55" s="343" t="s">
        <v>348</v>
      </c>
      <c r="C55" s="343" t="s">
        <v>349</v>
      </c>
      <c r="D55" s="344" t="s">
        <v>418</v>
      </c>
      <c r="E55" s="344">
        <v>28</v>
      </c>
      <c r="F55" s="344" t="s">
        <v>372</v>
      </c>
      <c r="G55" s="344">
        <v>85.97</v>
      </c>
      <c r="H55" s="344" t="s">
        <v>352</v>
      </c>
      <c r="I55" s="344">
        <v>3.2000000000000001E-2</v>
      </c>
      <c r="J55" s="344" t="s">
        <v>353</v>
      </c>
      <c r="K55" s="344">
        <v>4.2000000000000006E-3</v>
      </c>
      <c r="L55" s="343" t="s">
        <v>354</v>
      </c>
      <c r="M55" s="343" t="s">
        <v>355</v>
      </c>
      <c r="N55" s="345" t="s">
        <v>356</v>
      </c>
      <c r="O55" s="343"/>
      <c r="P55" s="343"/>
      <c r="Q55" s="343"/>
    </row>
    <row r="56" spans="1:17">
      <c r="A56" s="343" t="str">
        <f t="shared" si="0"/>
        <v>Scope All-Fuels-Unfinished oils</v>
      </c>
      <c r="B56" s="343" t="s">
        <v>348</v>
      </c>
      <c r="C56" s="343" t="s">
        <v>349</v>
      </c>
      <c r="D56" s="343" t="s">
        <v>419</v>
      </c>
      <c r="E56" s="344">
        <v>0.13900000000000001</v>
      </c>
      <c r="F56" s="344" t="s">
        <v>351</v>
      </c>
      <c r="G56" s="344">
        <v>74.540000000000006</v>
      </c>
      <c r="H56" s="344" t="s">
        <v>352</v>
      </c>
      <c r="I56" s="344">
        <v>3.0000000000000001E-3</v>
      </c>
      <c r="J56" s="344" t="s">
        <v>353</v>
      </c>
      <c r="K56" s="344">
        <v>5.9999999999999995E-4</v>
      </c>
      <c r="L56" s="343" t="s">
        <v>354</v>
      </c>
      <c r="M56" s="343" t="s">
        <v>355</v>
      </c>
      <c r="N56" s="345" t="s">
        <v>356</v>
      </c>
      <c r="O56" s="343"/>
      <c r="P56" s="343"/>
      <c r="Q56" s="343"/>
    </row>
    <row r="57" spans="1:17">
      <c r="A57" s="343" t="str">
        <f t="shared" si="0"/>
        <v>Scope All-Fuels-Vegetable oil</v>
      </c>
      <c r="B57" s="343" t="s">
        <v>348</v>
      </c>
      <c r="C57" s="343" t="s">
        <v>349</v>
      </c>
      <c r="D57" s="343" t="s">
        <v>420</v>
      </c>
      <c r="E57" s="343">
        <v>0.12</v>
      </c>
      <c r="F57" s="343" t="s">
        <v>351</v>
      </c>
      <c r="G57" s="343">
        <v>81.55</v>
      </c>
      <c r="H57" s="343" t="s">
        <v>352</v>
      </c>
      <c r="I57" s="343">
        <f>1.1*10^-3</f>
        <v>1.1000000000000001E-3</v>
      </c>
      <c r="J57" s="343" t="s">
        <v>353</v>
      </c>
      <c r="K57" s="343">
        <f>1.1*10^-4</f>
        <v>1.1000000000000002E-4</v>
      </c>
      <c r="L57" s="343" t="s">
        <v>354</v>
      </c>
      <c r="M57" s="343" t="s">
        <v>355</v>
      </c>
      <c r="N57" s="345" t="s">
        <v>359</v>
      </c>
      <c r="O57" s="343"/>
      <c r="P57" s="343"/>
      <c r="Q57" s="343"/>
    </row>
    <row r="58" spans="1:17" s="361" customFormat="1">
      <c r="D58" s="361" t="s">
        <v>421</v>
      </c>
      <c r="F58" s="361" t="s">
        <v>351</v>
      </c>
      <c r="G58" s="361">
        <f>0.0310978401686882*1000</f>
        <v>31.097840168688201</v>
      </c>
      <c r="H58" s="361" t="s">
        <v>352</v>
      </c>
      <c r="I58" s="369">
        <v>9.5895594137094696E-4</v>
      </c>
      <c r="J58" s="361" t="s">
        <v>353</v>
      </c>
      <c r="K58" s="369">
        <v>7.2456688810733404E-4</v>
      </c>
      <c r="L58" s="361" t="s">
        <v>354</v>
      </c>
      <c r="N58" s="361" t="s">
        <v>422</v>
      </c>
    </row>
    <row r="59" spans="1:17" s="361" customFormat="1">
      <c r="D59" s="361" t="s">
        <v>423</v>
      </c>
      <c r="F59" s="361" t="s">
        <v>351</v>
      </c>
      <c r="G59" s="361">
        <v>98.259259259259196</v>
      </c>
      <c r="H59" s="361" t="s">
        <v>352</v>
      </c>
      <c r="I59" s="361">
        <v>1.85185185185185E-3</v>
      </c>
      <c r="J59" s="361" t="s">
        <v>353</v>
      </c>
      <c r="K59" s="370">
        <v>1.8518518518518501E-4</v>
      </c>
      <c r="L59" s="361" t="s">
        <v>354</v>
      </c>
      <c r="N59" s="361" t="s">
        <v>38</v>
      </c>
    </row>
    <row r="60" spans="1:17" s="361" customFormat="1">
      <c r="D60" s="361" t="s">
        <v>424</v>
      </c>
      <c r="F60" s="361" t="s">
        <v>351</v>
      </c>
      <c r="G60" s="361">
        <v>88.18</v>
      </c>
      <c r="H60" s="361" t="s">
        <v>352</v>
      </c>
      <c r="I60" s="361">
        <f>8.169/1000</f>
        <v>8.1690000000000009E-3</v>
      </c>
      <c r="J60" s="361" t="s">
        <v>353</v>
      </c>
      <c r="K60" s="371">
        <f>0.603/1000</f>
        <v>6.0300000000000002E-4</v>
      </c>
      <c r="L60" s="361" t="s">
        <v>354</v>
      </c>
    </row>
    <row r="61" spans="1:17" s="361" customFormat="1">
      <c r="A61" s="361" t="s">
        <v>425</v>
      </c>
      <c r="D61" s="361" t="s">
        <v>236</v>
      </c>
      <c r="F61" s="361" t="s">
        <v>426</v>
      </c>
      <c r="G61" s="361">
        <v>0</v>
      </c>
      <c r="H61" s="361" t="s">
        <v>352</v>
      </c>
      <c r="I61" s="361">
        <v>0</v>
      </c>
      <c r="J61" s="361" t="s">
        <v>353</v>
      </c>
      <c r="K61" s="361">
        <v>0</v>
      </c>
      <c r="L61" s="361" t="s">
        <v>354</v>
      </c>
    </row>
    <row r="66" spans="1:1">
      <c r="A66" s="149" t="s">
        <v>498</v>
      </c>
    </row>
  </sheetData>
  <sheetProtection algorithmName="SHA-512" hashValue="9lK2kxRc46F3QhFa3ZNv7nLd6fNal+qVYEZ7S5c8jna1nHZzU6CYD+35+AxRlXbtq+MRIEqRTmisiLNGQSVwhA==" saltValue="BaYBjdtduminirqolcTQpw==" spinCount="100000" sheet="1" objects="1" scenarios="1"/>
  <hyperlinks>
    <hyperlink ref="N15" r:id="rId1" xr:uid="{178ABFDF-F19B-3B4B-8B6B-4876BFFAB416}"/>
    <hyperlink ref="N26" r:id="rId2" display="http://www.epa.gov/climatechange/emissions/downloads09/GHG-MRR-Full%20Version.pdf" xr:uid="{FFB64FD5-5431-B244-B473-F0C83B7B088F}"/>
    <hyperlink ref="N52" r:id="rId3" display="http://www.epa.gov/climatechange/emissions/downloads09/GHG-MRR-Full%20Version.pdf" xr:uid="{756E0B1A-130A-AA44-B893-1261B1A5F59E}"/>
    <hyperlink ref="N51" r:id="rId4" display="http://www.epa.gov/climatechange/emissions/downloads09/GHG-MRR-Full%20Version.pdf" xr:uid="{181306C2-0ADD-AC4E-A1CF-FD1C3229374E}"/>
    <hyperlink ref="N30" r:id="rId5" display="http://www.epa.gov/climatechange/emissions/downloads09/GHG-MRR-Full%20Version.pdf" xr:uid="{C7B0817D-458B-244C-8084-7BF554CBD97E}"/>
    <hyperlink ref="N4" r:id="rId6" display="http://www.epa.gov/climatechange/emissions/downloads09/GHG-MRR-Full%20Version.pdf" xr:uid="{4CE9DF82-356A-8D48-83E8-2722722E4AE4}"/>
    <hyperlink ref="N50" r:id="rId7" display="http://www.epa.gov/climatechange/emissions/downloads09/GHG-MRR-Full%20Version.pdf" xr:uid="{1CBA94F3-6A89-2246-AD6F-8777C1D769FD}"/>
    <hyperlink ref="N57" r:id="rId8" display="http://www.epa.gov/climatechange/emissions/downloads09/GHG-MRR-Full%20Version.pdf" xr:uid="{74297375-9957-F843-98ED-E1C535B43331}"/>
    <hyperlink ref="N6" r:id="rId9" display="http://www.epa.gov/climatechange/emissions/downloads09/GHG-MRR-Full%20Version.pdf" xr:uid="{634C2132-9247-1B49-9144-1FC752963B08}"/>
    <hyperlink ref="N7" r:id="rId10" display="http://www.epa.gov/climatechange/emissions/downloads09/GHG-MRR-Full%20Version.pdf" xr:uid="{8C711757-F3EF-A048-9537-949687054C2D}"/>
    <hyperlink ref="N2:N10" r:id="rId11" display="http://www.epa.gov/ghgreporting/documents/pdf/2009/GHG-MRR-FinalRule.pdf" xr:uid="{53FBFCBB-03AB-3346-9C93-54A61F97CB60}"/>
    <hyperlink ref="N48:N56" r:id="rId12" display="http://www.epa.gov/ghgreporting/documents/pdf/2009/GHG-MRR-FinalRule.pdf" xr:uid="{C4F3EC11-0E72-1F4F-BB18-5D8D72DD6BFC}"/>
    <hyperlink ref="N2:N9" r:id="rId13" display="http://www.epa.gov/climateleadership/documents/emission-factors.pdf" xr:uid="{01248FD2-225D-7242-8FFE-17DC9DE7FC4D}"/>
    <hyperlink ref="N48" r:id="rId14" xr:uid="{C359084E-72F7-D64A-A0E9-B2FF37B40DF8}"/>
  </hyperlinks>
  <pageMargins left="0.7" right="0.7" top="0.75" bottom="0.75" header="0.3" footer="0.3"/>
  <legacyDrawing r:id="rId1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6B3F31-0881-7449-A550-61310341DC0C}">
  <sheetPr codeName="Sheet26"/>
  <dimension ref="A1:Q31"/>
  <sheetViews>
    <sheetView zoomScale="89" zoomScaleNormal="89" workbookViewId="0">
      <selection activeCell="C31" sqref="C31"/>
    </sheetView>
  </sheetViews>
  <sheetFormatPr defaultColWidth="10.6640625" defaultRowHeight="15.5"/>
  <cols>
    <col min="1" max="1" width="37.1640625" customWidth="1"/>
    <col min="3" max="8" width="10.6640625" style="359"/>
    <col min="9" max="14" width="0" hidden="1" customWidth="1"/>
    <col min="17" max="17" width="16.33203125" customWidth="1"/>
  </cols>
  <sheetData>
    <row r="1" spans="1:17" ht="127.5" customHeight="1">
      <c r="A1" s="351" t="s">
        <v>427</v>
      </c>
      <c r="C1" s="352" t="s">
        <v>427</v>
      </c>
      <c r="D1" s="352" t="s">
        <v>428</v>
      </c>
      <c r="E1" s="352" t="s">
        <v>429</v>
      </c>
      <c r="F1" s="352" t="s">
        <v>430</v>
      </c>
      <c r="G1" s="352" t="s">
        <v>431</v>
      </c>
      <c r="H1" s="353" t="s">
        <v>432</v>
      </c>
      <c r="I1" s="326"/>
      <c r="J1" s="354" t="s">
        <v>428</v>
      </c>
      <c r="K1" s="354" t="s">
        <v>429</v>
      </c>
      <c r="L1" s="354" t="s">
        <v>430</v>
      </c>
      <c r="M1" s="354" t="s">
        <v>431</v>
      </c>
      <c r="N1" s="354" t="s">
        <v>433</v>
      </c>
      <c r="P1" s="326"/>
    </row>
    <row r="2" spans="1:17" ht="13.5" customHeight="1">
      <c r="A2" s="351" t="s">
        <v>333</v>
      </c>
      <c r="C2" s="352"/>
      <c r="D2" s="352"/>
      <c r="E2" s="355">
        <f>E30</f>
        <v>1420.19</v>
      </c>
      <c r="F2" s="355">
        <f t="shared" ref="F2:G2" si="0">F30</f>
        <v>0.114</v>
      </c>
      <c r="G2" s="355">
        <f t="shared" si="0"/>
        <v>1.6E-2</v>
      </c>
      <c r="H2" s="355">
        <f t="shared" ref="H2" si="1">H30</f>
        <v>189.83531623683197</v>
      </c>
      <c r="I2" s="326"/>
      <c r="J2" s="354"/>
      <c r="K2" s="356"/>
      <c r="L2" s="356"/>
      <c r="M2" s="356"/>
      <c r="N2" s="356"/>
      <c r="P2" s="326"/>
    </row>
    <row r="3" spans="1:17" ht="18" customHeight="1">
      <c r="A3" s="357" t="s">
        <v>434</v>
      </c>
      <c r="C3" s="327" t="s">
        <v>434</v>
      </c>
      <c r="D3" s="327" t="s">
        <v>435</v>
      </c>
      <c r="E3" s="384">
        <v>1333.0429999999999</v>
      </c>
      <c r="F3" s="385">
        <v>0.123</v>
      </c>
      <c r="G3" s="385">
        <v>1.7000000000000001E-2</v>
      </c>
      <c r="H3" s="358">
        <f>($E3+$P$3*F$3+G3*$P$4)*1000000/$P$5/$P$6/1000</f>
        <v>178.29005966373271</v>
      </c>
      <c r="J3" s="359" t="s">
        <v>435</v>
      </c>
      <c r="K3" s="359"/>
      <c r="L3" s="359"/>
      <c r="M3" s="359"/>
      <c r="N3" s="360"/>
      <c r="O3" t="s">
        <v>436</v>
      </c>
      <c r="P3">
        <v>25</v>
      </c>
      <c r="Q3" s="326" t="s">
        <v>437</v>
      </c>
    </row>
    <row r="4" spans="1:17">
      <c r="A4" s="357" t="s">
        <v>438</v>
      </c>
      <c r="C4" s="327" t="s">
        <v>438</v>
      </c>
      <c r="D4" s="327" t="s">
        <v>439</v>
      </c>
      <c r="E4" s="384">
        <v>1520.1990000000001</v>
      </c>
      <c r="F4" s="385">
        <v>6.7000000000000004E-2</v>
      </c>
      <c r="G4" s="385">
        <v>1.2E-2</v>
      </c>
      <c r="H4" s="358">
        <f t="shared" ref="H4:H30" si="2">($E4+$P$3*F$3+G4*$P$4)*1000000/$P$5/$P$6/1000</f>
        <v>202.97153678956079</v>
      </c>
      <c r="J4" s="359" t="s">
        <v>439</v>
      </c>
      <c r="K4" s="359"/>
      <c r="L4" s="359"/>
      <c r="M4" s="359"/>
      <c r="N4" s="360"/>
      <c r="O4" t="s">
        <v>440</v>
      </c>
      <c r="P4">
        <v>298</v>
      </c>
      <c r="Q4" s="326" t="s">
        <v>437</v>
      </c>
    </row>
    <row r="5" spans="1:17">
      <c r="A5" s="357" t="s">
        <v>441</v>
      </c>
      <c r="C5" s="327" t="s">
        <v>441</v>
      </c>
      <c r="D5" s="327" t="s">
        <v>442</v>
      </c>
      <c r="E5" s="384">
        <v>1445.2570000000001</v>
      </c>
      <c r="F5" s="385">
        <v>0.1</v>
      </c>
      <c r="G5" s="385">
        <v>1.4E-2</v>
      </c>
      <c r="H5" s="358">
        <f t="shared" si="2"/>
        <v>193.08836432719929</v>
      </c>
      <c r="J5" s="359" t="s">
        <v>442</v>
      </c>
      <c r="K5" s="359"/>
      <c r="L5" s="359"/>
      <c r="M5" s="359"/>
      <c r="N5" s="360"/>
      <c r="O5" t="s">
        <v>443</v>
      </c>
      <c r="P5">
        <v>2.2046220000000001</v>
      </c>
    </row>
    <row r="6" spans="1:17">
      <c r="A6" s="357" t="s">
        <v>444</v>
      </c>
      <c r="C6" s="327" t="s">
        <v>444</v>
      </c>
      <c r="D6" s="327" t="s">
        <v>445</v>
      </c>
      <c r="E6" s="384">
        <v>963.97699999999998</v>
      </c>
      <c r="F6" s="385">
        <v>5.8000000000000003E-2</v>
      </c>
      <c r="G6" s="385">
        <v>7.0000000000000001E-3</v>
      </c>
      <c r="H6" s="358">
        <f t="shared" si="2"/>
        <v>128.83218994738274</v>
      </c>
      <c r="J6" s="359" t="s">
        <v>445</v>
      </c>
      <c r="K6" s="359"/>
      <c r="L6" s="359"/>
      <c r="M6" s="359"/>
      <c r="N6" s="360"/>
      <c r="O6" t="s">
        <v>446</v>
      </c>
      <c r="P6">
        <v>3412.1419999999998</v>
      </c>
    </row>
    <row r="7" spans="1:17">
      <c r="A7" s="357" t="s">
        <v>447</v>
      </c>
      <c r="C7" s="327" t="s">
        <v>447</v>
      </c>
      <c r="D7" s="327" t="s">
        <v>448</v>
      </c>
      <c r="E7" s="384">
        <v>1277.172</v>
      </c>
      <c r="F7" s="385">
        <v>8.3000000000000004E-2</v>
      </c>
      <c r="G7" s="385">
        <v>1.2E-2</v>
      </c>
      <c r="H7" s="358">
        <f t="shared" si="2"/>
        <v>170.664785195523</v>
      </c>
      <c r="J7" s="359" t="s">
        <v>448</v>
      </c>
      <c r="K7" s="359"/>
      <c r="L7" s="359"/>
      <c r="M7" s="359"/>
      <c r="N7" s="360"/>
    </row>
    <row r="8" spans="1:17">
      <c r="A8" s="357" t="s">
        <v>449</v>
      </c>
      <c r="C8" s="327" t="s">
        <v>449</v>
      </c>
      <c r="D8" s="327" t="s">
        <v>450</v>
      </c>
      <c r="E8" s="384">
        <v>1029.519</v>
      </c>
      <c r="F8" s="385">
        <v>5.3999999999999999E-2</v>
      </c>
      <c r="G8" s="385">
        <v>7.0000000000000001E-3</v>
      </c>
      <c r="H8" s="358">
        <f t="shared" si="2"/>
        <v>137.5450042148363</v>
      </c>
      <c r="J8" s="359" t="s">
        <v>450</v>
      </c>
      <c r="K8" s="359"/>
      <c r="L8" s="359"/>
      <c r="M8" s="359"/>
      <c r="N8" s="360"/>
    </row>
    <row r="9" spans="1:17">
      <c r="A9" s="357" t="s">
        <v>451</v>
      </c>
      <c r="C9" s="327" t="s">
        <v>451</v>
      </c>
      <c r="D9" s="327" t="s">
        <v>452</v>
      </c>
      <c r="E9" s="384">
        <v>1549.4870000000001</v>
      </c>
      <c r="F9" s="385">
        <v>0.107</v>
      </c>
      <c r="G9" s="385">
        <v>1.7999999999999999E-2</v>
      </c>
      <c r="H9" s="358">
        <f t="shared" si="2"/>
        <v>207.10261939575815</v>
      </c>
      <c r="J9" s="359" t="s">
        <v>452</v>
      </c>
      <c r="K9" s="359"/>
      <c r="L9" s="359"/>
      <c r="M9" s="359"/>
      <c r="N9" s="360"/>
    </row>
    <row r="10" spans="1:17">
      <c r="A10" s="357" t="s">
        <v>453</v>
      </c>
      <c r="C10" s="327" t="s">
        <v>453</v>
      </c>
      <c r="D10" s="327" t="s">
        <v>454</v>
      </c>
      <c r="E10" s="384">
        <v>1704.143</v>
      </c>
      <c r="F10" s="385">
        <v>0.158</v>
      </c>
      <c r="G10" s="385">
        <v>2.5000000000000001E-2</v>
      </c>
      <c r="H10" s="358">
        <f t="shared" si="2"/>
        <v>227.93908965771533</v>
      </c>
      <c r="J10" s="359" t="s">
        <v>454</v>
      </c>
      <c r="K10" s="359"/>
      <c r="L10" s="359"/>
      <c r="M10" s="359"/>
      <c r="N10" s="360"/>
    </row>
    <row r="11" spans="1:17">
      <c r="A11" s="357" t="s">
        <v>455</v>
      </c>
      <c r="C11" s="327" t="s">
        <v>455</v>
      </c>
      <c r="D11" s="327" t="s">
        <v>456</v>
      </c>
      <c r="E11" s="384">
        <v>1577.6669999999999</v>
      </c>
      <c r="F11" s="385">
        <v>0.14499999999999999</v>
      </c>
      <c r="G11" s="385">
        <v>2.1000000000000001E-2</v>
      </c>
      <c r="H11" s="358">
        <f t="shared" si="2"/>
        <v>210.96756648330413</v>
      </c>
      <c r="J11" s="359" t="s">
        <v>456</v>
      </c>
      <c r="K11" s="359"/>
      <c r="L11" s="359"/>
      <c r="M11" s="359"/>
      <c r="N11" s="360"/>
    </row>
    <row r="12" spans="1:17">
      <c r="A12" s="357" t="s">
        <v>457</v>
      </c>
      <c r="C12" s="327" t="s">
        <v>457</v>
      </c>
      <c r="D12" s="327" t="s">
        <v>458</v>
      </c>
      <c r="E12" s="384">
        <v>1806.788</v>
      </c>
      <c r="F12" s="385">
        <v>0.188</v>
      </c>
      <c r="G12" s="385">
        <v>2.7E-2</v>
      </c>
      <c r="H12" s="358">
        <f t="shared" si="2"/>
        <v>241.66341387403713</v>
      </c>
      <c r="J12" s="359" t="s">
        <v>458</v>
      </c>
      <c r="K12" s="359"/>
      <c r="L12" s="359"/>
      <c r="M12" s="359"/>
      <c r="N12" s="360"/>
    </row>
    <row r="13" spans="1:17">
      <c r="A13" s="357" t="s">
        <v>459</v>
      </c>
      <c r="C13" s="327" t="s">
        <v>459</v>
      </c>
      <c r="D13" s="327" t="s">
        <v>460</v>
      </c>
      <c r="E13" s="384">
        <v>839.88699999999994</v>
      </c>
      <c r="F13" s="385">
        <v>8.8999999999999996E-2</v>
      </c>
      <c r="G13" s="385">
        <v>1.2E-2</v>
      </c>
      <c r="H13" s="358">
        <f t="shared" si="2"/>
        <v>112.53438046354337</v>
      </c>
      <c r="J13" s="359" t="s">
        <v>460</v>
      </c>
      <c r="K13" s="359"/>
      <c r="L13" s="359"/>
      <c r="M13" s="359"/>
      <c r="N13" s="360"/>
    </row>
    <row r="14" spans="1:17">
      <c r="A14" s="357" t="s">
        <v>461</v>
      </c>
      <c r="C14" s="327" t="s">
        <v>461</v>
      </c>
      <c r="D14" s="327" t="s">
        <v>462</v>
      </c>
      <c r="E14" s="384">
        <v>1617.4770000000001</v>
      </c>
      <c r="F14" s="385">
        <v>0.156</v>
      </c>
      <c r="G14" s="385">
        <v>2.1999999999999999E-2</v>
      </c>
      <c r="H14" s="358">
        <f t="shared" si="2"/>
        <v>216.29931642439581</v>
      </c>
      <c r="J14" s="359" t="s">
        <v>462</v>
      </c>
      <c r="K14" s="359"/>
      <c r="L14" s="359"/>
      <c r="M14" s="359"/>
      <c r="N14" s="360"/>
    </row>
    <row r="15" spans="1:17">
      <c r="A15" s="357" t="s">
        <v>463</v>
      </c>
      <c r="C15" s="327" t="s">
        <v>463</v>
      </c>
      <c r="D15" s="327" t="s">
        <v>464</v>
      </c>
      <c r="E15" s="384">
        <v>1016.222</v>
      </c>
      <c r="F15" s="385">
        <v>2.1999999999999999E-2</v>
      </c>
      <c r="G15" s="385">
        <v>2E-3</v>
      </c>
      <c r="H15" s="358">
        <f t="shared" si="2"/>
        <v>135.57929696493792</v>
      </c>
      <c r="J15" s="359" t="s">
        <v>464</v>
      </c>
      <c r="K15" s="359"/>
      <c r="L15" s="359"/>
      <c r="M15" s="359"/>
      <c r="N15" s="360"/>
    </row>
    <row r="16" spans="1:17">
      <c r="A16" s="357" t="s">
        <v>465</v>
      </c>
      <c r="C16" s="327" t="s">
        <v>465</v>
      </c>
      <c r="D16" s="327" t="s">
        <v>466</v>
      </c>
      <c r="E16" s="384">
        <v>1300.6420000000001</v>
      </c>
      <c r="F16" s="385">
        <v>4.3999999999999997E-2</v>
      </c>
      <c r="G16" s="385">
        <v>5.0000000000000001E-3</v>
      </c>
      <c r="H16" s="358">
        <f t="shared" si="2"/>
        <v>173.50746348265531</v>
      </c>
      <c r="J16" s="359" t="s">
        <v>466</v>
      </c>
      <c r="K16" s="359"/>
      <c r="L16" s="359"/>
      <c r="M16" s="359"/>
      <c r="N16" s="360"/>
    </row>
    <row r="17" spans="1:14">
      <c r="A17" s="357" t="s">
        <v>467</v>
      </c>
      <c r="C17" s="327" t="s">
        <v>467</v>
      </c>
      <c r="D17" s="327" t="s">
        <v>468</v>
      </c>
      <c r="E17" s="384">
        <v>890.21100000000001</v>
      </c>
      <c r="F17" s="385">
        <v>4.7E-2</v>
      </c>
      <c r="G17" s="385">
        <v>6.0000000000000001E-3</v>
      </c>
      <c r="H17" s="358">
        <f t="shared" si="2"/>
        <v>118.98650510553057</v>
      </c>
      <c r="J17" s="359" t="s">
        <v>468</v>
      </c>
      <c r="K17" s="359"/>
      <c r="L17" s="359"/>
      <c r="M17" s="359"/>
      <c r="N17" s="360"/>
    </row>
    <row r="18" spans="1:14">
      <c r="A18" s="357" t="s">
        <v>469</v>
      </c>
      <c r="C18" s="327" t="s">
        <v>469</v>
      </c>
      <c r="D18" s="327" t="s">
        <v>470</v>
      </c>
      <c r="E18" s="384">
        <v>1587.9069999999999</v>
      </c>
      <c r="F18" s="385">
        <v>5.5E-2</v>
      </c>
      <c r="G18" s="385">
        <v>0.01</v>
      </c>
      <c r="H18" s="358">
        <f t="shared" si="2"/>
        <v>211.89305873148109</v>
      </c>
      <c r="J18" s="359" t="s">
        <v>470</v>
      </c>
      <c r="K18" s="359"/>
      <c r="L18" s="359"/>
      <c r="M18" s="359"/>
      <c r="N18" s="360"/>
    </row>
    <row r="19" spans="1:14">
      <c r="A19" s="357" t="s">
        <v>471</v>
      </c>
      <c r="C19" s="327" t="s">
        <v>471</v>
      </c>
      <c r="D19" s="327" t="s">
        <v>472</v>
      </c>
      <c r="E19" s="384">
        <v>1237.8589999999999</v>
      </c>
      <c r="F19" s="385">
        <v>8.8999999999999996E-2</v>
      </c>
      <c r="G19" s="385">
        <v>1.2E-2</v>
      </c>
      <c r="H19" s="358">
        <f t="shared" si="2"/>
        <v>165.43871843990979</v>
      </c>
      <c r="J19" s="359" t="s">
        <v>472</v>
      </c>
      <c r="K19" s="359"/>
      <c r="L19" s="359"/>
      <c r="M19" s="359"/>
      <c r="N19" s="360"/>
    </row>
    <row r="20" spans="1:14">
      <c r="A20" s="357" t="s">
        <v>473</v>
      </c>
      <c r="C20" s="327" t="s">
        <v>473</v>
      </c>
      <c r="D20" s="327" t="s">
        <v>474</v>
      </c>
      <c r="E20" s="384">
        <v>1766.8679999999999</v>
      </c>
      <c r="F20" s="385">
        <v>0.17699999999999999</v>
      </c>
      <c r="G20" s="385">
        <v>2.5000000000000001E-2</v>
      </c>
      <c r="H20" s="358">
        <f t="shared" si="2"/>
        <v>236.27742652454907</v>
      </c>
      <c r="J20" s="359" t="s">
        <v>474</v>
      </c>
      <c r="K20" s="359"/>
      <c r="L20" s="359"/>
      <c r="M20" s="359"/>
      <c r="N20" s="360"/>
    </row>
    <row r="21" spans="1:14">
      <c r="A21" s="357" t="s">
        <v>475</v>
      </c>
      <c r="C21" s="327" t="s">
        <v>475</v>
      </c>
      <c r="D21" s="327" t="s">
        <v>476</v>
      </c>
      <c r="E21" s="384">
        <v>1831.6120000000001</v>
      </c>
      <c r="F21" s="385">
        <v>0.17799999999999999</v>
      </c>
      <c r="G21" s="385">
        <v>2.5999999999999999E-2</v>
      </c>
      <c r="H21" s="358">
        <f t="shared" si="2"/>
        <v>244.92377337975205</v>
      </c>
      <c r="J21" s="359" t="s">
        <v>476</v>
      </c>
      <c r="K21" s="359"/>
      <c r="L21" s="359"/>
      <c r="M21" s="359"/>
      <c r="N21" s="360"/>
    </row>
    <row r="22" spans="1:14">
      <c r="A22" s="357" t="s">
        <v>477</v>
      </c>
      <c r="C22" s="327" t="s">
        <v>477</v>
      </c>
      <c r="D22" s="327" t="s">
        <v>478</v>
      </c>
      <c r="E22" s="384">
        <v>1578.81</v>
      </c>
      <c r="F22" s="385">
        <v>0.126</v>
      </c>
      <c r="G22" s="385">
        <v>1.7999999999999999E-2</v>
      </c>
      <c r="H22" s="358">
        <f t="shared" si="2"/>
        <v>211.00066725460493</v>
      </c>
      <c r="J22" s="359" t="s">
        <v>478</v>
      </c>
      <c r="K22" s="359"/>
      <c r="L22" s="359"/>
      <c r="M22" s="359"/>
      <c r="N22" s="360"/>
    </row>
    <row r="23" spans="1:14">
      <c r="A23" s="357" t="s">
        <v>479</v>
      </c>
      <c r="C23" s="327" t="s">
        <v>479</v>
      </c>
      <c r="D23" s="327" t="s">
        <v>480</v>
      </c>
      <c r="E23" s="384">
        <v>1958.6089999999999</v>
      </c>
      <c r="F23" s="385">
        <v>0.2</v>
      </c>
      <c r="G23" s="385">
        <v>2.9000000000000001E-2</v>
      </c>
      <c r="H23" s="358">
        <f t="shared" si="2"/>
        <v>261.92494102002695</v>
      </c>
      <c r="J23" s="359" t="s">
        <v>480</v>
      </c>
      <c r="K23" s="359"/>
      <c r="L23" s="359"/>
      <c r="M23" s="359"/>
      <c r="N23" s="360"/>
    </row>
    <row r="24" spans="1:14">
      <c r="A24" s="357" t="s">
        <v>481</v>
      </c>
      <c r="C24" s="327" t="s">
        <v>481</v>
      </c>
      <c r="D24" s="327" t="s">
        <v>482</v>
      </c>
      <c r="E24" s="384">
        <v>1543.6659999999999</v>
      </c>
      <c r="F24" s="385">
        <v>0.108</v>
      </c>
      <c r="G24" s="385">
        <v>1.4999999999999999E-2</v>
      </c>
      <c r="H24" s="358">
        <f t="shared" si="2"/>
        <v>206.20996204923296</v>
      </c>
      <c r="J24" s="359" t="s">
        <v>482</v>
      </c>
      <c r="K24" s="359"/>
      <c r="L24" s="359"/>
      <c r="M24" s="359"/>
      <c r="N24" s="360"/>
    </row>
    <row r="25" spans="1:14">
      <c r="A25" s="357" t="s">
        <v>483</v>
      </c>
      <c r="C25" s="327" t="s">
        <v>483</v>
      </c>
      <c r="D25" s="327" t="s">
        <v>484</v>
      </c>
      <c r="E25" s="384">
        <v>1200.1369999999999</v>
      </c>
      <c r="F25" s="385">
        <v>6.8000000000000005E-2</v>
      </c>
      <c r="G25" s="385">
        <v>0.01</v>
      </c>
      <c r="H25" s="358">
        <f t="shared" si="2"/>
        <v>160.34492183467523</v>
      </c>
      <c r="J25" s="359" t="s">
        <v>484</v>
      </c>
      <c r="K25" s="359"/>
      <c r="L25" s="359"/>
      <c r="M25" s="359"/>
      <c r="N25" s="360"/>
    </row>
    <row r="26" spans="1:14">
      <c r="A26" s="357" t="s">
        <v>485</v>
      </c>
      <c r="C26" s="327" t="s">
        <v>485</v>
      </c>
      <c r="D26" s="327" t="s">
        <v>486</v>
      </c>
      <c r="E26" s="384">
        <v>1960.8620000000001</v>
      </c>
      <c r="F26" s="385">
        <v>0.216</v>
      </c>
      <c r="G26" s="385">
        <v>3.1E-2</v>
      </c>
      <c r="H26" s="358">
        <f t="shared" si="2"/>
        <v>262.30367233503068</v>
      </c>
      <c r="J26" s="359" t="s">
        <v>486</v>
      </c>
      <c r="K26" s="359"/>
      <c r="L26" s="359"/>
      <c r="M26" s="359"/>
      <c r="N26" s="360"/>
    </row>
    <row r="27" spans="1:14">
      <c r="A27" s="357" t="s">
        <v>487</v>
      </c>
      <c r="C27" s="327" t="s">
        <v>487</v>
      </c>
      <c r="D27" s="327" t="s">
        <v>488</v>
      </c>
      <c r="E27" s="384">
        <v>1389.53</v>
      </c>
      <c r="F27" s="385">
        <v>0.10100000000000001</v>
      </c>
      <c r="G27" s="385">
        <v>1.4999999999999999E-2</v>
      </c>
      <c r="H27" s="358">
        <f t="shared" si="2"/>
        <v>185.71991993992572</v>
      </c>
      <c r="J27" s="359" t="s">
        <v>488</v>
      </c>
      <c r="K27" s="359"/>
      <c r="L27" s="359"/>
      <c r="M27" s="359"/>
      <c r="N27" s="360"/>
    </row>
    <row r="28" spans="1:14">
      <c r="A28" s="357" t="s">
        <v>489</v>
      </c>
      <c r="C28" s="327" t="s">
        <v>489</v>
      </c>
      <c r="D28" s="327" t="s">
        <v>490</v>
      </c>
      <c r="E28" s="384">
        <v>1565.172</v>
      </c>
      <c r="F28" s="385">
        <v>0.13900000000000001</v>
      </c>
      <c r="G28" s="385">
        <v>0.02</v>
      </c>
      <c r="H28" s="358">
        <f t="shared" si="2"/>
        <v>209.26693127346113</v>
      </c>
      <c r="J28" s="359" t="s">
        <v>490</v>
      </c>
      <c r="K28" s="359"/>
      <c r="L28" s="359"/>
      <c r="M28" s="359"/>
      <c r="N28" s="360"/>
    </row>
    <row r="29" spans="1:14">
      <c r="A29" s="357" t="s">
        <v>491</v>
      </c>
      <c r="C29" s="327" t="s">
        <v>491</v>
      </c>
      <c r="D29" s="327" t="s">
        <v>492</v>
      </c>
      <c r="E29" s="384">
        <v>1349.17</v>
      </c>
      <c r="F29" s="385">
        <v>0.11799999999999999</v>
      </c>
      <c r="G29" s="385">
        <v>1.7000000000000001E-2</v>
      </c>
      <c r="H29" s="358">
        <f t="shared" si="2"/>
        <v>180.43389957846256</v>
      </c>
      <c r="J29" s="359" t="s">
        <v>492</v>
      </c>
      <c r="K29" s="359"/>
      <c r="L29" s="359"/>
      <c r="M29" s="359"/>
      <c r="N29" s="360"/>
    </row>
    <row r="30" spans="1:14">
      <c r="A30" s="357" t="s">
        <v>493</v>
      </c>
      <c r="C30" s="327" t="s">
        <v>494</v>
      </c>
      <c r="D30" s="327"/>
      <c r="E30" s="386">
        <v>1420.19</v>
      </c>
      <c r="F30" s="387">
        <v>0.114</v>
      </c>
      <c r="G30" s="387">
        <v>1.6E-2</v>
      </c>
      <c r="H30" s="358">
        <f t="shared" si="2"/>
        <v>189.83531623683197</v>
      </c>
      <c r="J30" s="359" t="s">
        <v>494</v>
      </c>
      <c r="K30" s="359"/>
      <c r="L30" s="359"/>
      <c r="M30" s="359"/>
      <c r="N30" s="360"/>
    </row>
    <row r="31" spans="1:14">
      <c r="C31" s="388" t="s">
        <v>495</v>
      </c>
      <c r="D31" s="327"/>
      <c r="E31" s="327"/>
      <c r="F31" s="327"/>
      <c r="G31" s="327"/>
      <c r="H31" s="327"/>
      <c r="J31" s="362" t="s">
        <v>495</v>
      </c>
      <c r="K31" s="359"/>
      <c r="L31" s="359"/>
      <c r="M31" s="359"/>
      <c r="N31" s="359"/>
    </row>
  </sheetData>
  <pageMargins left="0.7" right="0.7" top="0.75" bottom="0.75" header="0.3" footer="0.3"/>
  <pageSetup orientation="portrait" horizontalDpi="90" verticalDpi="9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4"/>
  <dimension ref="A1:E22"/>
  <sheetViews>
    <sheetView workbookViewId="0">
      <selection activeCell="B1" sqref="B1"/>
    </sheetView>
  </sheetViews>
  <sheetFormatPr defaultColWidth="11" defaultRowHeight="15.5"/>
  <cols>
    <col min="1" max="1" width="79.33203125" style="75" customWidth="1"/>
    <col min="2" max="3" width="33.33203125" bestFit="1" customWidth="1"/>
  </cols>
  <sheetData>
    <row r="1" spans="1:5">
      <c r="B1" s="88" t="s">
        <v>139</v>
      </c>
      <c r="D1" s="88" t="s">
        <v>233</v>
      </c>
      <c r="E1" s="88"/>
    </row>
    <row r="2" spans="1:5" ht="16" customHeight="1">
      <c r="A2" s="77" t="s">
        <v>91</v>
      </c>
      <c r="B2" t="s">
        <v>114</v>
      </c>
      <c r="C2" t="s">
        <v>122</v>
      </c>
      <c r="D2" t="s">
        <v>237</v>
      </c>
    </row>
    <row r="3" spans="1:5" ht="16" customHeight="1">
      <c r="A3" s="136" t="s">
        <v>200</v>
      </c>
      <c r="B3" t="s">
        <v>115</v>
      </c>
      <c r="C3" t="s">
        <v>123</v>
      </c>
      <c r="D3" t="s">
        <v>238</v>
      </c>
    </row>
    <row r="4" spans="1:5">
      <c r="A4" s="136" t="s">
        <v>112</v>
      </c>
      <c r="B4" t="s">
        <v>116</v>
      </c>
      <c r="C4" t="s">
        <v>124</v>
      </c>
      <c r="D4" t="s">
        <v>239</v>
      </c>
    </row>
    <row r="5" spans="1:5">
      <c r="A5" s="136" t="s">
        <v>99</v>
      </c>
      <c r="B5" t="s">
        <v>117</v>
      </c>
      <c r="C5" t="s">
        <v>125</v>
      </c>
      <c r="D5" t="s">
        <v>240</v>
      </c>
    </row>
    <row r="6" spans="1:5">
      <c r="A6" s="136" t="s">
        <v>501</v>
      </c>
      <c r="B6" t="s">
        <v>118</v>
      </c>
      <c r="C6" t="s">
        <v>126</v>
      </c>
      <c r="D6" s="141" t="s">
        <v>234</v>
      </c>
    </row>
    <row r="7" spans="1:5">
      <c r="A7" s="136" t="s">
        <v>102</v>
      </c>
      <c r="B7" t="s">
        <v>119</v>
      </c>
      <c r="C7" t="s">
        <v>127</v>
      </c>
      <c r="D7" s="141" t="s">
        <v>40</v>
      </c>
    </row>
    <row r="8" spans="1:5">
      <c r="A8" s="136" t="s">
        <v>103</v>
      </c>
      <c r="B8" t="s">
        <v>120</v>
      </c>
      <c r="C8" t="s">
        <v>128</v>
      </c>
      <c r="D8" s="141" t="s">
        <v>235</v>
      </c>
    </row>
    <row r="9" spans="1:5" ht="15" customHeight="1">
      <c r="A9" s="136" t="s">
        <v>100</v>
      </c>
      <c r="B9" t="s">
        <v>121</v>
      </c>
      <c r="C9" t="s">
        <v>129</v>
      </c>
      <c r="D9" s="141" t="s">
        <v>236</v>
      </c>
    </row>
    <row r="10" spans="1:5">
      <c r="A10" s="136" t="s">
        <v>201</v>
      </c>
      <c r="B10" t="s">
        <v>130</v>
      </c>
      <c r="C10" t="s">
        <v>131</v>
      </c>
      <c r="D10" s="141" t="s">
        <v>241</v>
      </c>
    </row>
    <row r="11" spans="1:5" ht="15" customHeight="1">
      <c r="A11" s="136" t="s">
        <v>106</v>
      </c>
      <c r="B11" t="s">
        <v>85</v>
      </c>
      <c r="C11" t="s">
        <v>86</v>
      </c>
    </row>
    <row r="12" spans="1:5">
      <c r="A12" s="136" t="s">
        <v>104</v>
      </c>
    </row>
    <row r="13" spans="1:5">
      <c r="A13" s="136" t="s">
        <v>110</v>
      </c>
    </row>
    <row r="14" spans="1:5">
      <c r="A14" s="136" t="s">
        <v>202</v>
      </c>
    </row>
    <row r="15" spans="1:5">
      <c r="A15" s="136" t="s">
        <v>111</v>
      </c>
    </row>
    <row r="16" spans="1:5">
      <c r="A16" s="136" t="s">
        <v>108</v>
      </c>
    </row>
    <row r="17" spans="1:1">
      <c r="A17" s="136" t="s">
        <v>203</v>
      </c>
    </row>
    <row r="18" spans="1:1">
      <c r="A18" s="136" t="s">
        <v>232</v>
      </c>
    </row>
    <row r="19" spans="1:1">
      <c r="A19" s="136" t="s">
        <v>101</v>
      </c>
    </row>
    <row r="20" spans="1:1">
      <c r="A20" s="136" t="s">
        <v>105</v>
      </c>
    </row>
    <row r="21" spans="1:1">
      <c r="A21" s="136" t="s">
        <v>107</v>
      </c>
    </row>
    <row r="22" spans="1:1">
      <c r="A22" s="136" t="s">
        <v>109</v>
      </c>
    </row>
  </sheetData>
  <sheetProtection algorithmName="SHA-512" hashValue="cNZeFiYC5LDQ/pQ2aaxNR02HNA+HKRec1CVZ5mNu400lw3Iw7O0XbZJdRr9MgUKKxF59XPX8wyHkbEVOxEQrNg==" saltValue="gFJvoRGb/RMgVAtit34ExQ==" spinCount="100000" sheet="1" objects="1" scenarios="1"/>
  <sortState ref="A3:A19">
    <sortCondition ref="A3"/>
  </sortState>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5"/>
  <dimension ref="A1"/>
  <sheetViews>
    <sheetView workbookViewId="0"/>
  </sheetViews>
  <sheetFormatPr defaultColWidth="11" defaultRowHeight="15.5"/>
  <sheetData/>
  <pageMargins left="0.75" right="0.75" top="1" bottom="1" header="0.5" footer="0.5"/>
  <extLst>
    <ext xmlns:mx="http://schemas.microsoft.com/office/mac/excel/2008/main" uri="{64002731-A6B0-56B0-2670-7721B7C09600}">
      <mx:PLV Mode="0"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6"/>
  <dimension ref="A1"/>
  <sheetViews>
    <sheetView workbookViewId="0"/>
  </sheetViews>
  <sheetFormatPr defaultColWidth="11" defaultRowHeight="15.5"/>
  <sheetData/>
  <pageMargins left="0.75" right="0.75" top="1" bottom="1" header="0.5" footer="0.5"/>
  <extLst>
    <ext xmlns:mx="http://schemas.microsoft.com/office/mac/excel/2008/main" uri="{64002731-A6B0-56B0-2670-7721B7C09600}">
      <mx:PLV Mode="0"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7"/>
  <dimension ref="A1"/>
  <sheetViews>
    <sheetView workbookViewId="0"/>
  </sheetViews>
  <sheetFormatPr defaultColWidth="11" defaultRowHeight="15.5"/>
  <sheetData/>
  <pageMargins left="0.75" right="0.75" top="1" bottom="1" header="0.5" footer="0.5"/>
  <extLst>
    <ext xmlns:mx="http://schemas.microsoft.com/office/mac/excel/2008/main" uri="{64002731-A6B0-56B0-2670-7721B7C09600}">
      <mx:PLV Mode="0"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dimension ref="A1"/>
  <sheetViews>
    <sheetView workbookViewId="0">
      <selection activeCell="L14" sqref="A14:XFD14"/>
    </sheetView>
  </sheetViews>
  <sheetFormatPr defaultColWidth="11" defaultRowHeight="15.5"/>
  <sheetData/>
  <sheetProtection algorithmName="SHA-512" hashValue="KhlKsBxzUnX1yS0YvcTCKmKwmTarQ2kBGRe9/saTx9FdQ88lp1c96flIY0+ERHXTr6YUgJcgQXC+J1cUJ6hALg==" saltValue="77I/zx7ha3bk+KXBDqxXxA==" spinCount="100000" sheet="1" objects="1" scenarios="1"/>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9"/>
  <dimension ref="A1"/>
  <sheetViews>
    <sheetView workbookViewId="0">
      <selection activeCell="L14" sqref="A14:XFD14"/>
    </sheetView>
  </sheetViews>
  <sheetFormatPr defaultColWidth="11" defaultRowHeight="15.5"/>
  <sheetData/>
  <sheetProtection algorithmName="SHA-512" hashValue="pDTPcVXxL5Qq4kWocsq6zPI54Ve7I/iitnl9kbXN2ZEa7bwo6uwWupoFBlNG6B46s+OvsaFdzqYdQwi52AC4OQ==" saltValue="LsbNRfeqJEDQZu4NVhbyxA==" spinCount="100000" sheet="1" objects="1" scenarios="1"/>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3</vt:i4>
      </vt:variant>
    </vt:vector>
  </HeadingPairs>
  <TitlesOfParts>
    <vt:vector size="24" baseType="lpstr">
      <vt:lpstr>Template Guide</vt:lpstr>
      <vt:lpstr>Summary Schedule</vt:lpstr>
      <vt:lpstr>Annual Escalation Rates</vt:lpstr>
      <vt:lpstr>Sch1-Ann Cost Sav &amp; Pymts</vt:lpstr>
      <vt:lpstr>Sch1u-Ann Cost Sav &amp; Pymts</vt:lpstr>
      <vt:lpstr>Sch1ee-Ann Cost Sav &amp; Pymts</vt:lpstr>
      <vt:lpstr>Sch1esa-ESA Pymts</vt:lpstr>
      <vt:lpstr>Sch2a-Imp Price by ECM</vt:lpstr>
      <vt:lpstr>Sch2b-Project Imp Pricing</vt:lpstr>
      <vt:lpstr>Sch3-Perf Period Cash Flow</vt:lpstr>
      <vt:lpstr>Sch4-Cost Savings by ECM</vt:lpstr>
      <vt:lpstr>Sch4g-GHG</vt:lpstr>
      <vt:lpstr>Sch5-Cancellation Ceilings</vt:lpstr>
      <vt:lpstr>GHG Emissions</vt:lpstr>
      <vt:lpstr>eGRID subregion name</vt:lpstr>
      <vt:lpstr>ECM</vt:lpstr>
      <vt:lpstr>Scratch Sheet-1</vt:lpstr>
      <vt:lpstr>Scratch Sheet-2</vt:lpstr>
      <vt:lpstr>Scratch Sheet-3</vt:lpstr>
      <vt:lpstr>Scratch Sheet-4</vt:lpstr>
      <vt:lpstr>Scratch Sheet-5</vt:lpstr>
      <vt:lpstr>'Sch1-Ann Cost Sav &amp; Pymts'!ECM</vt:lpstr>
      <vt:lpstr>MnV</vt:lpstr>
      <vt:lpstr>PA</vt:lpstr>
    </vt:vector>
  </TitlesOfParts>
  <Manager/>
  <Company>LBNL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Shankar Earni</dc:creator>
  <cp:keywords/>
  <dc:description>4.2.9.n</dc:description>
  <cp:lastModifiedBy>Elizabeth Stuart</cp:lastModifiedBy>
  <cp:lastPrinted>2016-04-07T17:50:34Z</cp:lastPrinted>
  <dcterms:created xsi:type="dcterms:W3CDTF">2013-07-10T19:01:35Z</dcterms:created>
  <dcterms:modified xsi:type="dcterms:W3CDTF">2025-02-08T00:39:28Z</dcterms:modified>
  <cp:category>4.2.9.n, 02072025</cp:category>
</cp:coreProperties>
</file>