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showInkAnnotation="0" codeName="ThisWorkbook" hidePivotFieldList="1" checkCompatibility="1" autoCompressPictures="0"/>
  <mc:AlternateContent xmlns:mc="http://schemas.openxmlformats.org/markup-compatibility/2006">
    <mc:Choice Requires="x15">
      <x15ac:absPath xmlns:x15ac="http://schemas.microsoft.com/office/spreadsheetml/2010/11/ac" url="/Volumes/GoogleDrive/My Drive/eProjectBuilder/R&amp;D/Templates/3.015/"/>
    </mc:Choice>
  </mc:AlternateContent>
  <xr:revisionPtr revIDLastSave="0" documentId="13_ncr:1_{E3D73747-00C3-3B49-B701-1255F523D7FC}" xr6:coauthVersionLast="45" xr6:coauthVersionMax="45" xr10:uidLastSave="{00000000-0000-0000-0000-000000000000}"/>
  <bookViews>
    <workbookView xWindow="0" yWindow="460" windowWidth="25600" windowHeight="14500" tabRatio="924" xr2:uid="{00000000-000D-0000-FFFF-FFFF00000000}"/>
  </bookViews>
  <sheets>
    <sheet name="Template Guide" sheetId="24" r:id="rId1"/>
    <sheet name="Summary Schedule" sheetId="8" r:id="rId2"/>
    <sheet name="Annual Escalation Rates" sheetId="11" r:id="rId3"/>
    <sheet name="Sch1-Ann Cost Sav &amp; Pymts" sheetId="21" r:id="rId4"/>
    <sheet name="Sch1u-Ann Cost Sav &amp; Pymts-UESC" sheetId="23" r:id="rId5"/>
    <sheet name="Sch2a-Imp Price by ECM" sheetId="2" r:id="rId6"/>
    <sheet name="Sch2b-Project Imp Pricing" sheetId="19" r:id="rId7"/>
    <sheet name="Sch3-Perf Period Cash Flow" sheetId="3" r:id="rId8"/>
    <sheet name="Sch4-Cost Savings by ECM" sheetId="4" r:id="rId9"/>
    <sheet name="Sch5-Cancellation Ceilings" sheetId="5" r:id="rId10"/>
    <sheet name="ECM" sheetId="13" state="hidden" r:id="rId11"/>
    <sheet name="Scratch Sheet-1" sheetId="14" r:id="rId12"/>
    <sheet name="Scratch Sheet-2" sheetId="15" r:id="rId13"/>
    <sheet name="Scratch Sheet-3" sheetId="16" r:id="rId14"/>
    <sheet name="Scratch Sheet-4" sheetId="17" r:id="rId15"/>
    <sheet name="Scratch Sheet-5" sheetId="18" r:id="rId16"/>
  </sheets>
  <externalReferences>
    <externalReference r:id="rId17"/>
  </externalReferences>
  <definedNames>
    <definedName name="Area_to_Sort" localSheetId="1">#REF!</definedName>
    <definedName name="ECM" localSheetId="3">ECM!#REF!</definedName>
    <definedName name="ECM" localSheetId="4">ECM!#REF!</definedName>
    <definedName name="ECM" localSheetId="6">[1]ECM!#REF!</definedName>
    <definedName name="ECM" localSheetId="15">ECM!#REF!</definedName>
    <definedName name="ECM">ECM!#REF!</definedName>
    <definedName name="MnV">ECM!$D$2:$D$7</definedName>
    <definedName name="PA">ECM!$E$2:$E$5</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C19" i="3" l="1"/>
  <c r="A267" i="2" l="1"/>
  <c r="A264" i="2" l="1"/>
  <c r="A263" i="2"/>
  <c r="A47" i="8" l="1"/>
  <c r="V5" i="4" l="1"/>
  <c r="W5" i="4" s="1"/>
  <c r="T5" i="4"/>
  <c r="U5" i="4" s="1"/>
  <c r="A45" i="8" l="1"/>
  <c r="A263" i="4"/>
  <c r="A262" i="4"/>
  <c r="A26" i="3"/>
  <c r="F30" i="8" l="1"/>
  <c r="AE7" i="4"/>
  <c r="A27" i="3"/>
  <c r="A28" i="3"/>
  <c r="A264" i="4"/>
  <c r="AD36" i="4"/>
  <c r="AD37" i="4"/>
  <c r="AD38" i="4"/>
  <c r="B35" i="4"/>
  <c r="B36" i="4"/>
  <c r="B37" i="4"/>
  <c r="G36" i="8"/>
  <c r="AB21" i="3"/>
  <c r="AB23" i="3" s="1"/>
  <c r="AA21" i="3"/>
  <c r="AA23" i="3" s="1"/>
  <c r="Z21" i="3"/>
  <c r="Z23" i="3" s="1"/>
  <c r="Y21" i="3"/>
  <c r="Y23" i="3" s="1"/>
  <c r="X21" i="3"/>
  <c r="X23" i="3" s="1"/>
  <c r="W21" i="3"/>
  <c r="W23" i="3" s="1"/>
  <c r="V21" i="3"/>
  <c r="V23" i="3" s="1"/>
  <c r="U21" i="3"/>
  <c r="U23" i="3" s="1"/>
  <c r="T21" i="3"/>
  <c r="T23" i="3" s="1"/>
  <c r="S21" i="3"/>
  <c r="S23" i="3" s="1"/>
  <c r="R21" i="3"/>
  <c r="R23" i="3" s="1"/>
  <c r="Q21" i="3"/>
  <c r="Q23" i="3" s="1"/>
  <c r="P21" i="3"/>
  <c r="P23" i="3" s="1"/>
  <c r="O21" i="3"/>
  <c r="O23" i="3" s="1"/>
  <c r="N21" i="3"/>
  <c r="N23" i="3" s="1"/>
  <c r="M21" i="3"/>
  <c r="M23" i="3" s="1"/>
  <c r="L21" i="3"/>
  <c r="L23" i="3" s="1"/>
  <c r="K21" i="3"/>
  <c r="K23" i="3" s="1"/>
  <c r="J21" i="3"/>
  <c r="J23" i="3" s="1"/>
  <c r="I21" i="3"/>
  <c r="I23" i="3" s="1"/>
  <c r="H21" i="3"/>
  <c r="H23" i="3" s="1"/>
  <c r="G21" i="3"/>
  <c r="G23" i="3" s="1"/>
  <c r="F21" i="3"/>
  <c r="F23" i="3" s="1"/>
  <c r="E21" i="3"/>
  <c r="E23" i="3" s="1"/>
  <c r="D21" i="3"/>
  <c r="D23" i="3" s="1"/>
  <c r="B23" i="3"/>
  <c r="AC20" i="3"/>
  <c r="AC18" i="3"/>
  <c r="AC5" i="3"/>
  <c r="AC9" i="3" s="1"/>
  <c r="AB9" i="3"/>
  <c r="AA9" i="3"/>
  <c r="Z9" i="3"/>
  <c r="Y9" i="3"/>
  <c r="X9" i="3"/>
  <c r="W9" i="3"/>
  <c r="V9" i="3"/>
  <c r="U9" i="3"/>
  <c r="T9" i="3"/>
  <c r="S9" i="3"/>
  <c r="R9" i="3"/>
  <c r="Q9" i="3"/>
  <c r="P9" i="3"/>
  <c r="O9" i="3"/>
  <c r="N9" i="3"/>
  <c r="M9" i="3"/>
  <c r="L9" i="3"/>
  <c r="K9" i="3"/>
  <c r="J9" i="3"/>
  <c r="I9" i="3"/>
  <c r="H9" i="3"/>
  <c r="G9" i="3"/>
  <c r="F9" i="3"/>
  <c r="E9" i="3"/>
  <c r="D9" i="3"/>
  <c r="B9" i="3"/>
  <c r="B8" i="3"/>
  <c r="B6" i="3"/>
  <c r="B5" i="3"/>
  <c r="A5" i="3"/>
  <c r="C5" i="4"/>
  <c r="B20" i="3"/>
  <c r="B19" i="3"/>
  <c r="B18" i="3"/>
  <c r="B15" i="3"/>
  <c r="A266" i="2"/>
  <c r="A265" i="2"/>
  <c r="A262" i="2"/>
  <c r="A8" i="2"/>
  <c r="B7" i="4" s="1"/>
  <c r="I6" i="2"/>
  <c r="H6" i="2"/>
  <c r="G4" i="2"/>
  <c r="A50" i="8"/>
  <c r="A49" i="8"/>
  <c r="A48" i="8"/>
  <c r="A46" i="8"/>
  <c r="G39" i="8"/>
  <c r="F39" i="8"/>
  <c r="B38" i="8"/>
  <c r="G38" i="8"/>
  <c r="F38" i="8"/>
  <c r="G37" i="8"/>
  <c r="B36" i="8"/>
  <c r="B35" i="8"/>
  <c r="B34" i="8"/>
  <c r="B33" i="8"/>
  <c r="F32" i="8"/>
  <c r="F31" i="8"/>
  <c r="B31" i="8"/>
  <c r="G26" i="8"/>
  <c r="G29" i="8"/>
  <c r="C30" i="8"/>
  <c r="B30" i="8"/>
  <c r="F29" i="8"/>
  <c r="B29" i="8"/>
  <c r="F28" i="8"/>
  <c r="B28" i="8"/>
  <c r="F27" i="8"/>
  <c r="B27" i="8"/>
  <c r="F26" i="8"/>
  <c r="B26" i="8"/>
  <c r="F25" i="8"/>
  <c r="B25" i="8"/>
  <c r="A25" i="8"/>
  <c r="B11" i="8"/>
  <c r="B10" i="8"/>
  <c r="B9" i="8"/>
  <c r="B7" i="8"/>
  <c r="X8" i="4"/>
  <c r="R258" i="4"/>
  <c r="X258" i="4"/>
  <c r="Y8" i="4"/>
  <c r="S258" i="4"/>
  <c r="Y258" i="4"/>
  <c r="N258" i="4"/>
  <c r="X252" i="4"/>
  <c r="U258" i="4"/>
  <c r="A41" i="5"/>
  <c r="A40" i="5"/>
  <c r="O258" i="4"/>
  <c r="Q258" i="4"/>
  <c r="W258" i="4"/>
  <c r="AA258" i="4"/>
  <c r="AB258" i="4"/>
  <c r="AC258" i="4"/>
  <c r="K9" i="2"/>
  <c r="K10" i="2"/>
  <c r="K11" i="2"/>
  <c r="K12" i="2"/>
  <c r="K13" i="2"/>
  <c r="K14" i="2"/>
  <c r="K259" i="2"/>
  <c r="AE258" i="4"/>
  <c r="J259" i="2"/>
  <c r="F18" i="19"/>
  <c r="F17" i="19"/>
  <c r="F8" i="19"/>
  <c r="F16" i="19"/>
  <c r="H259" i="2"/>
  <c r="G259" i="2"/>
  <c r="Z258" i="4"/>
  <c r="V258" i="4"/>
  <c r="P258" i="4"/>
  <c r="L258" i="4"/>
  <c r="K258" i="4"/>
  <c r="J258" i="4"/>
  <c r="I258" i="4"/>
  <c r="H258" i="4"/>
  <c r="G258" i="4"/>
  <c r="F258" i="4"/>
  <c r="E258" i="4"/>
  <c r="D258" i="4"/>
  <c r="A271" i="2"/>
  <c r="A32" i="3" s="1"/>
  <c r="A269" i="4" s="1"/>
  <c r="A270" i="2"/>
  <c r="A29" i="19" s="1"/>
  <c r="T258" i="4"/>
  <c r="I259" i="2"/>
  <c r="B8" i="4"/>
  <c r="AE10" i="4"/>
  <c r="AE9" i="4"/>
  <c r="AE11" i="4"/>
  <c r="Y9" i="4"/>
  <c r="AD9" i="4"/>
  <c r="Y10" i="4"/>
  <c r="AD10" i="4"/>
  <c r="Y11" i="4"/>
  <c r="AD11" i="4"/>
  <c r="Y12" i="4"/>
  <c r="AD12" i="4"/>
  <c r="Y13" i="4"/>
  <c r="AD13" i="4"/>
  <c r="X10" i="4"/>
  <c r="B10" i="4"/>
  <c r="B9" i="4"/>
  <c r="A10" i="4"/>
  <c r="A47" i="23"/>
  <c r="A37" i="11"/>
  <c r="A46" i="23" s="1"/>
  <c r="A49" i="21"/>
  <c r="AG8" i="4"/>
  <c r="AG9"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AG201" i="4"/>
  <c r="AG202" i="4"/>
  <c r="AG203" i="4"/>
  <c r="AG204" i="4"/>
  <c r="AG205" i="4"/>
  <c r="AG206" i="4"/>
  <c r="AG207" i="4"/>
  <c r="AG208" i="4"/>
  <c r="AG209" i="4"/>
  <c r="AG210" i="4"/>
  <c r="AG211" i="4"/>
  <c r="AG212" i="4"/>
  <c r="AG213" i="4"/>
  <c r="AG214" i="4"/>
  <c r="AG215" i="4"/>
  <c r="AG216" i="4"/>
  <c r="AG217" i="4"/>
  <c r="AG218" i="4"/>
  <c r="AG219" i="4"/>
  <c r="AG220" i="4"/>
  <c r="AG221" i="4"/>
  <c r="AG222" i="4"/>
  <c r="AG223" i="4"/>
  <c r="AG224" i="4"/>
  <c r="AG225" i="4"/>
  <c r="AG226" i="4"/>
  <c r="AG227" i="4"/>
  <c r="AG228" i="4"/>
  <c r="AG229" i="4"/>
  <c r="AG230" i="4"/>
  <c r="AG231" i="4"/>
  <c r="AG232" i="4"/>
  <c r="AG233" i="4"/>
  <c r="AG234" i="4"/>
  <c r="AG235" i="4"/>
  <c r="AG236" i="4"/>
  <c r="AG237" i="4"/>
  <c r="AG238" i="4"/>
  <c r="AG239" i="4"/>
  <c r="AG240" i="4"/>
  <c r="AG241" i="4"/>
  <c r="AG242" i="4"/>
  <c r="AG243" i="4"/>
  <c r="AG244" i="4"/>
  <c r="AG245" i="4"/>
  <c r="AG246" i="4"/>
  <c r="AG247" i="4"/>
  <c r="AG248" i="4"/>
  <c r="AG249" i="4"/>
  <c r="AG250" i="4"/>
  <c r="AG251" i="4"/>
  <c r="AG252" i="4"/>
  <c r="AG253" i="4"/>
  <c r="AG254" i="4"/>
  <c r="AG255" i="4"/>
  <c r="AG256" i="4"/>
  <c r="AG257" i="4"/>
  <c r="K15" i="2"/>
  <c r="K16" i="2"/>
  <c r="K17" i="2"/>
  <c r="K18" i="2"/>
  <c r="K19" i="2"/>
  <c r="K20" i="2"/>
  <c r="AE19" i="4"/>
  <c r="K21" i="2"/>
  <c r="K22" i="2"/>
  <c r="K23" i="2"/>
  <c r="K24" i="2"/>
  <c r="K25" i="2"/>
  <c r="K26" i="2"/>
  <c r="K27" i="2"/>
  <c r="K28" i="2"/>
  <c r="AE27" i="4"/>
  <c r="K29" i="2"/>
  <c r="K30" i="2"/>
  <c r="K31" i="2"/>
  <c r="K32" i="2"/>
  <c r="K33" i="2"/>
  <c r="K34" i="2"/>
  <c r="K35" i="2"/>
  <c r="K36" i="2"/>
  <c r="AE35" i="4"/>
  <c r="K37" i="2"/>
  <c r="K38" i="2"/>
  <c r="K39" i="2"/>
  <c r="K40" i="2"/>
  <c r="K41" i="2"/>
  <c r="K42" i="2"/>
  <c r="K43" i="2"/>
  <c r="K44" i="2"/>
  <c r="AE43" i="4"/>
  <c r="K45" i="2"/>
  <c r="K46" i="2"/>
  <c r="K47" i="2"/>
  <c r="K48" i="2"/>
  <c r="K49" i="2"/>
  <c r="K50" i="2"/>
  <c r="K51" i="2"/>
  <c r="K52" i="2"/>
  <c r="AE51" i="4"/>
  <c r="K53" i="2"/>
  <c r="K54" i="2"/>
  <c r="K55" i="2"/>
  <c r="K56" i="2"/>
  <c r="K57" i="2"/>
  <c r="K58" i="2"/>
  <c r="K59" i="2"/>
  <c r="K60" i="2"/>
  <c r="AE59" i="4"/>
  <c r="K61" i="2"/>
  <c r="K62" i="2"/>
  <c r="K63" i="2"/>
  <c r="K64" i="2"/>
  <c r="K65" i="2"/>
  <c r="K66" i="2"/>
  <c r="K67" i="2"/>
  <c r="K68" i="2"/>
  <c r="AE67" i="4"/>
  <c r="K69" i="2"/>
  <c r="K70" i="2"/>
  <c r="K71" i="2"/>
  <c r="K72" i="2"/>
  <c r="K73" i="2"/>
  <c r="K74" i="2"/>
  <c r="K75" i="2"/>
  <c r="K76" i="2"/>
  <c r="AE75" i="4"/>
  <c r="K77" i="2"/>
  <c r="K78" i="2"/>
  <c r="K79" i="2"/>
  <c r="K80" i="2"/>
  <c r="K81" i="2"/>
  <c r="K82" i="2"/>
  <c r="K83" i="2"/>
  <c r="K84" i="2"/>
  <c r="AE83" i="4"/>
  <c r="K85" i="2"/>
  <c r="K86" i="2"/>
  <c r="K87" i="2"/>
  <c r="K88" i="2"/>
  <c r="K89" i="2"/>
  <c r="K90" i="2"/>
  <c r="K91" i="2"/>
  <c r="K92" i="2"/>
  <c r="AE91" i="4"/>
  <c r="K93" i="2"/>
  <c r="K94" i="2"/>
  <c r="K95" i="2"/>
  <c r="K96" i="2"/>
  <c r="K97" i="2"/>
  <c r="K98" i="2"/>
  <c r="K99" i="2"/>
  <c r="K100" i="2"/>
  <c r="AE99" i="4"/>
  <c r="K101" i="2"/>
  <c r="K102" i="2"/>
  <c r="K103" i="2"/>
  <c r="K104" i="2"/>
  <c r="K105" i="2"/>
  <c r="K106" i="2"/>
  <c r="K107" i="2"/>
  <c r="K108" i="2"/>
  <c r="AE107" i="4"/>
  <c r="K109" i="2"/>
  <c r="K110" i="2"/>
  <c r="K111" i="2"/>
  <c r="K112" i="2"/>
  <c r="K113" i="2"/>
  <c r="K114" i="2"/>
  <c r="K115" i="2"/>
  <c r="K116" i="2"/>
  <c r="AE115" i="4"/>
  <c r="K117" i="2"/>
  <c r="K118" i="2"/>
  <c r="K119" i="2"/>
  <c r="K120" i="2"/>
  <c r="K121" i="2"/>
  <c r="K122" i="2"/>
  <c r="K123" i="2"/>
  <c r="K124" i="2"/>
  <c r="AE123" i="4"/>
  <c r="K125" i="2"/>
  <c r="K126" i="2"/>
  <c r="K127" i="2"/>
  <c r="K128" i="2"/>
  <c r="K129" i="2"/>
  <c r="K130" i="2"/>
  <c r="K131" i="2"/>
  <c r="K132" i="2"/>
  <c r="AE131" i="4"/>
  <c r="K133" i="2"/>
  <c r="K134" i="2"/>
  <c r="K135" i="2"/>
  <c r="K136" i="2"/>
  <c r="K137" i="2"/>
  <c r="K138" i="2"/>
  <c r="K139" i="2"/>
  <c r="K140" i="2"/>
  <c r="AE139" i="4"/>
  <c r="K141" i="2"/>
  <c r="K142" i="2"/>
  <c r="K143" i="2"/>
  <c r="K144" i="2"/>
  <c r="K145" i="2"/>
  <c r="K146" i="2"/>
  <c r="K147" i="2"/>
  <c r="K148" i="2"/>
  <c r="AE147" i="4"/>
  <c r="K149" i="2"/>
  <c r="K150" i="2"/>
  <c r="K151" i="2"/>
  <c r="K152" i="2"/>
  <c r="K153" i="2"/>
  <c r="K154" i="2"/>
  <c r="K155" i="2"/>
  <c r="K156" i="2"/>
  <c r="AE155" i="4"/>
  <c r="K157" i="2"/>
  <c r="K158" i="2"/>
  <c r="K159" i="2"/>
  <c r="K160" i="2"/>
  <c r="K161" i="2"/>
  <c r="K162" i="2"/>
  <c r="K163" i="2"/>
  <c r="K164" i="2"/>
  <c r="AE163" i="4"/>
  <c r="K165" i="2"/>
  <c r="K166" i="2"/>
  <c r="K167" i="2"/>
  <c r="K168" i="2"/>
  <c r="K169" i="2"/>
  <c r="K170" i="2"/>
  <c r="K171" i="2"/>
  <c r="K172" i="2"/>
  <c r="AE171" i="4"/>
  <c r="K173" i="2"/>
  <c r="K174" i="2"/>
  <c r="K175" i="2"/>
  <c r="K176" i="2"/>
  <c r="K177" i="2"/>
  <c r="K178" i="2"/>
  <c r="K179" i="2"/>
  <c r="K180" i="2"/>
  <c r="AE179" i="4"/>
  <c r="K181" i="2"/>
  <c r="K182" i="2"/>
  <c r="K183" i="2"/>
  <c r="K184" i="2"/>
  <c r="K185" i="2"/>
  <c r="K186" i="2"/>
  <c r="K187" i="2"/>
  <c r="K188" i="2"/>
  <c r="AE187" i="4"/>
  <c r="K189" i="2"/>
  <c r="K190" i="2"/>
  <c r="K191" i="2"/>
  <c r="K192" i="2"/>
  <c r="K193" i="2"/>
  <c r="K194" i="2"/>
  <c r="K195" i="2"/>
  <c r="K196" i="2"/>
  <c r="AE195" i="4"/>
  <c r="K197" i="2"/>
  <c r="K198" i="2"/>
  <c r="K199" i="2"/>
  <c r="K200" i="2"/>
  <c r="K201" i="2"/>
  <c r="K202" i="2"/>
  <c r="K203" i="2"/>
  <c r="K204" i="2"/>
  <c r="AE203" i="4"/>
  <c r="K205" i="2"/>
  <c r="K206" i="2"/>
  <c r="K207" i="2"/>
  <c r="K208" i="2"/>
  <c r="K209" i="2"/>
  <c r="K210" i="2"/>
  <c r="K211" i="2"/>
  <c r="K212" i="2"/>
  <c r="AE211" i="4"/>
  <c r="K213" i="2"/>
  <c r="K214" i="2"/>
  <c r="K215" i="2"/>
  <c r="K216" i="2"/>
  <c r="K217" i="2"/>
  <c r="K218" i="2"/>
  <c r="K219" i="2"/>
  <c r="K220" i="2"/>
  <c r="AE219" i="4"/>
  <c r="K221" i="2"/>
  <c r="K222" i="2"/>
  <c r="K223" i="2"/>
  <c r="K224" i="2"/>
  <c r="K225" i="2"/>
  <c r="K226" i="2"/>
  <c r="K227" i="2"/>
  <c r="K228" i="2"/>
  <c r="AE227" i="4"/>
  <c r="K229" i="2"/>
  <c r="K230" i="2"/>
  <c r="K231" i="2"/>
  <c r="K232" i="2"/>
  <c r="K233" i="2"/>
  <c r="K234" i="2"/>
  <c r="K235" i="2"/>
  <c r="K236" i="2"/>
  <c r="AE235" i="4"/>
  <c r="K237" i="2"/>
  <c r="K238" i="2"/>
  <c r="K239" i="2"/>
  <c r="K240" i="2"/>
  <c r="K241" i="2"/>
  <c r="K242" i="2"/>
  <c r="K243" i="2"/>
  <c r="K244" i="2"/>
  <c r="AE243" i="4"/>
  <c r="K245" i="2"/>
  <c r="K246" i="2"/>
  <c r="K247" i="2"/>
  <c r="K248" i="2"/>
  <c r="K249" i="2"/>
  <c r="K250" i="2"/>
  <c r="K251" i="2"/>
  <c r="K252" i="2"/>
  <c r="AE251" i="4"/>
  <c r="K253" i="2"/>
  <c r="K254" i="2"/>
  <c r="K255" i="2"/>
  <c r="K256" i="2"/>
  <c r="K257" i="2"/>
  <c r="K258" i="2"/>
  <c r="A38" i="11"/>
  <c r="AE12" i="4"/>
  <c r="AE13" i="4"/>
  <c r="AE14" i="4"/>
  <c r="AE15" i="4"/>
  <c r="AE16" i="4"/>
  <c r="AE17" i="4"/>
  <c r="AE18" i="4"/>
  <c r="AE20" i="4"/>
  <c r="AE21" i="4"/>
  <c r="AE22" i="4"/>
  <c r="AE23" i="4"/>
  <c r="AE24" i="4"/>
  <c r="AE25" i="4"/>
  <c r="AE26" i="4"/>
  <c r="AE28" i="4"/>
  <c r="AE29" i="4"/>
  <c r="AE30" i="4"/>
  <c r="AE31" i="4"/>
  <c r="AE32" i="4"/>
  <c r="AE33" i="4"/>
  <c r="AE34" i="4"/>
  <c r="AE36" i="4"/>
  <c r="AE37" i="4"/>
  <c r="AE38" i="4"/>
  <c r="AE39" i="4"/>
  <c r="AE40" i="4"/>
  <c r="AE41" i="4"/>
  <c r="AE42" i="4"/>
  <c r="AE44" i="4"/>
  <c r="AE45" i="4"/>
  <c r="AE46" i="4"/>
  <c r="AE47" i="4"/>
  <c r="AE48" i="4"/>
  <c r="AE49" i="4"/>
  <c r="AE50" i="4"/>
  <c r="AE52" i="4"/>
  <c r="AE53" i="4"/>
  <c r="AE54" i="4"/>
  <c r="AE55" i="4"/>
  <c r="AE56" i="4"/>
  <c r="AE57" i="4"/>
  <c r="AE58" i="4"/>
  <c r="AE60" i="4"/>
  <c r="AE61" i="4"/>
  <c r="AE62" i="4"/>
  <c r="AE63" i="4"/>
  <c r="AE64" i="4"/>
  <c r="AE65" i="4"/>
  <c r="AE66" i="4"/>
  <c r="AE68" i="4"/>
  <c r="AE69" i="4"/>
  <c r="AE70" i="4"/>
  <c r="AE71" i="4"/>
  <c r="AE72" i="4"/>
  <c r="AE73" i="4"/>
  <c r="AE74" i="4"/>
  <c r="AE76" i="4"/>
  <c r="AE77" i="4"/>
  <c r="AE78" i="4"/>
  <c r="AE79" i="4"/>
  <c r="AE80" i="4"/>
  <c r="AE81" i="4"/>
  <c r="AE82" i="4"/>
  <c r="AE84" i="4"/>
  <c r="AE85" i="4"/>
  <c r="AE86" i="4"/>
  <c r="AE87" i="4"/>
  <c r="AE88" i="4"/>
  <c r="AE89" i="4"/>
  <c r="AE90" i="4"/>
  <c r="AE92" i="4"/>
  <c r="AE93" i="4"/>
  <c r="AE94" i="4"/>
  <c r="AE95" i="4"/>
  <c r="AE96" i="4"/>
  <c r="AE97" i="4"/>
  <c r="AE98" i="4"/>
  <c r="AE100" i="4"/>
  <c r="AE101" i="4"/>
  <c r="AE102" i="4"/>
  <c r="AE103" i="4"/>
  <c r="AE104" i="4"/>
  <c r="AE105" i="4"/>
  <c r="AE106" i="4"/>
  <c r="AE108" i="4"/>
  <c r="AE109" i="4"/>
  <c r="AE110" i="4"/>
  <c r="AE111" i="4"/>
  <c r="AE112" i="4"/>
  <c r="AE113" i="4"/>
  <c r="AE114" i="4"/>
  <c r="AE116" i="4"/>
  <c r="AE117" i="4"/>
  <c r="AE118" i="4"/>
  <c r="AE119" i="4"/>
  <c r="AE120" i="4"/>
  <c r="AE121" i="4"/>
  <c r="AE122" i="4"/>
  <c r="AE124" i="4"/>
  <c r="AE125" i="4"/>
  <c r="AE126" i="4"/>
  <c r="AE127" i="4"/>
  <c r="AE128" i="4"/>
  <c r="AE129" i="4"/>
  <c r="AE130" i="4"/>
  <c r="AE132" i="4"/>
  <c r="AE133" i="4"/>
  <c r="AE134" i="4"/>
  <c r="AE135" i="4"/>
  <c r="AE136" i="4"/>
  <c r="AE137" i="4"/>
  <c r="AE138" i="4"/>
  <c r="AE140" i="4"/>
  <c r="AE141" i="4"/>
  <c r="AE142" i="4"/>
  <c r="AE143" i="4"/>
  <c r="AE144" i="4"/>
  <c r="AE145" i="4"/>
  <c r="AE146" i="4"/>
  <c r="AE148" i="4"/>
  <c r="AE149" i="4"/>
  <c r="AE150" i="4"/>
  <c r="AE151" i="4"/>
  <c r="AE152" i="4"/>
  <c r="AE153" i="4"/>
  <c r="AE154" i="4"/>
  <c r="AE156" i="4"/>
  <c r="AE157" i="4"/>
  <c r="AE158" i="4"/>
  <c r="AE159" i="4"/>
  <c r="AE160" i="4"/>
  <c r="AE161" i="4"/>
  <c r="AE162" i="4"/>
  <c r="AE164" i="4"/>
  <c r="AE165" i="4"/>
  <c r="AE166" i="4"/>
  <c r="AE167" i="4"/>
  <c r="AE168" i="4"/>
  <c r="AE169" i="4"/>
  <c r="AE170" i="4"/>
  <c r="AE172" i="4"/>
  <c r="AE173" i="4"/>
  <c r="AE174" i="4"/>
  <c r="AE175" i="4"/>
  <c r="AE176" i="4"/>
  <c r="AE177" i="4"/>
  <c r="AE178" i="4"/>
  <c r="AE180" i="4"/>
  <c r="AE181" i="4"/>
  <c r="AE182" i="4"/>
  <c r="AE183" i="4"/>
  <c r="AE184" i="4"/>
  <c r="AE185" i="4"/>
  <c r="AE186" i="4"/>
  <c r="AE188" i="4"/>
  <c r="AE189" i="4"/>
  <c r="AE190" i="4"/>
  <c r="AE191" i="4"/>
  <c r="AE192" i="4"/>
  <c r="AE193" i="4"/>
  <c r="AE194" i="4"/>
  <c r="AE196" i="4"/>
  <c r="AE197" i="4"/>
  <c r="AE198" i="4"/>
  <c r="AE199" i="4"/>
  <c r="AE200" i="4"/>
  <c r="AE201" i="4"/>
  <c r="AE202" i="4"/>
  <c r="AE204" i="4"/>
  <c r="AE205" i="4"/>
  <c r="AE206" i="4"/>
  <c r="AE207" i="4"/>
  <c r="AE208" i="4"/>
  <c r="AE209" i="4"/>
  <c r="AE210" i="4"/>
  <c r="AE212" i="4"/>
  <c r="AE213" i="4"/>
  <c r="AE214" i="4"/>
  <c r="AE215" i="4"/>
  <c r="AE216" i="4"/>
  <c r="AE217" i="4"/>
  <c r="AE218" i="4"/>
  <c r="AE220" i="4"/>
  <c r="AE221" i="4"/>
  <c r="AE222" i="4"/>
  <c r="AE223" i="4"/>
  <c r="AE224" i="4"/>
  <c r="AE225" i="4"/>
  <c r="AE226" i="4"/>
  <c r="AE228" i="4"/>
  <c r="AE229" i="4"/>
  <c r="AE230" i="4"/>
  <c r="AE231" i="4"/>
  <c r="AE232" i="4"/>
  <c r="AE233" i="4"/>
  <c r="AE234" i="4"/>
  <c r="AE236" i="4"/>
  <c r="AE237" i="4"/>
  <c r="AE238" i="4"/>
  <c r="AE239" i="4"/>
  <c r="AE240" i="4"/>
  <c r="AE241" i="4"/>
  <c r="AE242" i="4"/>
  <c r="AE244" i="4"/>
  <c r="AE245" i="4"/>
  <c r="AE246" i="4"/>
  <c r="AE247" i="4"/>
  <c r="AE248" i="4"/>
  <c r="AE249" i="4"/>
  <c r="AE250" i="4"/>
  <c r="AE252" i="4"/>
  <c r="AE253" i="4"/>
  <c r="AE254" i="4"/>
  <c r="AE255" i="4"/>
  <c r="AE256" i="4"/>
  <c r="AE257"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A36" i="4"/>
  <c r="A37" i="4"/>
  <c r="A38" i="4"/>
  <c r="B38" i="4"/>
  <c r="A39" i="4"/>
  <c r="B39" i="4"/>
  <c r="A40" i="4"/>
  <c r="B40" i="4"/>
  <c r="A41" i="4"/>
  <c r="B41" i="4"/>
  <c r="A42" i="4"/>
  <c r="B42" i="4"/>
  <c r="A43" i="4"/>
  <c r="B43" i="4"/>
  <c r="A44" i="4"/>
  <c r="B44" i="4"/>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78" i="4"/>
  <c r="B78" i="4"/>
  <c r="A79" i="4"/>
  <c r="B79" i="4"/>
  <c r="A80" i="4"/>
  <c r="B80" i="4"/>
  <c r="A81" i="4"/>
  <c r="B81" i="4"/>
  <c r="A82" i="4"/>
  <c r="B82" i="4"/>
  <c r="A83" i="4"/>
  <c r="B83" i="4"/>
  <c r="A84" i="4"/>
  <c r="B84" i="4"/>
  <c r="A85" i="4"/>
  <c r="B85" i="4"/>
  <c r="A86" i="4"/>
  <c r="B86" i="4"/>
  <c r="A87" i="4"/>
  <c r="B87" i="4"/>
  <c r="A88" i="4"/>
  <c r="B88" i="4"/>
  <c r="A89" i="4"/>
  <c r="B89" i="4"/>
  <c r="A90" i="4"/>
  <c r="B90" i="4"/>
  <c r="A91" i="4"/>
  <c r="B91" i="4"/>
  <c r="A92" i="4"/>
  <c r="B92" i="4"/>
  <c r="A93" i="4"/>
  <c r="B93" i="4"/>
  <c r="A94" i="4"/>
  <c r="B94" i="4"/>
  <c r="A95" i="4"/>
  <c r="B95" i="4"/>
  <c r="A96" i="4"/>
  <c r="B96" i="4"/>
  <c r="A97" i="4"/>
  <c r="B97" i="4"/>
  <c r="A98" i="4"/>
  <c r="B98" i="4"/>
  <c r="A99" i="4"/>
  <c r="B99" i="4"/>
  <c r="A100" i="4"/>
  <c r="B100" i="4"/>
  <c r="A101" i="4"/>
  <c r="B101" i="4"/>
  <c r="A102" i="4"/>
  <c r="B102" i="4"/>
  <c r="A103" i="4"/>
  <c r="B103" i="4"/>
  <c r="A104" i="4"/>
  <c r="B104" i="4"/>
  <c r="A105" i="4"/>
  <c r="B105" i="4"/>
  <c r="A106" i="4"/>
  <c r="B106" i="4"/>
  <c r="A107" i="4"/>
  <c r="B107" i="4"/>
  <c r="A108" i="4"/>
  <c r="B108" i="4"/>
  <c r="A109" i="4"/>
  <c r="B109" i="4"/>
  <c r="A110" i="4"/>
  <c r="B110" i="4"/>
  <c r="A111" i="4"/>
  <c r="B111" i="4"/>
  <c r="A112" i="4"/>
  <c r="B112" i="4"/>
  <c r="A113" i="4"/>
  <c r="B113" i="4"/>
  <c r="A114" i="4"/>
  <c r="B114" i="4"/>
  <c r="A115" i="4"/>
  <c r="B115" i="4"/>
  <c r="A116" i="4"/>
  <c r="B116" i="4"/>
  <c r="A117" i="4"/>
  <c r="B117" i="4"/>
  <c r="A118" i="4"/>
  <c r="B118" i="4"/>
  <c r="A119" i="4"/>
  <c r="B119" i="4"/>
  <c r="A120" i="4"/>
  <c r="B120" i="4"/>
  <c r="A121" i="4"/>
  <c r="B121" i="4"/>
  <c r="A122" i="4"/>
  <c r="B122" i="4"/>
  <c r="A123" i="4"/>
  <c r="B123" i="4"/>
  <c r="A124" i="4"/>
  <c r="B124" i="4"/>
  <c r="A125" i="4"/>
  <c r="B125" i="4"/>
  <c r="A126" i="4"/>
  <c r="B126" i="4"/>
  <c r="A127" i="4"/>
  <c r="B127" i="4"/>
  <c r="A128" i="4"/>
  <c r="B128" i="4"/>
  <c r="A129" i="4"/>
  <c r="B129" i="4"/>
  <c r="A130" i="4"/>
  <c r="B130" i="4"/>
  <c r="A131" i="4"/>
  <c r="B131" i="4"/>
  <c r="A132" i="4"/>
  <c r="B132" i="4"/>
  <c r="A133" i="4"/>
  <c r="B133" i="4"/>
  <c r="A134" i="4"/>
  <c r="B134" i="4"/>
  <c r="A135" i="4"/>
  <c r="B135" i="4"/>
  <c r="A136" i="4"/>
  <c r="B136" i="4"/>
  <c r="A137" i="4"/>
  <c r="B137" i="4"/>
  <c r="A138" i="4"/>
  <c r="B138" i="4"/>
  <c r="A139" i="4"/>
  <c r="B139" i="4"/>
  <c r="A140" i="4"/>
  <c r="B140" i="4"/>
  <c r="A141" i="4"/>
  <c r="B141" i="4"/>
  <c r="A142" i="4"/>
  <c r="B142" i="4"/>
  <c r="A143" i="4"/>
  <c r="B143" i="4"/>
  <c r="A144" i="4"/>
  <c r="B144" i="4"/>
  <c r="A145" i="4"/>
  <c r="B145" i="4"/>
  <c r="A146" i="4"/>
  <c r="B146" i="4"/>
  <c r="A147" i="4"/>
  <c r="B147" i="4"/>
  <c r="A148" i="4"/>
  <c r="B148" i="4"/>
  <c r="A149" i="4"/>
  <c r="B149" i="4"/>
  <c r="A150" i="4"/>
  <c r="B150" i="4"/>
  <c r="A151" i="4"/>
  <c r="B151" i="4"/>
  <c r="A152" i="4"/>
  <c r="B152" i="4"/>
  <c r="A153" i="4"/>
  <c r="B153" i="4"/>
  <c r="A154" i="4"/>
  <c r="B154" i="4"/>
  <c r="A155" i="4"/>
  <c r="B155" i="4"/>
  <c r="A156" i="4"/>
  <c r="B156" i="4"/>
  <c r="A157" i="4"/>
  <c r="B157" i="4"/>
  <c r="A158" i="4"/>
  <c r="B158" i="4"/>
  <c r="A159" i="4"/>
  <c r="B159" i="4"/>
  <c r="A160" i="4"/>
  <c r="B160" i="4"/>
  <c r="A161" i="4"/>
  <c r="B161" i="4"/>
  <c r="A162" i="4"/>
  <c r="B162" i="4"/>
  <c r="A163" i="4"/>
  <c r="B163" i="4"/>
  <c r="A164" i="4"/>
  <c r="B164" i="4"/>
  <c r="A165" i="4"/>
  <c r="B165" i="4"/>
  <c r="A166" i="4"/>
  <c r="B166" i="4"/>
  <c r="A167" i="4"/>
  <c r="B167" i="4"/>
  <c r="A168" i="4"/>
  <c r="B168" i="4"/>
  <c r="A169" i="4"/>
  <c r="B169" i="4"/>
  <c r="A170" i="4"/>
  <c r="B170" i="4"/>
  <c r="A171" i="4"/>
  <c r="B171" i="4"/>
  <c r="A172" i="4"/>
  <c r="B172" i="4"/>
  <c r="A173" i="4"/>
  <c r="B173" i="4"/>
  <c r="A174" i="4"/>
  <c r="B174" i="4"/>
  <c r="A175" i="4"/>
  <c r="B175" i="4"/>
  <c r="A176" i="4"/>
  <c r="B176" i="4"/>
  <c r="A177" i="4"/>
  <c r="B177" i="4"/>
  <c r="A178" i="4"/>
  <c r="B178" i="4"/>
  <c r="A179" i="4"/>
  <c r="B179" i="4"/>
  <c r="A180" i="4"/>
  <c r="B180" i="4"/>
  <c r="A181" i="4"/>
  <c r="B181" i="4"/>
  <c r="A182" i="4"/>
  <c r="B182" i="4"/>
  <c r="A183" i="4"/>
  <c r="B183" i="4"/>
  <c r="A184" i="4"/>
  <c r="B184" i="4"/>
  <c r="A185" i="4"/>
  <c r="B185" i="4"/>
  <c r="A186" i="4"/>
  <c r="B186" i="4"/>
  <c r="A187" i="4"/>
  <c r="B187" i="4"/>
  <c r="A188" i="4"/>
  <c r="B188" i="4"/>
  <c r="A189" i="4"/>
  <c r="B189" i="4"/>
  <c r="A190" i="4"/>
  <c r="B190" i="4"/>
  <c r="A191" i="4"/>
  <c r="B191" i="4"/>
  <c r="A192" i="4"/>
  <c r="B192" i="4"/>
  <c r="A193" i="4"/>
  <c r="B193" i="4"/>
  <c r="A194" i="4"/>
  <c r="B194" i="4"/>
  <c r="A195" i="4"/>
  <c r="B195" i="4"/>
  <c r="A196" i="4"/>
  <c r="B196" i="4"/>
  <c r="A197" i="4"/>
  <c r="B197" i="4"/>
  <c r="A198" i="4"/>
  <c r="B198" i="4"/>
  <c r="A199" i="4"/>
  <c r="B199" i="4"/>
  <c r="A200" i="4"/>
  <c r="B200" i="4"/>
  <c r="A201" i="4"/>
  <c r="B201" i="4"/>
  <c r="A202" i="4"/>
  <c r="B202" i="4"/>
  <c r="A203" i="4"/>
  <c r="B203" i="4"/>
  <c r="A204" i="4"/>
  <c r="B204" i="4"/>
  <c r="A205" i="4"/>
  <c r="B205" i="4"/>
  <c r="A206" i="4"/>
  <c r="B206" i="4"/>
  <c r="A207" i="4"/>
  <c r="B207" i="4"/>
  <c r="A208" i="4"/>
  <c r="B208" i="4"/>
  <c r="A209" i="4"/>
  <c r="B209" i="4"/>
  <c r="A210" i="4"/>
  <c r="B210" i="4"/>
  <c r="A211" i="4"/>
  <c r="B211" i="4"/>
  <c r="A212" i="4"/>
  <c r="B212" i="4"/>
  <c r="A213" i="4"/>
  <c r="B213" i="4"/>
  <c r="A214" i="4"/>
  <c r="B214" i="4"/>
  <c r="A215" i="4"/>
  <c r="B215" i="4"/>
  <c r="A216" i="4"/>
  <c r="B216" i="4"/>
  <c r="A217" i="4"/>
  <c r="B217" i="4"/>
  <c r="A218" i="4"/>
  <c r="B218" i="4"/>
  <c r="A219" i="4"/>
  <c r="B219" i="4"/>
  <c r="A220" i="4"/>
  <c r="B220" i="4"/>
  <c r="A221" i="4"/>
  <c r="B221" i="4"/>
  <c r="A222" i="4"/>
  <c r="B222" i="4"/>
  <c r="A223" i="4"/>
  <c r="B223" i="4"/>
  <c r="A224" i="4"/>
  <c r="B224" i="4"/>
  <c r="A225" i="4"/>
  <c r="B225" i="4"/>
  <c r="A226" i="4"/>
  <c r="B226" i="4"/>
  <c r="A227" i="4"/>
  <c r="B227" i="4"/>
  <c r="A228" i="4"/>
  <c r="B228" i="4"/>
  <c r="A229" i="4"/>
  <c r="B229" i="4"/>
  <c r="A230" i="4"/>
  <c r="B230" i="4"/>
  <c r="A231" i="4"/>
  <c r="B231" i="4"/>
  <c r="A232" i="4"/>
  <c r="B232" i="4"/>
  <c r="A233" i="4"/>
  <c r="B233" i="4"/>
  <c r="A234" i="4"/>
  <c r="B234" i="4"/>
  <c r="A235" i="4"/>
  <c r="B235" i="4"/>
  <c r="A236" i="4"/>
  <c r="B236" i="4"/>
  <c r="A237" i="4"/>
  <c r="B237" i="4"/>
  <c r="A238" i="4"/>
  <c r="B238" i="4"/>
  <c r="A239" i="4"/>
  <c r="B239" i="4"/>
  <c r="A240" i="4"/>
  <c r="B240" i="4"/>
  <c r="A241" i="4"/>
  <c r="B241" i="4"/>
  <c r="A242" i="4"/>
  <c r="B242" i="4"/>
  <c r="A243" i="4"/>
  <c r="B243" i="4"/>
  <c r="A244" i="4"/>
  <c r="B244" i="4"/>
  <c r="A245" i="4"/>
  <c r="B245" i="4"/>
  <c r="A246" i="4"/>
  <c r="B246" i="4"/>
  <c r="A247" i="4"/>
  <c r="B247" i="4"/>
  <c r="A248" i="4"/>
  <c r="B248" i="4"/>
  <c r="A249" i="4"/>
  <c r="B249" i="4"/>
  <c r="A250" i="4"/>
  <c r="B250" i="4"/>
  <c r="A251" i="4"/>
  <c r="B251" i="4"/>
  <c r="A252" i="4"/>
  <c r="B252" i="4"/>
  <c r="A253" i="4"/>
  <c r="B253" i="4"/>
  <c r="A254" i="4"/>
  <c r="B254" i="4"/>
  <c r="A255" i="4"/>
  <c r="B255" i="4"/>
  <c r="A256" i="4"/>
  <c r="B256" i="4"/>
  <c r="A257" i="4"/>
  <c r="B257" i="4"/>
  <c r="A9" i="4"/>
  <c r="A11" i="4"/>
  <c r="B11" i="4"/>
  <c r="X9"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X253" i="4"/>
  <c r="X254" i="4"/>
  <c r="X255" i="4"/>
  <c r="X256" i="4"/>
  <c r="X257" i="4"/>
  <c r="Y14" i="4"/>
  <c r="AD14" i="4"/>
  <c r="AF14" i="4"/>
  <c r="Y15" i="4"/>
  <c r="AD15" i="4"/>
  <c r="AF15" i="4"/>
  <c r="Y16" i="4"/>
  <c r="AD16" i="4"/>
  <c r="AF16" i="4"/>
  <c r="Y17" i="4"/>
  <c r="AD17" i="4"/>
  <c r="Y18" i="4"/>
  <c r="AD18" i="4"/>
  <c r="AF18" i="4"/>
  <c r="Y19" i="4"/>
  <c r="AD19" i="4"/>
  <c r="AF19" i="4"/>
  <c r="Y20" i="4"/>
  <c r="AD20" i="4"/>
  <c r="AF20" i="4"/>
  <c r="Y21" i="4"/>
  <c r="AD21" i="4"/>
  <c r="AF21" i="4"/>
  <c r="Y22" i="4"/>
  <c r="AD22" i="4"/>
  <c r="AF22" i="4"/>
  <c r="Y23" i="4"/>
  <c r="AD23" i="4"/>
  <c r="Y24" i="4"/>
  <c r="AD24" i="4"/>
  <c r="AF24" i="4"/>
  <c r="Y25" i="4"/>
  <c r="AD25" i="4"/>
  <c r="AF25" i="4"/>
  <c r="Y26" i="4"/>
  <c r="AD26" i="4"/>
  <c r="Y27" i="4"/>
  <c r="AD27" i="4"/>
  <c r="AF27" i="4"/>
  <c r="Y28" i="4"/>
  <c r="AD28" i="4"/>
  <c r="Y29" i="4"/>
  <c r="AD29" i="4"/>
  <c r="AF29" i="4"/>
  <c r="Y30" i="4"/>
  <c r="AD30" i="4"/>
  <c r="AF30" i="4"/>
  <c r="Y31" i="4"/>
  <c r="AD31" i="4"/>
  <c r="AF31" i="4"/>
  <c r="Y32" i="4"/>
  <c r="AD32" i="4"/>
  <c r="AF32" i="4"/>
  <c r="Y33" i="4"/>
  <c r="AD33" i="4"/>
  <c r="Y34" i="4"/>
  <c r="AD34" i="4"/>
  <c r="Y35" i="4"/>
  <c r="AD35" i="4"/>
  <c r="AF35" i="4"/>
  <c r="Y36" i="4"/>
  <c r="AF36" i="4"/>
  <c r="Y37" i="4"/>
  <c r="Y38" i="4"/>
  <c r="AF38" i="4"/>
  <c r="Y39" i="4"/>
  <c r="AD39" i="4"/>
  <c r="AF39" i="4"/>
  <c r="Y40" i="4"/>
  <c r="AD40" i="4"/>
  <c r="AF40" i="4"/>
  <c r="Y41" i="4"/>
  <c r="AD41" i="4"/>
  <c r="Y42" i="4"/>
  <c r="AD42" i="4"/>
  <c r="AF42" i="4"/>
  <c r="Y43" i="4"/>
  <c r="AD43" i="4"/>
  <c r="AF43" i="4"/>
  <c r="Y44" i="4"/>
  <c r="AD44" i="4"/>
  <c r="AF44" i="4"/>
  <c r="Y45" i="4"/>
  <c r="AD45" i="4"/>
  <c r="Y46" i="4"/>
  <c r="AD46" i="4"/>
  <c r="AF46" i="4"/>
  <c r="Y47" i="4"/>
  <c r="AD47" i="4"/>
  <c r="AF47" i="4"/>
  <c r="Y48" i="4"/>
  <c r="AD48" i="4"/>
  <c r="AF48" i="4"/>
  <c r="Y49" i="4"/>
  <c r="AD49" i="4"/>
  <c r="Y50" i="4"/>
  <c r="AD50" i="4"/>
  <c r="Y51" i="4"/>
  <c r="AD51" i="4"/>
  <c r="AF51" i="4"/>
  <c r="Y52" i="4"/>
  <c r="AD52" i="4"/>
  <c r="Y53" i="4"/>
  <c r="AD53" i="4"/>
  <c r="AF53" i="4"/>
  <c r="Y54" i="4"/>
  <c r="AD54" i="4"/>
  <c r="AF54" i="4"/>
  <c r="Y55" i="4"/>
  <c r="AD55" i="4"/>
  <c r="Y56" i="4"/>
  <c r="AD56" i="4"/>
  <c r="Y57" i="4"/>
  <c r="AD57" i="4"/>
  <c r="AF57" i="4"/>
  <c r="Y58" i="4"/>
  <c r="AD58" i="4"/>
  <c r="Y59" i="4"/>
  <c r="AD59" i="4"/>
  <c r="AF59" i="4"/>
  <c r="Y60" i="4"/>
  <c r="AD60" i="4"/>
  <c r="AF60" i="4"/>
  <c r="Y61" i="4"/>
  <c r="AD61" i="4"/>
  <c r="Y62" i="4"/>
  <c r="AD62" i="4"/>
  <c r="AF62" i="4"/>
  <c r="Y63" i="4"/>
  <c r="AD63" i="4"/>
  <c r="AF63" i="4"/>
  <c r="Y64" i="4"/>
  <c r="AD64" i="4"/>
  <c r="Y65" i="4"/>
  <c r="AD65" i="4"/>
  <c r="AF65" i="4"/>
  <c r="Y66" i="4"/>
  <c r="AD66" i="4"/>
  <c r="Y67" i="4"/>
  <c r="AD67" i="4"/>
  <c r="AF67" i="4"/>
  <c r="Y68" i="4"/>
  <c r="AD68" i="4"/>
  <c r="AF68" i="4"/>
  <c r="Y69" i="4"/>
  <c r="AD69" i="4"/>
  <c r="Y70" i="4"/>
  <c r="AD70" i="4"/>
  <c r="AF70" i="4"/>
  <c r="Y71" i="4"/>
  <c r="AD71" i="4"/>
  <c r="AF71" i="4"/>
  <c r="Y72" i="4"/>
  <c r="AD72" i="4"/>
  <c r="Y73" i="4"/>
  <c r="AD73" i="4"/>
  <c r="Y74" i="4"/>
  <c r="AD74" i="4"/>
  <c r="AF74" i="4"/>
  <c r="Y75" i="4"/>
  <c r="AD75" i="4"/>
  <c r="AF75" i="4"/>
  <c r="Y76" i="4"/>
  <c r="AD76" i="4"/>
  <c r="AF76" i="4"/>
  <c r="Y77" i="4"/>
  <c r="AD77" i="4"/>
  <c r="AF77" i="4"/>
  <c r="Y78" i="4"/>
  <c r="AD78" i="4"/>
  <c r="AF78" i="4"/>
  <c r="Y79" i="4"/>
  <c r="AD79" i="4"/>
  <c r="AF79" i="4"/>
  <c r="Y80" i="4"/>
  <c r="AD80" i="4"/>
  <c r="AF80" i="4"/>
  <c r="Y81" i="4"/>
  <c r="AD81" i="4"/>
  <c r="Y82" i="4"/>
  <c r="AD82" i="4"/>
  <c r="AF82" i="4"/>
  <c r="Y83" i="4"/>
  <c r="AD83" i="4"/>
  <c r="AF83" i="4"/>
  <c r="Y84" i="4"/>
  <c r="AD84" i="4"/>
  <c r="AF84" i="4"/>
  <c r="Y85" i="4"/>
  <c r="AD85" i="4"/>
  <c r="AF85" i="4"/>
  <c r="Y86" i="4"/>
  <c r="AD86" i="4"/>
  <c r="AF86" i="4"/>
  <c r="Y87" i="4"/>
  <c r="AD87" i="4"/>
  <c r="Y88" i="4"/>
  <c r="AD88" i="4"/>
  <c r="AF88" i="4"/>
  <c r="Y89" i="4"/>
  <c r="AD89" i="4"/>
  <c r="Y90" i="4"/>
  <c r="AD90" i="4"/>
  <c r="AF90" i="4"/>
  <c r="Y91" i="4"/>
  <c r="AD91" i="4"/>
  <c r="AF91" i="4"/>
  <c r="Y92" i="4"/>
  <c r="AD92" i="4"/>
  <c r="AF92" i="4"/>
  <c r="Y93" i="4"/>
  <c r="AD93" i="4"/>
  <c r="Y94" i="4"/>
  <c r="AD94" i="4"/>
  <c r="AF94" i="4"/>
  <c r="Y95" i="4"/>
  <c r="AD95" i="4"/>
  <c r="Y96" i="4"/>
  <c r="AD96" i="4"/>
  <c r="Y97" i="4"/>
  <c r="AD97" i="4"/>
  <c r="AF97" i="4"/>
  <c r="Y98" i="4"/>
  <c r="AD98" i="4"/>
  <c r="AF98" i="4"/>
  <c r="Y99" i="4"/>
  <c r="AD99" i="4"/>
  <c r="AF99" i="4"/>
  <c r="Y100" i="4"/>
  <c r="AD100" i="4"/>
  <c r="AF100" i="4"/>
  <c r="Y101" i="4"/>
  <c r="AD101" i="4"/>
  <c r="AF101" i="4"/>
  <c r="Y102" i="4"/>
  <c r="AD102" i="4"/>
  <c r="Y103" i="4"/>
  <c r="AD103" i="4"/>
  <c r="AF103" i="4"/>
  <c r="Y104" i="4"/>
  <c r="AD104" i="4"/>
  <c r="Y105" i="4"/>
  <c r="AD105" i="4"/>
  <c r="AF105" i="4"/>
  <c r="Y106" i="4"/>
  <c r="AD106" i="4"/>
  <c r="Y107" i="4"/>
  <c r="AD107" i="4"/>
  <c r="AF107" i="4"/>
  <c r="Y108" i="4"/>
  <c r="AD108" i="4"/>
  <c r="Y109" i="4"/>
  <c r="AD109" i="4"/>
  <c r="AF109" i="4"/>
  <c r="Y110" i="4"/>
  <c r="AD110" i="4"/>
  <c r="Y111" i="4"/>
  <c r="AD111" i="4"/>
  <c r="AF111" i="4"/>
  <c r="Y112" i="4"/>
  <c r="AD112" i="4"/>
  <c r="Y113" i="4"/>
  <c r="AD113" i="4"/>
  <c r="Y114" i="4"/>
  <c r="AD114" i="4"/>
  <c r="AF114" i="4"/>
  <c r="Y115" i="4"/>
  <c r="AD115" i="4"/>
  <c r="AF115" i="4"/>
  <c r="Y116" i="4"/>
  <c r="AD116" i="4"/>
  <c r="AF116" i="4"/>
  <c r="Y117" i="4"/>
  <c r="AD117" i="4"/>
  <c r="Y118" i="4"/>
  <c r="AD118" i="4"/>
  <c r="AF118" i="4"/>
  <c r="Y119" i="4"/>
  <c r="AD119" i="4"/>
  <c r="Y120" i="4"/>
  <c r="AD120" i="4"/>
  <c r="AF120" i="4"/>
  <c r="Y121" i="4"/>
  <c r="AD121" i="4"/>
  <c r="Y122" i="4"/>
  <c r="AD122" i="4"/>
  <c r="AF122" i="4"/>
  <c r="Y123" i="4"/>
  <c r="AD123" i="4"/>
  <c r="AF123" i="4"/>
  <c r="Y124" i="4"/>
  <c r="AD124" i="4"/>
  <c r="AF124" i="4"/>
  <c r="Y125" i="4"/>
  <c r="AD125" i="4"/>
  <c r="AF125" i="4"/>
  <c r="Y126" i="4"/>
  <c r="AD126" i="4"/>
  <c r="Y127" i="4"/>
  <c r="AD127" i="4"/>
  <c r="AF127" i="4"/>
  <c r="Y128" i="4"/>
  <c r="AD128" i="4"/>
  <c r="Y129" i="4"/>
  <c r="AD129" i="4"/>
  <c r="AF129" i="4"/>
  <c r="Y130" i="4"/>
  <c r="AD130" i="4"/>
  <c r="Y131" i="4"/>
  <c r="AD131" i="4"/>
  <c r="AF131" i="4"/>
  <c r="Y132" i="4"/>
  <c r="AD132" i="4"/>
  <c r="AF132" i="4"/>
  <c r="Y133" i="4"/>
  <c r="AD133" i="4"/>
  <c r="AF133" i="4"/>
  <c r="Y134" i="4"/>
  <c r="AD134" i="4"/>
  <c r="AF134" i="4"/>
  <c r="Y135" i="4"/>
  <c r="AD135" i="4"/>
  <c r="Y136" i="4"/>
  <c r="AD136" i="4"/>
  <c r="AF136" i="4"/>
  <c r="Y137" i="4"/>
  <c r="AD137" i="4"/>
  <c r="Y138" i="4"/>
  <c r="AD138" i="4"/>
  <c r="AF138" i="4"/>
  <c r="Y139" i="4"/>
  <c r="AD139" i="4"/>
  <c r="AF139" i="4"/>
  <c r="Y140" i="4"/>
  <c r="AD140" i="4"/>
  <c r="AF140" i="4"/>
  <c r="Y141" i="4"/>
  <c r="AD141" i="4"/>
  <c r="AF141" i="4"/>
  <c r="Y142" i="4"/>
  <c r="AD142" i="4"/>
  <c r="Y143" i="4"/>
  <c r="AD143" i="4"/>
  <c r="AF143" i="4"/>
  <c r="Y144" i="4"/>
  <c r="AD144" i="4"/>
  <c r="Y145" i="4"/>
  <c r="AD145" i="4"/>
  <c r="AF145" i="4"/>
  <c r="Y146" i="4"/>
  <c r="AD146" i="4"/>
  <c r="Y147" i="4"/>
  <c r="AD147" i="4"/>
  <c r="AF147" i="4"/>
  <c r="Y148" i="4"/>
  <c r="AD148" i="4"/>
  <c r="Y149" i="4"/>
  <c r="AD149" i="4"/>
  <c r="AF149" i="4"/>
  <c r="Y150" i="4"/>
  <c r="AD150" i="4"/>
  <c r="Y151" i="4"/>
  <c r="AD151" i="4"/>
  <c r="AF151" i="4"/>
  <c r="Y152" i="4"/>
  <c r="AD152" i="4"/>
  <c r="Y153" i="4"/>
  <c r="AD153" i="4"/>
  <c r="Y154" i="4"/>
  <c r="AD154" i="4"/>
  <c r="Y155" i="4"/>
  <c r="AD155" i="4"/>
  <c r="AF155" i="4"/>
  <c r="Y156" i="4"/>
  <c r="AD156" i="4"/>
  <c r="Y157" i="4"/>
  <c r="AD157" i="4"/>
  <c r="AF157" i="4"/>
  <c r="Y158" i="4"/>
  <c r="AD158" i="4"/>
  <c r="Y159" i="4"/>
  <c r="AD159" i="4"/>
  <c r="AF159" i="4"/>
  <c r="Y160" i="4"/>
  <c r="AD160" i="4"/>
  <c r="Y161" i="4"/>
  <c r="AD161" i="4"/>
  <c r="AF161" i="4"/>
  <c r="Y162" i="4"/>
  <c r="AD162" i="4"/>
  <c r="Y163" i="4"/>
  <c r="AD163" i="4"/>
  <c r="AF163" i="4"/>
  <c r="Y164" i="4"/>
  <c r="AD164" i="4"/>
  <c r="Y165" i="4"/>
  <c r="AD165" i="4"/>
  <c r="Y166" i="4"/>
  <c r="AD166" i="4"/>
  <c r="Y167" i="4"/>
  <c r="AD167" i="4"/>
  <c r="Y168" i="4"/>
  <c r="AD168" i="4"/>
  <c r="Y169" i="4"/>
  <c r="AD169" i="4"/>
  <c r="AF169" i="4"/>
  <c r="Y170" i="4"/>
  <c r="AD170" i="4"/>
  <c r="Y171" i="4"/>
  <c r="AD171" i="4"/>
  <c r="AF171" i="4"/>
  <c r="Y172" i="4"/>
  <c r="AD172" i="4"/>
  <c r="AF172" i="4"/>
  <c r="Y173" i="4"/>
  <c r="AD173" i="4"/>
  <c r="Y174" i="4"/>
  <c r="AD174" i="4"/>
  <c r="AF174" i="4"/>
  <c r="Y175" i="4"/>
  <c r="AD175" i="4"/>
  <c r="Y176" i="4"/>
  <c r="AD176" i="4"/>
  <c r="AF176" i="4"/>
  <c r="Y177" i="4"/>
  <c r="AD177" i="4"/>
  <c r="Y178" i="4"/>
  <c r="AD178" i="4"/>
  <c r="AF178" i="4"/>
  <c r="Y179" i="4"/>
  <c r="AD179" i="4"/>
  <c r="AF179" i="4"/>
  <c r="Y180" i="4"/>
  <c r="AD180" i="4"/>
  <c r="AF180" i="4"/>
  <c r="Y181" i="4"/>
  <c r="AD181" i="4"/>
  <c r="Y182" i="4"/>
  <c r="AD182" i="4"/>
  <c r="Y183" i="4"/>
  <c r="AD183" i="4"/>
  <c r="AF183" i="4"/>
  <c r="Y184" i="4"/>
  <c r="AD184" i="4"/>
  <c r="AF184" i="4"/>
  <c r="Y185" i="4"/>
  <c r="AD185" i="4"/>
  <c r="Y186" i="4"/>
  <c r="AD186" i="4"/>
  <c r="Y187" i="4"/>
  <c r="AD187" i="4"/>
  <c r="AF187" i="4"/>
  <c r="Y188" i="4"/>
  <c r="AD188" i="4"/>
  <c r="Y189" i="4"/>
  <c r="AD189" i="4"/>
  <c r="Y190" i="4"/>
  <c r="AD190" i="4"/>
  <c r="Y191" i="4"/>
  <c r="AD191" i="4"/>
  <c r="Y192" i="4"/>
  <c r="AD192" i="4"/>
  <c r="AF192" i="4"/>
  <c r="Y193" i="4"/>
  <c r="AD193" i="4"/>
  <c r="Y194" i="4"/>
  <c r="AD194" i="4"/>
  <c r="Y195" i="4"/>
  <c r="AD195" i="4"/>
  <c r="AF195" i="4"/>
  <c r="Y196" i="4"/>
  <c r="AD196" i="4"/>
  <c r="Y197" i="4"/>
  <c r="AD197" i="4"/>
  <c r="AF197" i="4"/>
  <c r="Y198" i="4"/>
  <c r="AD198" i="4"/>
  <c r="Y199" i="4"/>
  <c r="AD199" i="4"/>
  <c r="AF199" i="4"/>
  <c r="Y200" i="4"/>
  <c r="AD200" i="4"/>
  <c r="Y201" i="4"/>
  <c r="AD201" i="4"/>
  <c r="AF201" i="4"/>
  <c r="Y202" i="4"/>
  <c r="AD202" i="4"/>
  <c r="Y203" i="4"/>
  <c r="AD203" i="4"/>
  <c r="AF203" i="4"/>
  <c r="Y204" i="4"/>
  <c r="AD204" i="4"/>
  <c r="Y205" i="4"/>
  <c r="AD205" i="4"/>
  <c r="Y206" i="4"/>
  <c r="AD206" i="4"/>
  <c r="AF206" i="4"/>
  <c r="Y207" i="4"/>
  <c r="AD207" i="4"/>
  <c r="Y208" i="4"/>
  <c r="AD208" i="4"/>
  <c r="Y209" i="4"/>
  <c r="AD209" i="4"/>
  <c r="Y210" i="4"/>
  <c r="AD210" i="4"/>
  <c r="AF210" i="4"/>
  <c r="Y211" i="4"/>
  <c r="AD211" i="4"/>
  <c r="AF211" i="4"/>
  <c r="Y212" i="4"/>
  <c r="AD212" i="4"/>
  <c r="AF212" i="4"/>
  <c r="Y213" i="4"/>
  <c r="AD213" i="4"/>
  <c r="Y214" i="4"/>
  <c r="AD214" i="4"/>
  <c r="AF214" i="4"/>
  <c r="Y215" i="4"/>
  <c r="AD215" i="4"/>
  <c r="Y216" i="4"/>
  <c r="AD216" i="4"/>
  <c r="Y217" i="4"/>
  <c r="AD217" i="4"/>
  <c r="Y218" i="4"/>
  <c r="AD218" i="4"/>
  <c r="AF218" i="4"/>
  <c r="Y219" i="4"/>
  <c r="AD219" i="4"/>
  <c r="AF219" i="4"/>
  <c r="Y220" i="4"/>
  <c r="AD220" i="4"/>
  <c r="Y221" i="4"/>
  <c r="AD221" i="4"/>
  <c r="AF221" i="4"/>
  <c r="Y222" i="4"/>
  <c r="AD222" i="4"/>
  <c r="Y223" i="4"/>
  <c r="AD223" i="4"/>
  <c r="AF223" i="4"/>
  <c r="Y224" i="4"/>
  <c r="AD224" i="4"/>
  <c r="AF224" i="4"/>
  <c r="Y225" i="4"/>
  <c r="AD225" i="4"/>
  <c r="Y226" i="4"/>
  <c r="AD226" i="4"/>
  <c r="AF226" i="4"/>
  <c r="Y227" i="4"/>
  <c r="AD227" i="4"/>
  <c r="AF227" i="4"/>
  <c r="Y228" i="4"/>
  <c r="AD228" i="4"/>
  <c r="Y229" i="4"/>
  <c r="AD229" i="4"/>
  <c r="AF229" i="4"/>
  <c r="Y230" i="4"/>
  <c r="AD230" i="4"/>
  <c r="Y231" i="4"/>
  <c r="AD231" i="4"/>
  <c r="Y232" i="4"/>
  <c r="AD232" i="4"/>
  <c r="AF232" i="4"/>
  <c r="Y233" i="4"/>
  <c r="AD233" i="4"/>
  <c r="Y234" i="4"/>
  <c r="AD234" i="4"/>
  <c r="Y235" i="4"/>
  <c r="AD235" i="4"/>
  <c r="AF235" i="4"/>
  <c r="Y236" i="4"/>
  <c r="AD236" i="4"/>
  <c r="AF236" i="4"/>
  <c r="Y237" i="4"/>
  <c r="AD237" i="4"/>
  <c r="Y238" i="4"/>
  <c r="AD238" i="4"/>
  <c r="AF238" i="4"/>
  <c r="Y239" i="4"/>
  <c r="AD239" i="4"/>
  <c r="AF239" i="4"/>
  <c r="Y240" i="4"/>
  <c r="AD240" i="4"/>
  <c r="Y241" i="4"/>
  <c r="AD241" i="4"/>
  <c r="AF241" i="4"/>
  <c r="Y242" i="4"/>
  <c r="AD242" i="4"/>
  <c r="Y243" i="4"/>
  <c r="AD243" i="4"/>
  <c r="AF243" i="4"/>
  <c r="Y244" i="4"/>
  <c r="AD244" i="4"/>
  <c r="Y245" i="4"/>
  <c r="AD245" i="4"/>
  <c r="Y246" i="4"/>
  <c r="AD246" i="4"/>
  <c r="Y247" i="4"/>
  <c r="AD247" i="4"/>
  <c r="AF247" i="4"/>
  <c r="Y248" i="4"/>
  <c r="AD248" i="4"/>
  <c r="AF248" i="4"/>
  <c r="Y249" i="4"/>
  <c r="AD249" i="4"/>
  <c r="Y250" i="4"/>
  <c r="AD250" i="4"/>
  <c r="AF250" i="4"/>
  <c r="Y251" i="4"/>
  <c r="AD251" i="4"/>
  <c r="AF251" i="4"/>
  <c r="Y252" i="4"/>
  <c r="AD252" i="4"/>
  <c r="AF252" i="4"/>
  <c r="Y253" i="4"/>
  <c r="AD253" i="4"/>
  <c r="AF253" i="4"/>
  <c r="Y254" i="4"/>
  <c r="AD254" i="4"/>
  <c r="Y255" i="4"/>
  <c r="AD255" i="4"/>
  <c r="AF255" i="4"/>
  <c r="Y256" i="4"/>
  <c r="AD256" i="4"/>
  <c r="AF256" i="4"/>
  <c r="Y257" i="4"/>
  <c r="AD257" i="4"/>
  <c r="AF257" i="4"/>
  <c r="A8" i="4"/>
  <c r="AF28" i="4"/>
  <c r="AF26" i="4"/>
  <c r="AF23" i="4"/>
  <c r="AF17" i="4"/>
  <c r="AF50" i="4"/>
  <c r="AF49" i="4"/>
  <c r="AF45" i="4"/>
  <c r="AF41" i="4"/>
  <c r="AF37" i="4"/>
  <c r="AF34" i="4"/>
  <c r="AF33" i="4"/>
  <c r="AF69" i="4"/>
  <c r="AF66" i="4"/>
  <c r="AF64" i="4"/>
  <c r="AF61" i="4"/>
  <c r="AF58" i="4"/>
  <c r="AF56" i="4"/>
  <c r="AF55" i="4"/>
  <c r="AF52" i="4"/>
  <c r="AF89" i="4"/>
  <c r="AF87" i="4"/>
  <c r="AF81" i="4"/>
  <c r="AF73" i="4"/>
  <c r="AF72" i="4"/>
  <c r="AF113" i="4"/>
  <c r="AF112" i="4"/>
  <c r="AF110" i="4"/>
  <c r="AF108" i="4"/>
  <c r="AF106" i="4"/>
  <c r="AF104" i="4"/>
  <c r="AF102" i="4"/>
  <c r="AF96" i="4"/>
  <c r="AF95" i="4"/>
  <c r="AF93" i="4"/>
  <c r="AF130" i="4"/>
  <c r="AF128" i="4"/>
  <c r="AF126" i="4"/>
  <c r="AF121" i="4"/>
  <c r="AF119" i="4"/>
  <c r="AF117" i="4"/>
  <c r="AF154" i="4"/>
  <c r="AF153" i="4"/>
  <c r="AF152" i="4"/>
  <c r="AF150" i="4"/>
  <c r="AF148" i="4"/>
  <c r="AF146" i="4"/>
  <c r="AF144" i="4"/>
  <c r="AF142" i="4"/>
  <c r="AF137" i="4"/>
  <c r="AF135" i="4"/>
  <c r="AF175" i="4"/>
  <c r="AF173" i="4"/>
  <c r="AF170" i="4"/>
  <c r="AF168" i="4"/>
  <c r="AF167" i="4"/>
  <c r="AF166" i="4"/>
  <c r="AF165" i="4"/>
  <c r="AF164" i="4"/>
  <c r="AF162" i="4"/>
  <c r="AF160" i="4"/>
  <c r="AF158" i="4"/>
  <c r="AF156" i="4"/>
  <c r="AF196" i="4"/>
  <c r="AF194" i="4"/>
  <c r="AF193" i="4"/>
  <c r="AF191" i="4"/>
  <c r="AF190" i="4"/>
  <c r="AF189" i="4"/>
  <c r="AF188" i="4"/>
  <c r="AF186" i="4"/>
  <c r="AF185" i="4"/>
  <c r="AF182" i="4"/>
  <c r="AF181" i="4"/>
  <c r="AF177" i="4"/>
  <c r="AF217" i="4"/>
  <c r="AF216" i="4"/>
  <c r="AF215" i="4"/>
  <c r="AF213" i="4"/>
  <c r="AF209" i="4"/>
  <c r="AF208" i="4"/>
  <c r="AF207" i="4"/>
  <c r="AF205" i="4"/>
  <c r="AF204" i="4"/>
  <c r="AF202" i="4"/>
  <c r="AF200" i="4"/>
  <c r="AF198" i="4"/>
  <c r="AF237" i="4"/>
  <c r="AF234" i="4"/>
  <c r="AF233" i="4"/>
  <c r="AF231" i="4"/>
  <c r="AF230" i="4"/>
  <c r="AF228" i="4"/>
  <c r="AF225" i="4"/>
  <c r="AF222" i="4"/>
  <c r="AF220" i="4"/>
  <c r="AF254" i="4"/>
  <c r="AF249" i="4"/>
  <c r="AF246" i="4"/>
  <c r="AF245" i="4"/>
  <c r="AF244" i="4"/>
  <c r="AF242" i="4"/>
  <c r="AF240" i="4"/>
  <c r="A1" i="8"/>
  <c r="AC13" i="3"/>
  <c r="AC6" i="3"/>
  <c r="AC12" i="3"/>
  <c r="AC14" i="3"/>
  <c r="AC15" i="3"/>
  <c r="AC16" i="3"/>
  <c r="AC17" i="3"/>
  <c r="AC11" i="3"/>
  <c r="AD8" i="4"/>
  <c r="A48" i="21"/>
  <c r="AE8" i="4"/>
  <c r="G35" i="8"/>
  <c r="AD258" i="4"/>
  <c r="AF258" i="4" s="1"/>
  <c r="AF13" i="4"/>
  <c r="AF9" i="4"/>
  <c r="AF12" i="4"/>
  <c r="AF11" i="4"/>
  <c r="AF10" i="4"/>
  <c r="AF8" i="4"/>
  <c r="E16" i="19"/>
  <c r="D37" i="21"/>
  <c r="C37" i="21"/>
  <c r="C34" i="23"/>
  <c r="C37" i="23"/>
  <c r="B34" i="23"/>
  <c r="A31" i="3"/>
  <c r="A268" i="4" s="1"/>
  <c r="F19" i="19"/>
  <c r="A30" i="19" l="1"/>
  <c r="G30" i="8"/>
  <c r="AC21" i="3"/>
  <c r="AC23" i="3"/>
</calcChain>
</file>

<file path=xl/sharedStrings.xml><?xml version="1.0" encoding="utf-8"?>
<sst xmlns="http://schemas.openxmlformats.org/spreadsheetml/2006/main" count="414" uniqueCount="338">
  <si>
    <t>(a)</t>
  </si>
  <si>
    <t>(b)</t>
  </si>
  <si>
    <t>(c)</t>
  </si>
  <si>
    <t>(d)</t>
  </si>
  <si>
    <t>(e)</t>
  </si>
  <si>
    <t>(f)</t>
  </si>
  <si>
    <t>Total Guaranteed Cost Savings (b+e)</t>
  </si>
  <si>
    <t>IMPLEMENTATION PRICE BY ENERGY CONSERVATION MEASURE</t>
  </si>
  <si>
    <t>ECM No.</t>
  </si>
  <si>
    <t>ECM Size</t>
  </si>
  <si>
    <t>($)</t>
  </si>
  <si>
    <t>Management/Administration</t>
  </si>
  <si>
    <t>Maintenance</t>
  </si>
  <si>
    <t>Repair and Replacement</t>
  </si>
  <si>
    <t>Totals</t>
  </si>
  <si>
    <t>IMPORTANT INFORMATION:</t>
  </si>
  <si>
    <t>ECM</t>
  </si>
  <si>
    <t>Electric energy savings</t>
  </si>
  <si>
    <t>(kWh/yr)</t>
  </si>
  <si>
    <t>($/yr)</t>
  </si>
  <si>
    <t>Electric demand savings</t>
  </si>
  <si>
    <t>Natural gas savings</t>
  </si>
  <si>
    <t>Total energy savings</t>
  </si>
  <si>
    <t>Total energy cost savings</t>
  </si>
  <si>
    <t>Water savings</t>
  </si>
  <si>
    <t>Estimated annual cost savings</t>
  </si>
  <si>
    <t>ECM Number</t>
  </si>
  <si>
    <t>Simple Payback</t>
  </si>
  <si>
    <t>(Kgal/yr)</t>
  </si>
  <si>
    <t>Total Implementation &amp; Performance Period</t>
  </si>
  <si>
    <t>Performance Period Expenses</t>
  </si>
  <si>
    <t>Annual Cash Flow (Performance Period)</t>
  </si>
  <si>
    <t>Applied Incentives</t>
  </si>
  <si>
    <t>c1</t>
  </si>
  <si>
    <t>c2</t>
  </si>
  <si>
    <t>d1</t>
  </si>
  <si>
    <t>d2</t>
  </si>
  <si>
    <t>h</t>
  </si>
  <si>
    <t>i</t>
  </si>
  <si>
    <t>j</t>
  </si>
  <si>
    <t>b2</t>
  </si>
  <si>
    <t>b1</t>
  </si>
  <si>
    <t>Short Description</t>
  </si>
  <si>
    <t>Estimated Annual Cost Savings</t>
  </si>
  <si>
    <t>Natural Gas</t>
  </si>
  <si>
    <t>Water</t>
  </si>
  <si>
    <t>O&amp;M</t>
  </si>
  <si>
    <t>Operation</t>
  </si>
  <si>
    <t>e1a</t>
  </si>
  <si>
    <t>e2a</t>
  </si>
  <si>
    <t>e1b</t>
  </si>
  <si>
    <t>e2b</t>
  </si>
  <si>
    <t>g = b2+c2+d2+e2a+e2b</t>
  </si>
  <si>
    <t>(MMBtu/yr)</t>
  </si>
  <si>
    <t>O&amp;M cost savings</t>
  </si>
  <si>
    <t>Electric Energy</t>
  </si>
  <si>
    <t>Electric Demand</t>
  </si>
  <si>
    <t>Implementation price</t>
  </si>
  <si>
    <t>ECM Coverage (%)</t>
  </si>
  <si>
    <t xml:space="preserve">IMPORTANT INFORMATION:  </t>
  </si>
  <si>
    <t>(kW/mo)</t>
  </si>
  <si>
    <t>Total Performance Period:</t>
  </si>
  <si>
    <t>TOTALS:</t>
  </si>
  <si>
    <t>BASIC PROJECT INFORMATION</t>
  </si>
  <si>
    <t>Baseline electricity use</t>
  </si>
  <si>
    <t>Baseline electricity demand</t>
  </si>
  <si>
    <t>Baseline water use</t>
  </si>
  <si>
    <t>Baseline natural gas use</t>
  </si>
  <si>
    <t>Baseline O&amp;M costs</t>
  </si>
  <si>
    <t>Baseline other non-energy costs</t>
  </si>
  <si>
    <t>(kGal/yr)</t>
  </si>
  <si>
    <t>Other non-energy cost savings</t>
  </si>
  <si>
    <t>Baseline energy and resource costs</t>
  </si>
  <si>
    <t>k</t>
  </si>
  <si>
    <t>l = g+i+j+k</t>
  </si>
  <si>
    <t>m</t>
  </si>
  <si>
    <t>n = m/l</t>
  </si>
  <si>
    <t>(years)</t>
  </si>
  <si>
    <t>Baseline Energy and Non-energy Consumption</t>
  </si>
  <si>
    <t>PERFORMANCE PERIOD CASH FLOW</t>
  </si>
  <si>
    <t>Project Contact Information</t>
  </si>
  <si>
    <t>Other Information</t>
  </si>
  <si>
    <t>Project Identification &amp; Characteristics</t>
  </si>
  <si>
    <t>SCHEDULE #1</t>
  </si>
  <si>
    <t>SCHEDULE #4</t>
  </si>
  <si>
    <t>SCHEDULE #5</t>
  </si>
  <si>
    <t>Performance Period (year)</t>
  </si>
  <si>
    <t>ANNUAL DOLLAR SAVINGS ESCALATION RATES</t>
  </si>
  <si>
    <t>( a )</t>
  </si>
  <si>
    <t>( c )</t>
  </si>
  <si>
    <t>( d )</t>
  </si>
  <si>
    <t>CANCELLATION CEILINGS</t>
  </si>
  <si>
    <t>Guaranteed Annual Cost Savings</t>
  </si>
  <si>
    <t xml:space="preserve">IMPORTANT INFORMATION:   </t>
  </si>
  <si>
    <t> End of Performance Period (Year)</t>
  </si>
  <si>
    <t>(3) Please select other savings types from dropdown menu provided above, if applicable.</t>
  </si>
  <si>
    <t>FIRST YEAR ESTIMATED COST SAVINGS BY ENERGY CONSERVATION MEASURE</t>
  </si>
  <si>
    <t>Primary Electric Utility</t>
  </si>
  <si>
    <t>Primary Natural Gas Utility</t>
  </si>
  <si>
    <t>Primary Water Utility</t>
  </si>
  <si>
    <t>Average Annual Energy Consumption of Affected Buildings (MMBtu/yr)</t>
  </si>
  <si>
    <t xml:space="preserve"> Type of other non-energy costs</t>
  </si>
  <si>
    <t>Contract #</t>
  </si>
  <si>
    <t>Other Savings Type 1: Other</t>
  </si>
  <si>
    <t>Other Savings Type 2: Other</t>
  </si>
  <si>
    <t>Federal Contract Type</t>
  </si>
  <si>
    <t>Implementation start through first year</t>
  </si>
  <si>
    <t>(2) All estimated cost savings numbers reported in Schedule 4 ("First year estimated cost savings by ECM") are assumed to have already incorporated the "Implementation start through first year" escalation rates reported above.</t>
  </si>
  <si>
    <t>Annual Dollar Savings Retained by Customer</t>
  </si>
  <si>
    <t>ECM Category</t>
  </si>
  <si>
    <t>(1) "Implementation start through first year" reflects cumulative escalation occurring during the length of the implementation period through the first year of savings.  This may represent an annual escalation figure that is compounded or another formulation (e.g., actual forecasts from utility companies).</t>
  </si>
  <si>
    <t>Annual Payments</t>
  </si>
  <si>
    <t>Total Payments (c+f)</t>
  </si>
  <si>
    <t>COST SAVINGS AND PAYMENTS</t>
  </si>
  <si>
    <t>(g)</t>
  </si>
  <si>
    <t>Implementation Period (Year 0)</t>
  </si>
  <si>
    <t>Boiler Plant Improvements</t>
  </si>
  <si>
    <t>Chiller Plant Improvements</t>
  </si>
  <si>
    <t>Lighting Improvements</t>
  </si>
  <si>
    <t>Building Envelope Modifications</t>
  </si>
  <si>
    <t>Chilled Water, Hot Water, and Steam Distribution Systems</t>
  </si>
  <si>
    <t>Electric Motors and Drives</t>
  </si>
  <si>
    <t>Refrigeration</t>
  </si>
  <si>
    <t>Distributed Generation</t>
  </si>
  <si>
    <t>Renewable Energy Systems</t>
  </si>
  <si>
    <t>Energy/Utility Distribution Systems</t>
  </si>
  <si>
    <t>Water and Sewer Conservation Systems</t>
  </si>
  <si>
    <t>Electrical Peak Shaving/Load Shifting</t>
  </si>
  <si>
    <t>Energy Related Process Improvements</t>
  </si>
  <si>
    <t>Appliance/Plug load reductions</t>
  </si>
  <si>
    <t>ADDITIONAL NOTES:</t>
  </si>
  <si>
    <t>Other Savings Type 1</t>
  </si>
  <si>
    <t>Other Savings Type 1: Coal</t>
  </si>
  <si>
    <t>Other Savings Type 1: Diesel</t>
  </si>
  <si>
    <t>Other Savings Type 1: Gasoline</t>
  </si>
  <si>
    <t>Other Savings Type 1: Heating Oil</t>
  </si>
  <si>
    <t>Other Savings Type 1: Jet Fuel</t>
  </si>
  <si>
    <t>Other Savings Type 1: Purchased Steam</t>
  </si>
  <si>
    <t>Other Savings Type 1: Chilled Water</t>
  </si>
  <si>
    <t>Other Savings Type 2</t>
  </si>
  <si>
    <t>Other Savings Type 2: Coal</t>
  </si>
  <si>
    <t>Other Savings Type 2: Diesel</t>
  </si>
  <si>
    <t>Other Savings Type 2: Gasoline</t>
  </si>
  <si>
    <t>Other Savings Type 2: Heating Oil</t>
  </si>
  <si>
    <t>Other Savings Type 2: Jet Fuel</t>
  </si>
  <si>
    <t>Other Savings Type 2: Purchased Steam</t>
  </si>
  <si>
    <t>Other Savings Type 2: Chilled Water</t>
  </si>
  <si>
    <t>Other Savings Type 1: Propane</t>
  </si>
  <si>
    <t>Other Savings Type 2: Propane</t>
  </si>
  <si>
    <t xml:space="preserve">Total Estimated Cost Savings </t>
  </si>
  <si>
    <t xml:space="preserve">Annual Estimated Energy Savings (MMBtu) </t>
  </si>
  <si>
    <t xml:space="preserve">Annual Estimated Water Savings (kGal) </t>
  </si>
  <si>
    <t xml:space="preserve">Sub Agency Name/Region </t>
  </si>
  <si>
    <t>Task/Purchase Order #</t>
  </si>
  <si>
    <t xml:space="preserve"> </t>
  </si>
  <si>
    <t>(3) The total of annual payments represents the contract price and should be supported by information submitted.</t>
  </si>
  <si>
    <t>Customer (Project Initiator)</t>
  </si>
  <si>
    <t>Resource Enumerations</t>
  </si>
  <si>
    <t>(1) This schedule should only be completed if required by the contract.</t>
  </si>
  <si>
    <t xml:space="preserve">(2) Cancellation ceilings for each time period specified below establish the maximum termination liability for that time period, and include the remaining unamortized principal of the total amount financed for each time period specified above plus any prepayment charges.  Actual total termination costs will be negotiated.             </t>
  </si>
  <si>
    <t>Project Acceptance</t>
  </si>
  <si>
    <t>Project Name</t>
  </si>
  <si>
    <t>Primary Project Location-City</t>
  </si>
  <si>
    <t>Primary Project Location-State</t>
  </si>
  <si>
    <t>Primary Project Location-Zipcode</t>
  </si>
  <si>
    <t>Project Agreement Type (choose from list)</t>
  </si>
  <si>
    <t>Market Segment</t>
  </si>
  <si>
    <t>List of Sites in Project (separated by commas)</t>
  </si>
  <si>
    <t>Number of Buildings in Project</t>
  </si>
  <si>
    <t>(1) Energy conversion factors for MMBtu:  MMBtu=1,000,000 Btu; 1 kWh of Electricity = 0.003413 MMBtu; 1 therm of Natural Gas = 0.1 MMBtu ; 1 gal of #2 Heating Oil = 0.13859 MMBtu; 1 gal of Gasoline = 0.12048 MMBtu; 1 gal of Diesel = 0.13738 MMBtul; 1 short ton of Coal (2,000 pounds)=19.548 MMBtu; 1 gal of Propane=0.091333 MMBtu.</t>
  </si>
  <si>
    <t>Project ID #</t>
  </si>
  <si>
    <t>Template Errors/Warnings</t>
  </si>
  <si>
    <t>Project Award Date (mm/dd/yyyy)</t>
  </si>
  <si>
    <t>Role</t>
  </si>
  <si>
    <t>Institution</t>
  </si>
  <si>
    <t>Name</t>
  </si>
  <si>
    <t>Title</t>
  </si>
  <si>
    <t>Email</t>
  </si>
  <si>
    <t>Phone</t>
  </si>
  <si>
    <t>Project Identification</t>
  </si>
  <si>
    <t>Project Characteristics</t>
  </si>
  <si>
    <t>Project Financial Summary</t>
  </si>
  <si>
    <t>Performance Period (Year)</t>
  </si>
  <si>
    <t xml:space="preserve">Term (year)        </t>
  </si>
  <si>
    <t>Project Implementation Pricing Worksheet</t>
  </si>
  <si>
    <t>a</t>
  </si>
  <si>
    <t>b</t>
  </si>
  <si>
    <t>c</t>
  </si>
  <si>
    <t>d</t>
  </si>
  <si>
    <t>e</t>
  </si>
  <si>
    <t>f</t>
  </si>
  <si>
    <t>Design</t>
  </si>
  <si>
    <t>g</t>
  </si>
  <si>
    <t>Project Management</t>
  </si>
  <si>
    <t>l</t>
  </si>
  <si>
    <t>n</t>
  </si>
  <si>
    <t>q</t>
  </si>
  <si>
    <t>o</t>
  </si>
  <si>
    <t>Sum (f to l)</t>
  </si>
  <si>
    <t>Sum
(e+m+n-q)</t>
  </si>
  <si>
    <t>Sum 
(a+b+c+d)</t>
  </si>
  <si>
    <t>Total Implementation Price</t>
  </si>
  <si>
    <t>SCHEDULE #2b</t>
  </si>
  <si>
    <t>SCHEDULE #2a</t>
  </si>
  <si>
    <t>Price/Cost</t>
  </si>
  <si>
    <t>SCHEDULE #3</t>
  </si>
  <si>
    <t>Implementation Price</t>
  </si>
  <si>
    <t>M&amp;V Equipment Installed During Construction</t>
  </si>
  <si>
    <t>Self-Performed Work</t>
  </si>
  <si>
    <t xml:space="preserve">A fixed-price bid received in response to a Request for Proposals issued by an ESCO for a specific scope of work, exclusive of the cost to install M&amp;V equipment. </t>
  </si>
  <si>
    <t xml:space="preserve">A fixed price cost for a specific scope of work performed by an ESCO.  </t>
  </si>
  <si>
    <t>Description</t>
  </si>
  <si>
    <t>Cost Item</t>
  </si>
  <si>
    <t xml:space="preserve">All ESCOs are required to bond the performance and payment of all work by a reputable surety approved for such work.  The cost of the performance and payment bond shall be included in this category for the anticipated amount of work to be completed.  </t>
  </si>
  <si>
    <t>Commissioning and Training</t>
  </si>
  <si>
    <t>Measurement and Verification</t>
  </si>
  <si>
    <t>(4) If applicable, prior to the performance period, implementation period energy savings and payments are one-time amounts only.</t>
  </si>
  <si>
    <t>(5) If applicable, the guaranteed cost savings during the implementation and performance periods must exceed the payments.</t>
  </si>
  <si>
    <t xml:space="preserve">(6) Escalation rates (see Annual Escalation Rates) apply to the estimated annual cost savings in column (d). </t>
  </si>
  <si>
    <t>f = 0.003412*b1+d1+e1a+e1b</t>
  </si>
  <si>
    <t>Advanced Metering Systems</t>
  </si>
  <si>
    <t>Building Automation Systems/Energy Management Control Systems (EMCS)</t>
  </si>
  <si>
    <t xml:space="preserve">Commissioning </t>
  </si>
  <si>
    <t>Energy Cost Reduction Through Rate Adjustments</t>
  </si>
  <si>
    <t>Future/Other ECMs</t>
  </si>
  <si>
    <t xml:space="preserve">(3) End of the year annual cancellation ceiling costs should be shown in month 12 (column N). </t>
  </si>
  <si>
    <t>(4) In the event of TO cancellation, specify the cancellation ceiling as a percentage of remaining principal balance in "Additional Notes" below.</t>
  </si>
  <si>
    <t>Subcontractor Costs (Contractor Costs To ESCO) exclusive of M&amp;V equipment</t>
  </si>
  <si>
    <t>Percent of Cost of Goods and Services (Base Construction)</t>
  </si>
  <si>
    <t>The cost of equipment installed during construction which is integral to performance of M&amp;V activities in the performance period.</t>
  </si>
  <si>
    <t>In some cases the ESCO may purchase equipment directly to be installed under scopes of work as described in items (a) and (c) above.  This amount (d) represents the purchase price of all such equipment.</t>
  </si>
  <si>
    <t>Cost of Goods and Services (Base Construction)</t>
  </si>
  <si>
    <t xml:space="preserve">Design costs include all professional architecture and engineering costs required to design and specify projects to be installed as part of the work, appropriately burdended for overhead and profit as determined by the ESCO. </t>
  </si>
  <si>
    <t>The cost of administering and managing the project, appropriately burdened for overhead and profit as determined by the ESCO.</t>
  </si>
  <si>
    <t>Performance and Payment Bonds</t>
  </si>
  <si>
    <t>At the completion of construction, equipment is commissioned.  This work is normally completed by commissioning agents.  If this scope is completed by ESCO employees, it includes the the appropriately  burdened cost (profit &amp; overhead) as determined by the ESCO.  If this scope is outsourced to a commissioning firm, this cost includes the turnkey cost to provide necessary commissioning services.
Training costs may be provided by subcontractors and as such will be included in their subcontractor bid.  However, if the ESCO plans to provide training, the burdened labor cost for such training shall be included in this line item.  In addition to labor, this line item may include formal classroom training, training videos, online training programs, and other training efforts that include labor and materials required to provide necessary training.  This line item cannot not be a repeat of training provided directly by subcontractors in subcontractor costs.  Training labor may be utilized to supervise and coordinate subcontractor training sessions.</t>
  </si>
  <si>
    <t xml:space="preserve">At the completion of construction, the ESCO completes the M&amp;V of installed equipment to verify post-retrofit energy and water efficiency, operation, and prepares a Post-Installation M&amp;V report.  This effort is necessary to ensure systems will meet the guaranteed energy savings and start the M&amp;V Services phase.  If completed by ESCO staff, this cost shall be appropriately burdened (overhead and profit) as determined by the ESCO.  If completed by an external M&amp;V firm, this cost includes the turnkey cost to provide necessary M&amp;V services.  </t>
  </si>
  <si>
    <t>Overhead Percent</t>
  </si>
  <si>
    <t>Profit Percent</t>
  </si>
  <si>
    <t>The indirect costs or fixed expenses of operating the ESCO’s business, applied to the Cost of Goods and Service.</t>
  </si>
  <si>
    <t xml:space="preserve">The anticipated, but not guaranteed, gross profit associated with the project, applied to the Cost of Goods and Service. </t>
  </si>
  <si>
    <t xml:space="preserve">(1) The Implementation delivery percentage shall not exceed the maximum delivery percentage, if applicable. </t>
  </si>
  <si>
    <t>TOTAL Performance Period Price (b)</t>
  </si>
  <si>
    <t>PDC + [a+b] - c</t>
  </si>
  <si>
    <t>Implementation Delivery Percentage/Charge</t>
  </si>
  <si>
    <t>(2) The guaranteed annual cost savings are pursuant to the description in the M&amp;V plan proposed for the project.</t>
  </si>
  <si>
    <t>Other PP Expense 1: Other</t>
  </si>
  <si>
    <t>Other PP Expense 2: Other</t>
  </si>
  <si>
    <t>Implementation Price PDP + [a+b] - c</t>
  </si>
  <si>
    <t>Project Development Price (PDP)-Technical Energy Audit and Project Proposal</t>
  </si>
  <si>
    <t>Heating, Ventilating, and Air Conditioning</t>
  </si>
  <si>
    <t>Location</t>
  </si>
  <si>
    <t>M&amp;V</t>
  </si>
  <si>
    <t>PA</t>
  </si>
  <si>
    <t>RCx</t>
  </si>
  <si>
    <t>O&amp;M and RCx</t>
  </si>
  <si>
    <t>Other</t>
  </si>
  <si>
    <t>Option A</t>
  </si>
  <si>
    <t>Option B</t>
  </si>
  <si>
    <t>Option C</t>
  </si>
  <si>
    <t>Option D</t>
  </si>
  <si>
    <t>SCHEDULE #1(u)- UESC</t>
  </si>
  <si>
    <t>1. Project Contact Information</t>
  </si>
  <si>
    <t>2. Project Identification &amp; Characteristics</t>
  </si>
  <si>
    <t>3. Project Costs and Financials</t>
  </si>
  <si>
    <t>4. Project Capitalization</t>
  </si>
  <si>
    <t>5. Other</t>
  </si>
  <si>
    <t>Annual Escalation Rates</t>
  </si>
  <si>
    <r>
      <t>2.</t>
    </r>
    <r>
      <rPr>
        <sz val="7"/>
        <color rgb="FF000000"/>
        <rFont val="Century Gothic"/>
        <family val="1"/>
      </rPr>
      <t xml:space="preserve">     </t>
    </r>
    <r>
      <rPr>
        <sz val="12"/>
        <color rgb="FF000000"/>
        <rFont val="Century Gothic"/>
        <family val="1"/>
      </rPr>
      <t xml:space="preserve">Performance Period Expenses: The post-acceptance performance period section pertains to the total expenses associated with the services the contractor supplies to manage the project, maintain and verify ECM performance during the post-acceptance performance period, and any other applicable expenses. </t>
    </r>
  </si>
  <si>
    <t>Sch1-Ann Cost Sav &amp; Pymts</t>
  </si>
  <si>
    <t>Sch1u-Ann Cost Sav &amp; Pymts-UESC</t>
  </si>
  <si>
    <t>Sch2a-Imp Price by ECM</t>
  </si>
  <si>
    <t>Sch3-Perf Period Cash Flow</t>
  </si>
  <si>
    <t>Sheet</t>
  </si>
  <si>
    <t>Project Type</t>
  </si>
  <si>
    <t>All</t>
  </si>
  <si>
    <t>(2) The total of annual payments represents the contract price and should be supported by information submitted.</t>
  </si>
  <si>
    <t>(3) If applicable, prior to the performance period, implementation period energy savings and payments are one-time amounts only.</t>
  </si>
  <si>
    <t xml:space="preserve">(4) Escalation rates (see Annual Escalation Rates) apply to the estimated annual cost savings in column (d). </t>
  </si>
  <si>
    <r>
      <rPr>
        <b/>
        <sz val="12"/>
        <rFont val="Century Gothic"/>
        <family val="2"/>
      </rPr>
      <t>IMPORTANT INFORMATION</t>
    </r>
    <r>
      <rPr>
        <sz val="12"/>
        <rFont val="Century Gothic"/>
        <family val="2"/>
      </rPr>
      <t>: See the ePB Data Template User Guide on the</t>
    </r>
    <r>
      <rPr>
        <u/>
        <sz val="12"/>
        <color theme="10"/>
        <rFont val="Century Gothic"/>
        <family val="2"/>
      </rPr>
      <t xml:space="preserve"> Help &amp; Documentation Page</t>
    </r>
    <r>
      <rPr>
        <sz val="12"/>
        <rFont val="Century Gothic"/>
        <family val="2"/>
      </rPr>
      <t xml:space="preserve"> for additional information on completing the data template.</t>
    </r>
  </si>
  <si>
    <t>Summary Schedule</t>
  </si>
  <si>
    <t>Sch2b-Project Imp Pricing</t>
  </si>
  <si>
    <t>Sch4-Cost Savings by ECM</t>
  </si>
  <si>
    <t>Sch5-Cancellation Ceilings</t>
  </si>
  <si>
    <t>Federal projects only</t>
  </si>
  <si>
    <t>The Summary Schedule is intended to capture high-level information about the overall project. The information on the Summary sheet is divided into 5 broad categories:</t>
  </si>
  <si>
    <t>Agency Name</t>
  </si>
  <si>
    <t>ECM - Technology Category</t>
  </si>
  <si>
    <t>Implementation Period (months)</t>
  </si>
  <si>
    <t>ECM Description – Title</t>
  </si>
  <si>
    <t>Estimated Cost Savings</t>
  </si>
  <si>
    <t>Payments</t>
  </si>
  <si>
    <t>Guaranteed Cost Savings</t>
  </si>
  <si>
    <t>Total Floor Area Affected by Project (Square Feet)</t>
  </si>
  <si>
    <t>(1) Implementation period savings (both estimated and guaranteed) can represent two things: a) construction period savings (where savings from some ECMs start accruing before construction is complete on the greater project), and b) customer buydown amounts.  Customer buydowns are counted as savings because they constitute offsets to capital expenses in the project.  Implementation period savings should not include up-front project incentives (e.g., equipment rebates) because those are entered in Schedule 2a.</t>
  </si>
  <si>
    <t>(1) Implementation period savings can represent two things: a) construction period savings (where savings from some ECMs start accruing before construction is complete on the greater project), and b) customer buydown amounts.  Customer buydowns are counted as savings because they constitute offsets to capital expenses in the project.  Implementation period savings should not include up-front project incentives (e.g., equipment rebates) because those are entered in Schedule 2a.</t>
  </si>
  <si>
    <t>List of Buildings in Project (separated by comma if more than one)</t>
  </si>
  <si>
    <t>Other Non-Energy Savings</t>
  </si>
  <si>
    <t>Agreement Type</t>
  </si>
  <si>
    <t xml:space="preserve">This schedule presents the total implementation cost for each of the ECMs included in the project. It includes fields to characterize the ECM: technology category, number and description. It also includes other fields intended to capture the size and scope of the measure. </t>
  </si>
  <si>
    <t>Schedule 2b is optional for all users except those under the 2017 FEMP IDIQ contract. Schedule 2b itemizes project-level pricing, which is broken down into two major categories: (1) Cost of Goods &amp; Services, and (2) Implementation Delivery Percentage/Charge.</t>
  </si>
  <si>
    <t>This schedule presents the project's overall proposed cash flow. This schedule is divided into two sections:</t>
  </si>
  <si>
    <r>
      <t>1.</t>
    </r>
    <r>
      <rPr>
        <sz val="7"/>
        <color rgb="FF000000"/>
        <rFont val="Century Gothic"/>
        <family val="1"/>
      </rPr>
      <t xml:space="preserve">     </t>
    </r>
    <r>
      <rPr>
        <sz val="12"/>
        <color rgb="FF000000"/>
        <rFont val="Century Gothic"/>
        <family val="1"/>
      </rPr>
      <t>Debt Service/Performance Period Payments: The total implementation price less any one-time savings and/or ECM cost savings during the implementation period (Sch2a-Imp Price by ECM) is amortized based on the financing terms shown on Summary Sheet to calculate the overall debt service payment after excluding any financial or tax incentives or revenues, thereby reducing principal repayment or interest.</t>
    </r>
  </si>
  <si>
    <t xml:space="preserve">A summary of the proposed estimated first year cost savings that will be achieved following the installation of the ECMs included in the project. The annual cost savings shown for each ECM are broken down into energy, demand, water and non-energy cost savings. The energy baseline and savings shall be presented in the energy type consumed by the equipment and also converted to MMBTUs. </t>
  </si>
  <si>
    <t xml:space="preserve">A presentation of annual cancellation ceilings to establish the maximum termination liability in the event of contract cancellation or termination. </t>
  </si>
  <si>
    <t>Annual Escalation Rates are intended to capture the rates that are used to calculate the year-over-year energy savings for each of the different savings streams - both utility and non-utility. The first year savings reported on Sch4-Cost Savings by ECM will be escalated using the appropriate escalation rates to calculate Estimated Annual Cost Savings for subsequent years.</t>
  </si>
  <si>
    <t>Other Direct Purchases of Equipment, Material, Supplies (Supplier Costs To ESCO)  exclusive of M&amp;V equipment</t>
  </si>
  <si>
    <t>=</t>
  </si>
  <si>
    <t>Select "UESC" on Summary Schedule C4</t>
  </si>
  <si>
    <t>The calculated estimated Annual Cost Savings for different years along with the related Annual Payment are shown on this schedule. The only user-entered fields on this schedule are Estimated Cost Savings and Payments for the implementation period. Only applicable for UESC projects.</t>
  </si>
  <si>
    <t>Baseline Use 1</t>
  </si>
  <si>
    <t>Baseline Use 1: Coal</t>
  </si>
  <si>
    <t>Baseline Use 1: Diesel</t>
  </si>
  <si>
    <t>Baseline Use 1: Gasoline</t>
  </si>
  <si>
    <t>Baseline Use 1: Heating Oil</t>
  </si>
  <si>
    <t>Baseline Use 1: Jet Fuel</t>
  </si>
  <si>
    <t>Baseline Use 1: Purchased Steam</t>
  </si>
  <si>
    <t>Baseline Use 1: Chilled Water</t>
  </si>
  <si>
    <t>Baseline Use 1: Propane</t>
  </si>
  <si>
    <t>Baseline Use 1: Other</t>
  </si>
  <si>
    <t>Baseline Use 2</t>
  </si>
  <si>
    <t>Baseline Use 2: Coal</t>
  </si>
  <si>
    <t>Baseline Use 2: Diesel</t>
  </si>
  <si>
    <t>Baseline Use 2: Gasoline</t>
  </si>
  <si>
    <t>Baseline Use 2: Heating Oil</t>
  </si>
  <si>
    <t>Baseline Use 2: Jet Fuel</t>
  </si>
  <si>
    <t>Baseline Use 2: Purchased Steam</t>
  </si>
  <si>
    <t>Baseline Use 2: Chilled Water</t>
  </si>
  <si>
    <t>Baseline Use 2: Propane</t>
  </si>
  <si>
    <t>Baseline Use 2: Other</t>
  </si>
  <si>
    <t>Resource Enumerations- Schedule 4</t>
  </si>
  <si>
    <t xml:space="preserve">All except UESC </t>
  </si>
  <si>
    <t>All except UESC</t>
  </si>
  <si>
    <t xml:space="preserve">BRIEF DESCRIPTION OF VARIOUS SCHEDULES </t>
  </si>
  <si>
    <t>The calculated Estimated Annual Cost Savings for each performance year along with the Guaranteed Annual Cost Savings and the related "Annual Payment" are shown on this schedule. The only user-entered fields on this schedule are Estimated Cost Savings, Guaranteed Cost Savings, and Payments for the implementation period.</t>
  </si>
  <si>
    <t>Guaranteed Savings</t>
  </si>
  <si>
    <t>0710020</t>
  </si>
  <si>
    <t>3.0.15.n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</si>
</sst>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00_)"/>
    <numFmt numFmtId="167" formatCode="[$$-409]#,##0_);\([$$-409]#,##0\)"/>
    <numFmt numFmtId="168" formatCode="0.0%"/>
    <numFmt numFmtId="169" formatCode="_(* #,##0_);_(* \(#,##0\);_(* &quot;-&quot;??_);_(@_)"/>
    <numFmt numFmtId="170" formatCode="0.000%"/>
    <numFmt numFmtId="171" formatCode="&quot;$&quot;#,##0.00"/>
    <numFmt numFmtId="172" formatCode="[&lt;=9999999]###\-####;\(###\)\ ###\-####"/>
    <numFmt numFmtId="173" formatCode="m/d/yyyy;@"/>
    <numFmt numFmtId="174" formatCode="0.0000%"/>
    <numFmt numFmtId="175" formatCode="00000"/>
  </numFmts>
  <fonts count="64">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8"/>
      <name val="Arial"/>
      <family val="2"/>
    </font>
    <font>
      <b/>
      <i/>
      <sz val="16"/>
      <name val="Helvetica"/>
      <family val="2"/>
    </font>
    <font>
      <sz val="10"/>
      <name val="Arial"/>
      <family val="2"/>
    </font>
    <font>
      <sz val="10"/>
      <name val="Century Gothic"/>
      <family val="2"/>
    </font>
    <font>
      <b/>
      <i/>
      <sz val="16"/>
      <color theme="1"/>
      <name val="Century Gothic"/>
      <family val="2"/>
    </font>
    <font>
      <sz val="12"/>
      <color theme="1"/>
      <name val="Century Gothic"/>
      <family val="2"/>
    </font>
    <font>
      <sz val="9"/>
      <color theme="1"/>
      <name val="Century Gothic"/>
      <family val="2"/>
    </font>
    <font>
      <b/>
      <sz val="12"/>
      <color theme="1"/>
      <name val="Century Gothic"/>
      <family val="2"/>
    </font>
    <font>
      <b/>
      <sz val="12"/>
      <name val="Century Gothic"/>
      <family val="2"/>
    </font>
    <font>
      <b/>
      <i/>
      <sz val="16"/>
      <color rgb="FF000000"/>
      <name val="Century Gothic"/>
      <family val="2"/>
    </font>
    <font>
      <b/>
      <sz val="11"/>
      <color rgb="FF000000"/>
      <name val="Century Gothic"/>
      <family val="2"/>
    </font>
    <font>
      <b/>
      <sz val="11"/>
      <name val="Century Gothic"/>
      <family val="2"/>
    </font>
    <font>
      <sz val="11"/>
      <name val="Century Gothic"/>
      <family val="2"/>
    </font>
    <font>
      <sz val="12"/>
      <name val="Century Gothic"/>
      <family val="2"/>
    </font>
    <font>
      <b/>
      <sz val="11"/>
      <color theme="1"/>
      <name val="Century Gothic"/>
      <family val="2"/>
    </font>
    <font>
      <sz val="11"/>
      <color theme="1"/>
      <name val="Century Gothic"/>
      <family val="2"/>
    </font>
    <font>
      <b/>
      <sz val="11"/>
      <color rgb="FF00B050"/>
      <name val="Century Gothic"/>
      <family val="2"/>
    </font>
    <font>
      <b/>
      <sz val="12"/>
      <color rgb="FF000000"/>
      <name val="Century Gothic"/>
      <family val="2"/>
    </font>
    <font>
      <sz val="10"/>
      <color rgb="FF000000"/>
      <name val="Century Gothic"/>
      <family val="2"/>
    </font>
    <font>
      <sz val="10"/>
      <color theme="1"/>
      <name val="Century Gothic"/>
      <family val="2"/>
    </font>
    <font>
      <b/>
      <i/>
      <sz val="16"/>
      <name val="Century Gothic"/>
      <family val="2"/>
    </font>
    <font>
      <b/>
      <i/>
      <sz val="11"/>
      <name val="Century Gothic"/>
      <family val="2"/>
    </font>
    <font>
      <i/>
      <sz val="11"/>
      <name val="Century Gothic"/>
      <family val="2"/>
    </font>
    <font>
      <b/>
      <sz val="12"/>
      <color rgb="FF00B050"/>
      <name val="Century Gothic"/>
      <family val="2"/>
    </font>
    <font>
      <b/>
      <i/>
      <sz val="14"/>
      <name val="Century Gothic"/>
      <family val="2"/>
    </font>
    <font>
      <b/>
      <i/>
      <sz val="12"/>
      <name val="Century Gothic"/>
      <family val="2"/>
    </font>
    <font>
      <sz val="11"/>
      <color rgb="FF000000"/>
      <name val="Century Gothic"/>
      <family val="2"/>
    </font>
    <font>
      <sz val="9"/>
      <name val="Geneva"/>
      <family val="2"/>
    </font>
    <font>
      <sz val="11"/>
      <name val="Times New Roman"/>
      <family val="1"/>
    </font>
    <font>
      <sz val="13"/>
      <color rgb="FF444444"/>
      <name val="Lucida Grande"/>
      <family val="2"/>
    </font>
    <font>
      <b/>
      <sz val="11"/>
      <name val="Times New Roman"/>
      <family val="1"/>
    </font>
    <font>
      <sz val="12"/>
      <color indexed="8"/>
      <name val="Times New Roman"/>
      <family val="1"/>
    </font>
    <font>
      <sz val="12"/>
      <color theme="0"/>
      <name val="Century Gothic"/>
      <family val="2"/>
    </font>
    <font>
      <b/>
      <sz val="12"/>
      <color theme="1"/>
      <name val="Calibri"/>
      <family val="2"/>
      <scheme val="minor"/>
    </font>
    <font>
      <sz val="12"/>
      <name val="Calibri"/>
      <family val="2"/>
      <scheme val="minor"/>
    </font>
    <font>
      <sz val="11"/>
      <color theme="1"/>
      <name val="Calibri"/>
      <family val="2"/>
      <scheme val="minor"/>
    </font>
    <font>
      <sz val="12"/>
      <color rgb="FF000000"/>
      <name val="Century Gothic"/>
      <family val="2"/>
    </font>
    <font>
      <sz val="10"/>
      <color theme="1"/>
      <name val="Calibri"/>
      <family val="2"/>
      <scheme val="minor"/>
    </font>
    <font>
      <b/>
      <sz val="14"/>
      <color rgb="FFFF0000"/>
      <name val="Century Gothic"/>
      <family val="2"/>
    </font>
    <font>
      <sz val="11"/>
      <color rgb="FFFF0000"/>
      <name val="Century Gothic"/>
      <family val="1"/>
    </font>
    <font>
      <b/>
      <i/>
      <sz val="8"/>
      <color rgb="FFFF0000"/>
      <name val="Century Gothic"/>
      <family val="1"/>
    </font>
    <font>
      <i/>
      <sz val="11"/>
      <color rgb="FFFF0000"/>
      <name val="Century Gothic"/>
      <family val="1"/>
    </font>
    <font>
      <sz val="12"/>
      <color rgb="FF000000"/>
      <name val="Calibri"/>
      <family val="2"/>
      <scheme val="minor"/>
    </font>
    <font>
      <sz val="11"/>
      <color theme="1"/>
      <name val="Arial Narrow"/>
      <family val="2"/>
    </font>
    <font>
      <sz val="11"/>
      <name val="Century Gothic"/>
      <family val="1"/>
    </font>
    <font>
      <sz val="12"/>
      <color theme="1"/>
      <name val="Century Gothic"/>
      <family val="1"/>
    </font>
    <font>
      <sz val="12"/>
      <color rgb="FF000000"/>
      <name val="Century Gothic"/>
      <family val="1"/>
    </font>
    <font>
      <sz val="7"/>
      <color rgb="FF000000"/>
      <name val="Century Gothic"/>
      <family val="1"/>
    </font>
    <font>
      <b/>
      <sz val="12"/>
      <color theme="1"/>
      <name val="Century Gothic"/>
      <family val="1"/>
    </font>
    <font>
      <b/>
      <sz val="12"/>
      <color rgb="FF000000"/>
      <name val="Century Gothic"/>
      <family val="1"/>
    </font>
    <font>
      <sz val="12"/>
      <color rgb="FFFF0000"/>
      <name val="Calibri"/>
      <family val="2"/>
      <scheme val="minor"/>
    </font>
    <font>
      <u/>
      <sz val="12"/>
      <color theme="10"/>
      <name val="Century Gothic"/>
      <family val="2"/>
    </font>
    <font>
      <sz val="11"/>
      <color theme="1"/>
      <name val="Century Gothic"/>
      <family val="1"/>
    </font>
    <font>
      <i/>
      <sz val="11"/>
      <color theme="1"/>
      <name val="Century Gothic"/>
      <family val="2"/>
    </font>
    <font>
      <sz val="11"/>
      <color rgb="FF000000"/>
      <name val="Century Gothic"/>
      <family val="1"/>
    </font>
  </fonts>
  <fills count="17">
    <fill>
      <patternFill patternType="none"/>
    </fill>
    <fill>
      <patternFill patternType="gray125"/>
    </fill>
    <fill>
      <patternFill patternType="solid">
        <fgColor rgb="FFEAEAEA"/>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mediumGray">
        <bgColor auto="1"/>
      </patternFill>
    </fill>
    <fill>
      <patternFill patternType="mediumGray"/>
    </fill>
    <fill>
      <patternFill patternType="mediumGray">
        <bgColor theme="0"/>
      </patternFill>
    </fill>
    <fill>
      <patternFill patternType="solid">
        <fgColor rgb="FF00B050"/>
        <bgColor indexed="64"/>
      </patternFill>
    </fill>
    <fill>
      <patternFill patternType="solid">
        <fgColor theme="0" tint="-0.14996795556505021"/>
        <bgColor indexed="64"/>
      </patternFill>
    </fill>
    <fill>
      <patternFill patternType="solid">
        <fgColor rgb="FFFFFF00"/>
        <bgColor rgb="FF000000"/>
      </patternFill>
    </fill>
    <fill>
      <patternFill patternType="solid">
        <fgColor rgb="FFD9D9D9"/>
        <bgColor rgb="FF000000"/>
      </patternFill>
    </fill>
    <fill>
      <patternFill patternType="solid">
        <fgColor indexed="65"/>
        <bgColor indexed="64"/>
      </patternFill>
    </fill>
    <fill>
      <patternFill patternType="solid">
        <fgColor rgb="FFFF6600"/>
        <bgColor indexed="64"/>
      </patternFill>
    </fill>
  </fills>
  <borders count="6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style="medium">
        <color rgb="FF000000"/>
      </bottom>
      <diagonal/>
    </border>
    <border>
      <left/>
      <right style="medium">
        <color auto="1"/>
      </right>
      <top style="medium">
        <color rgb="FF000000"/>
      </top>
      <bottom/>
      <diagonal/>
    </border>
    <border>
      <left style="medium">
        <color auto="1"/>
      </left>
      <right style="medium">
        <color auto="1"/>
      </right>
      <top style="medium">
        <color rgb="FF000000"/>
      </top>
      <bottom style="medium">
        <color rgb="FF000000"/>
      </bottom>
      <diagonal/>
    </border>
    <border>
      <left style="medium">
        <color auto="1"/>
      </left>
      <right style="medium">
        <color auto="1"/>
      </right>
      <top style="medium">
        <color rgb="FF000000"/>
      </top>
      <bottom/>
      <diagonal/>
    </border>
    <border>
      <left style="medium">
        <color auto="1"/>
      </left>
      <right/>
      <top style="medium">
        <color auto="1"/>
      </top>
      <bottom style="medium">
        <color rgb="FF000000"/>
      </bottom>
      <diagonal/>
    </border>
    <border>
      <left style="medium">
        <color auto="1"/>
      </left>
      <right/>
      <top style="medium">
        <color rgb="FF000000"/>
      </top>
      <bottom style="medium">
        <color rgb="FF000000"/>
      </bottom>
      <diagonal/>
    </border>
    <border>
      <left style="medium">
        <color auto="1"/>
      </left>
      <right/>
      <top style="medium">
        <color rgb="FF000000"/>
      </top>
      <bottom/>
      <diagonal/>
    </border>
    <border>
      <left style="medium">
        <color rgb="FF000000"/>
      </left>
      <right style="medium">
        <color auto="1"/>
      </right>
      <top style="medium">
        <color rgb="FF000000"/>
      </top>
      <bottom/>
      <diagonal/>
    </border>
    <border>
      <left style="medium">
        <color auto="1"/>
      </left>
      <right style="medium">
        <color rgb="FF000000"/>
      </right>
      <top/>
      <bottom/>
      <diagonal/>
    </border>
    <border>
      <left style="medium">
        <color rgb="FF000000"/>
      </left>
      <right style="medium">
        <color auto="1"/>
      </right>
      <top/>
      <bottom style="medium">
        <color rgb="FF000000"/>
      </bottom>
      <diagonal/>
    </border>
    <border>
      <left style="medium">
        <color auto="1"/>
      </left>
      <right style="medium">
        <color rgb="FF000000"/>
      </right>
      <top/>
      <bottom style="medium">
        <color rgb="FF000000"/>
      </bottom>
      <diagonal/>
    </border>
    <border>
      <left style="medium">
        <color rgb="FF000000"/>
      </left>
      <right style="medium">
        <color auto="1"/>
      </right>
      <top style="medium">
        <color rgb="FF000000"/>
      </top>
      <bottom style="medium">
        <color rgb="FF000000"/>
      </bottom>
      <diagonal/>
    </border>
    <border>
      <left/>
      <right style="medium">
        <color auto="1"/>
      </right>
      <top/>
      <bottom style="medium">
        <color rgb="FF000000"/>
      </bottom>
      <diagonal/>
    </border>
    <border>
      <left style="medium">
        <color auto="1"/>
      </left>
      <right/>
      <top/>
      <bottom style="medium">
        <color rgb="FF000000"/>
      </bottom>
      <diagonal/>
    </border>
    <border>
      <left/>
      <right/>
      <top style="medium">
        <color auto="1"/>
      </top>
      <bottom style="medium">
        <color auto="1"/>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auto="1"/>
      </left>
      <right style="medium">
        <color auto="1"/>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medium">
        <color auto="1"/>
      </right>
      <top/>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medium">
        <color rgb="FF000000"/>
      </left>
      <right/>
      <top style="medium">
        <color auto="1"/>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auto="1"/>
      </bottom>
      <diagonal/>
    </border>
    <border>
      <left style="medium">
        <color rgb="FF000000"/>
      </left>
      <right style="medium">
        <color auto="1"/>
      </right>
      <top/>
      <bottom/>
      <diagonal/>
    </border>
    <border>
      <left/>
      <right/>
      <top style="thin">
        <color auto="1"/>
      </top>
      <bottom/>
      <diagonal/>
    </border>
    <border>
      <left style="medium">
        <color rgb="FF000000"/>
      </left>
      <right/>
      <top/>
      <bottom style="medium">
        <color auto="1"/>
      </bottom>
      <diagonal/>
    </border>
    <border>
      <left style="medium">
        <color auto="1"/>
      </left>
      <right/>
      <top style="medium">
        <color rgb="FF000000"/>
      </top>
      <bottom style="medium">
        <color auto="1"/>
      </bottom>
      <diagonal/>
    </border>
    <border>
      <left/>
      <right/>
      <top style="medium">
        <color auto="1"/>
      </top>
      <bottom style="medium">
        <color rgb="FF000000"/>
      </bottom>
      <diagonal/>
    </border>
    <border>
      <left/>
      <right/>
      <top style="hair">
        <color auto="1"/>
      </top>
      <bottom/>
      <diagonal/>
    </border>
    <border>
      <left/>
      <right style="medium">
        <color auto="1"/>
      </right>
      <top style="medium">
        <color auto="1"/>
      </top>
      <bottom style="medium">
        <color rgb="FF000000"/>
      </bottom>
      <diagonal/>
    </border>
    <border>
      <left/>
      <right/>
      <top style="hair">
        <color auto="1"/>
      </top>
      <bottom style="medium">
        <color auto="1"/>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s>
  <cellStyleXfs count="109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38" fontId="9" fillId="3" borderId="0" applyNumberFormat="0" applyBorder="0" applyAlignment="0" applyProtection="0"/>
    <xf numFmtId="10" fontId="9" fillId="4" borderId="26" applyNumberFormat="0" applyBorder="0" applyAlignment="0" applyProtection="0"/>
    <xf numFmtId="166" fontId="10" fillId="0" borderId="0"/>
    <xf numFmtId="10" fontId="8"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1" fillId="0" borderId="0"/>
    <xf numFmtId="44" fontId="1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6" fillId="0" borderId="0"/>
    <xf numFmtId="43" fontId="36" fillId="0" borderId="0" applyFont="0" applyFill="0" applyBorder="0" applyAlignment="0" applyProtection="0"/>
    <xf numFmtId="44" fontId="36" fillId="0" borderId="0" applyFont="0" applyFill="0" applyBorder="0" applyAlignment="0" applyProtection="0"/>
    <xf numFmtId="0" fontId="36"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8" fillId="0" borderId="0"/>
    <xf numFmtId="44"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468">
    <xf numFmtId="0" fontId="0" fillId="0" borderId="0" xfId="0"/>
    <xf numFmtId="0" fontId="14" fillId="0" borderId="0" xfId="0" applyFont="1"/>
    <xf numFmtId="0" fontId="14" fillId="9" borderId="44" xfId="0" applyFont="1" applyFill="1" applyBorder="1" applyAlignment="1">
      <alignment vertical="center"/>
    </xf>
    <xf numFmtId="0" fontId="20" fillId="0" borderId="1" xfId="0" applyFont="1" applyBorder="1" applyAlignment="1">
      <alignment horizontal="center" vertical="center" wrapText="1"/>
    </xf>
    <xf numFmtId="0" fontId="20" fillId="0" borderId="10" xfId="0" applyFont="1" applyBorder="1" applyAlignment="1">
      <alignment horizontal="center" vertical="center"/>
    </xf>
    <xf numFmtId="0" fontId="21" fillId="8" borderId="15" xfId="0" applyFont="1" applyFill="1" applyBorder="1" applyAlignment="1">
      <alignment vertical="center" wrapText="1"/>
    </xf>
    <xf numFmtId="0" fontId="22" fillId="8" borderId="15" xfId="0" applyFont="1" applyFill="1" applyBorder="1"/>
    <xf numFmtId="0" fontId="21" fillId="8" borderId="13" xfId="0" applyFont="1" applyFill="1" applyBorder="1" applyAlignment="1">
      <alignment vertical="center" wrapText="1"/>
    </xf>
    <xf numFmtId="8" fontId="14" fillId="0" borderId="0" xfId="0" applyNumberFormat="1" applyFont="1"/>
    <xf numFmtId="3" fontId="20" fillId="8" borderId="9" xfId="0" applyNumberFormat="1" applyFont="1" applyFill="1" applyBorder="1" applyAlignment="1">
      <alignment horizontal="center" vertical="center" wrapText="1"/>
    </xf>
    <xf numFmtId="164" fontId="23" fillId="9" borderId="15" xfId="0" applyNumberFormat="1" applyFont="1" applyFill="1" applyBorder="1" applyAlignment="1">
      <alignment horizontal="center" vertical="center" wrapText="1"/>
    </xf>
    <xf numFmtId="0" fontId="22" fillId="0" borderId="0" xfId="0" applyFont="1"/>
    <xf numFmtId="0" fontId="21" fillId="8" borderId="44" xfId="0" applyFont="1" applyFill="1" applyBorder="1" applyAlignment="1">
      <alignment horizontal="right" vertical="center" wrapText="1"/>
    </xf>
    <xf numFmtId="0" fontId="21" fillId="8" borderId="44" xfId="0" applyFont="1" applyFill="1" applyBorder="1"/>
    <xf numFmtId="0" fontId="21" fillId="9" borderId="44" xfId="0" applyFont="1" applyFill="1" applyBorder="1"/>
    <xf numFmtId="0" fontId="22" fillId="9" borderId="44" xfId="0" applyFont="1" applyFill="1" applyBorder="1"/>
    <xf numFmtId="0" fontId="21" fillId="0" borderId="10" xfId="0" applyFont="1" applyBorder="1" applyAlignment="1">
      <alignment horizontal="left" vertical="center" wrapText="1"/>
    </xf>
    <xf numFmtId="0" fontId="31" fillId="0" borderId="10" xfId="0" applyFont="1" applyBorder="1" applyAlignment="1">
      <alignment horizontal="left" vertical="center" wrapText="1"/>
    </xf>
    <xf numFmtId="0" fontId="21" fillId="8" borderId="15" xfId="0" applyFont="1" applyFill="1" applyBorder="1" applyAlignment="1">
      <alignment horizontal="left" vertical="center" wrapText="1"/>
    </xf>
    <xf numFmtId="6" fontId="21" fillId="8" borderId="22" xfId="0" applyNumberFormat="1" applyFont="1" applyFill="1" applyBorder="1" applyAlignment="1">
      <alignment horizontal="right" vertical="center" wrapText="1"/>
    </xf>
    <xf numFmtId="0" fontId="21" fillId="0" borderId="0" xfId="0" applyFont="1"/>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12" fillId="0" borderId="0" xfId="0" applyFont="1"/>
    <xf numFmtId="9" fontId="14" fillId="0" borderId="0" xfId="7" applyFont="1"/>
    <xf numFmtId="6" fontId="14" fillId="0" borderId="0" xfId="0" applyNumberFormat="1" applyFont="1"/>
    <xf numFmtId="167" fontId="14" fillId="0" borderId="0" xfId="0" applyNumberFormat="1" applyFont="1"/>
    <xf numFmtId="0" fontId="14" fillId="9" borderId="22" xfId="0" applyFont="1" applyFill="1" applyBorder="1" applyAlignment="1">
      <alignment vertical="center"/>
    </xf>
    <xf numFmtId="0" fontId="23" fillId="10" borderId="22" xfId="0" applyNumberFormat="1" applyFont="1" applyFill="1" applyBorder="1" applyAlignment="1">
      <alignment horizontal="center" vertical="center" wrapText="1"/>
    </xf>
    <xf numFmtId="0" fontId="33" fillId="9" borderId="17" xfId="0" applyFont="1" applyFill="1" applyBorder="1" applyAlignment="1">
      <alignment horizontal="center" vertical="center"/>
    </xf>
    <xf numFmtId="0" fontId="33" fillId="0" borderId="0" xfId="0" applyFont="1" applyBorder="1" applyAlignment="1">
      <alignment horizontal="center" vertical="center"/>
    </xf>
    <xf numFmtId="0" fontId="20" fillId="0" borderId="32" xfId="0" applyFont="1" applyBorder="1" applyAlignment="1">
      <alignment vertical="center" wrapText="1"/>
    </xf>
    <xf numFmtId="0" fontId="22" fillId="9" borderId="19" xfId="0" applyFont="1" applyFill="1" applyBorder="1"/>
    <xf numFmtId="0" fontId="33" fillId="9" borderId="0" xfId="0" applyFont="1" applyFill="1" applyBorder="1" applyAlignment="1">
      <alignment horizontal="center" vertical="center"/>
    </xf>
    <xf numFmtId="0" fontId="22" fillId="9" borderId="0" xfId="0" applyFont="1" applyFill="1" applyBorder="1"/>
    <xf numFmtId="0" fontId="21" fillId="7" borderId="32" xfId="0" applyFont="1" applyFill="1" applyBorder="1" applyAlignment="1">
      <alignment vertical="center" wrapText="1"/>
    </xf>
    <xf numFmtId="0" fontId="21" fillId="0" borderId="32" xfId="0" applyFont="1" applyFill="1" applyBorder="1" applyAlignment="1">
      <alignment vertical="center" wrapText="1"/>
    </xf>
    <xf numFmtId="0" fontId="21" fillId="0" borderId="45" xfId="0" applyFont="1" applyBorder="1" applyAlignment="1">
      <alignment vertical="center" wrapText="1"/>
    </xf>
    <xf numFmtId="0" fontId="21" fillId="0" borderId="33" xfId="0" applyFont="1" applyFill="1" applyBorder="1" applyAlignment="1">
      <alignment vertical="center" wrapText="1"/>
    </xf>
    <xf numFmtId="0" fontId="21" fillId="8" borderId="0" xfId="0" applyFont="1" applyFill="1" applyBorder="1" applyAlignment="1">
      <alignment horizontal="left" vertical="center" wrapText="1"/>
    </xf>
    <xf numFmtId="6" fontId="21" fillId="8" borderId="0" xfId="0" applyNumberFormat="1" applyFont="1" applyFill="1" applyBorder="1" applyAlignment="1">
      <alignment horizontal="center" vertical="center" wrapText="1"/>
    </xf>
    <xf numFmtId="0" fontId="21" fillId="9" borderId="0" xfId="0" applyFont="1" applyFill="1" applyBorder="1" applyAlignment="1">
      <alignment horizontal="left" vertical="center" wrapText="1"/>
    </xf>
    <xf numFmtId="6" fontId="21" fillId="9" borderId="0" xfId="0" applyNumberFormat="1" applyFont="1" applyFill="1" applyBorder="1" applyAlignment="1">
      <alignment horizontal="right" vertical="center" wrapText="1"/>
    </xf>
    <xf numFmtId="0" fontId="24" fillId="9" borderId="8" xfId="0" applyFont="1" applyFill="1" applyBorder="1" applyAlignment="1">
      <alignment vertical="center" wrapText="1"/>
    </xf>
    <xf numFmtId="3" fontId="23" fillId="9" borderId="8" xfId="0" applyNumberFormat="1" applyFont="1" applyFill="1" applyBorder="1" applyAlignment="1">
      <alignment horizontal="right" vertical="center" wrapText="1"/>
    </xf>
    <xf numFmtId="6" fontId="23" fillId="9" borderId="8" xfId="0" applyNumberFormat="1" applyFont="1" applyFill="1" applyBorder="1" applyAlignment="1">
      <alignment horizontal="right" vertical="center" wrapText="1"/>
    </xf>
    <xf numFmtId="0" fontId="23" fillId="9" borderId="8" xfId="0" applyFont="1" applyFill="1" applyBorder="1" applyAlignment="1">
      <alignment horizontal="right" vertical="center" wrapText="1"/>
    </xf>
    <xf numFmtId="0" fontId="23" fillId="9" borderId="8" xfId="0" applyFont="1" applyFill="1" applyBorder="1" applyAlignment="1">
      <alignment horizontal="center" vertical="center" wrapText="1"/>
    </xf>
    <xf numFmtId="3" fontId="25" fillId="9" borderId="8" xfId="0" applyNumberFormat="1" applyFont="1" applyFill="1" applyBorder="1" applyAlignment="1">
      <alignment horizontal="right" vertical="center" wrapText="1"/>
    </xf>
    <xf numFmtId="0" fontId="14" fillId="8" borderId="8" xfId="0" applyFont="1" applyFill="1" applyBorder="1"/>
    <xf numFmtId="8" fontId="14" fillId="0" borderId="0" xfId="132" applyNumberFormat="1" applyFont="1"/>
    <xf numFmtId="0" fontId="16" fillId="0" borderId="27" xfId="0" applyFont="1" applyBorder="1" applyAlignment="1">
      <alignment horizontal="center" wrapText="1"/>
    </xf>
    <xf numFmtId="0" fontId="22" fillId="9" borderId="5" xfId="0" applyFont="1" applyFill="1" applyBorder="1"/>
    <xf numFmtId="6" fontId="22" fillId="0" borderId="0" xfId="0" applyNumberFormat="1" applyFont="1"/>
    <xf numFmtId="0" fontId="19" fillId="0" borderId="27" xfId="0" applyFont="1" applyBorder="1" applyAlignment="1">
      <alignment horizontal="center" vertical="center" wrapText="1"/>
    </xf>
    <xf numFmtId="165" fontId="21" fillId="6" borderId="13" xfId="131" applyNumberFormat="1" applyFont="1" applyFill="1" applyBorder="1" applyAlignment="1">
      <alignment horizontal="center" vertical="center" wrapText="1"/>
    </xf>
    <xf numFmtId="165" fontId="20" fillId="6" borderId="9" xfId="131" applyNumberFormat="1" applyFont="1" applyFill="1" applyBorder="1" applyAlignment="1">
      <alignment horizontal="center" vertical="center" wrapText="1"/>
    </xf>
    <xf numFmtId="0" fontId="37" fillId="0" borderId="0" xfId="411" applyFont="1" applyFill="1" applyBorder="1"/>
    <xf numFmtId="165" fontId="21" fillId="6" borderId="13" xfId="0" applyNumberFormat="1" applyFont="1" applyFill="1" applyBorder="1" applyAlignment="1">
      <alignment horizontal="center" vertical="center" wrapText="1"/>
    </xf>
    <xf numFmtId="0" fontId="21" fillId="8" borderId="11" xfId="0" applyFont="1" applyFill="1" applyBorder="1" applyAlignment="1">
      <alignment horizontal="left" vertical="center" wrapText="1"/>
    </xf>
    <xf numFmtId="0" fontId="38" fillId="0" borderId="0" xfId="0" applyFont="1"/>
    <xf numFmtId="0" fontId="21" fillId="0" borderId="46" xfId="0" applyFont="1" applyBorder="1" applyAlignment="1">
      <alignment horizontal="left" vertical="center" wrapText="1"/>
    </xf>
    <xf numFmtId="0" fontId="16" fillId="5" borderId="27" xfId="0" applyFont="1" applyFill="1" applyBorder="1" applyAlignment="1" applyProtection="1">
      <alignment horizontal="center" wrapText="1"/>
      <protection locked="0"/>
    </xf>
    <xf numFmtId="6" fontId="24" fillId="5" borderId="27" xfId="0" applyNumberFormat="1" applyFont="1" applyFill="1" applyBorder="1" applyAlignment="1" applyProtection="1">
      <alignment horizontal="center" vertical="center" wrapText="1"/>
      <protection locked="0"/>
    </xf>
    <xf numFmtId="169" fontId="21" fillId="5" borderId="9" xfId="132" applyNumberFormat="1" applyFont="1" applyFill="1" applyBorder="1" applyAlignment="1" applyProtection="1">
      <alignment horizontal="center" vertical="center" wrapText="1"/>
      <protection locked="0"/>
    </xf>
    <xf numFmtId="165" fontId="21" fillId="5" borderId="9" xfId="132" applyNumberFormat="1" applyFont="1" applyFill="1" applyBorder="1" applyAlignment="1" applyProtection="1">
      <alignment horizontal="center" vertical="center" wrapText="1"/>
      <protection locked="0"/>
    </xf>
    <xf numFmtId="3" fontId="21" fillId="5" borderId="9" xfId="132" applyNumberFormat="1" applyFont="1" applyFill="1" applyBorder="1" applyAlignment="1" applyProtection="1">
      <alignment horizontal="center" vertical="center" wrapText="1"/>
      <protection locked="0"/>
    </xf>
    <xf numFmtId="37" fontId="21" fillId="5" borderId="9" xfId="132" applyNumberFormat="1" applyFont="1" applyFill="1" applyBorder="1" applyAlignment="1" applyProtection="1">
      <alignment horizontal="center" vertical="center" wrapText="1"/>
      <protection locked="0"/>
    </xf>
    <xf numFmtId="165" fontId="21" fillId="8" borderId="44" xfId="0" applyNumberFormat="1" applyFont="1" applyFill="1" applyBorder="1" applyAlignment="1">
      <alignment horizontal="center" vertical="center" wrapText="1"/>
    </xf>
    <xf numFmtId="9" fontId="21" fillId="12" borderId="1" xfId="0" applyNumberFormat="1" applyFont="1" applyFill="1" applyBorder="1" applyAlignment="1" applyProtection="1">
      <alignment horizontal="center" vertical="center" wrapText="1"/>
      <protection hidden="1"/>
    </xf>
    <xf numFmtId="0" fontId="40" fillId="0" borderId="0" xfId="0" applyFont="1" applyFill="1" applyAlignment="1"/>
    <xf numFmtId="0" fontId="21" fillId="6" borderId="1" xfId="0" applyFont="1" applyFill="1" applyBorder="1" applyAlignment="1">
      <alignment horizontal="left" vertical="center" wrapText="1"/>
    </xf>
    <xf numFmtId="0" fontId="39" fillId="0" borderId="0" xfId="0" applyFont="1" applyFill="1" applyBorder="1" applyAlignment="1">
      <alignment vertical="center" wrapText="1"/>
    </xf>
    <xf numFmtId="0" fontId="21" fillId="6" borderId="12" xfId="0" applyFont="1" applyFill="1" applyBorder="1" applyAlignment="1">
      <alignment horizontal="left" vertical="center" wrapText="1"/>
    </xf>
    <xf numFmtId="0" fontId="21" fillId="8" borderId="35" xfId="0" applyFont="1" applyFill="1" applyBorder="1" applyAlignment="1" applyProtection="1">
      <alignment vertical="center" wrapText="1"/>
    </xf>
    <xf numFmtId="0" fontId="17" fillId="2" borderId="27" xfId="0" applyFont="1" applyFill="1" applyBorder="1" applyAlignment="1">
      <alignment horizontal="center" vertical="center" wrapText="1"/>
    </xf>
    <xf numFmtId="165" fontId="14" fillId="5" borderId="23" xfId="131" applyNumberFormat="1" applyFont="1" applyFill="1" applyBorder="1" applyAlignment="1" applyProtection="1">
      <alignment horizontal="center" vertical="center"/>
      <protection locked="0"/>
    </xf>
    <xf numFmtId="0" fontId="21" fillId="6" borderId="27" xfId="0" applyFont="1" applyFill="1" applyBorder="1" applyAlignment="1" applyProtection="1">
      <alignment horizontal="center" vertical="center" wrapText="1"/>
      <protection hidden="1"/>
    </xf>
    <xf numFmtId="0" fontId="21" fillId="6" borderId="47" xfId="0" applyFont="1" applyFill="1" applyBorder="1" applyAlignment="1" applyProtection="1">
      <alignment horizontal="center" vertical="center" wrapText="1"/>
      <protection hidden="1"/>
    </xf>
    <xf numFmtId="0" fontId="21" fillId="6" borderId="47" xfId="0" applyFont="1" applyFill="1" applyBorder="1" applyAlignment="1" applyProtection="1">
      <alignment horizontal="center" vertical="center"/>
    </xf>
    <xf numFmtId="0" fontId="21" fillId="6" borderId="47" xfId="0" applyFont="1" applyFill="1" applyBorder="1" applyAlignment="1" applyProtection="1">
      <alignment horizontal="center" vertical="center" wrapText="1"/>
    </xf>
    <xf numFmtId="0" fontId="41" fillId="0" borderId="0" xfId="0" applyFont="1"/>
    <xf numFmtId="0" fontId="22" fillId="0" borderId="0" xfId="0" applyFont="1" applyProtection="1">
      <protection locked="0"/>
    </xf>
    <xf numFmtId="0" fontId="22" fillId="0" borderId="0" xfId="0" applyFont="1" applyAlignment="1" applyProtection="1">
      <alignment horizontal="center"/>
      <protection locked="0"/>
    </xf>
    <xf numFmtId="0" fontId="21" fillId="0" borderId="55" xfId="0" applyFont="1" applyBorder="1" applyAlignment="1">
      <alignment vertical="center" wrapText="1"/>
    </xf>
    <xf numFmtId="0" fontId="21" fillId="0" borderId="0" xfId="0" applyFont="1" applyAlignment="1">
      <alignment wrapText="1"/>
    </xf>
    <xf numFmtId="0" fontId="42" fillId="0" borderId="0" xfId="0" applyFont="1"/>
    <xf numFmtId="0" fontId="33" fillId="0" borderId="0" xfId="0" applyFont="1" applyFill="1" applyBorder="1" applyAlignment="1" applyProtection="1">
      <alignment vertical="center"/>
      <protection locked="0"/>
    </xf>
    <xf numFmtId="0" fontId="22" fillId="0" borderId="0" xfId="0" applyFont="1" applyFill="1" applyProtection="1">
      <protection locked="0"/>
    </xf>
    <xf numFmtId="0" fontId="33" fillId="0" borderId="0" xfId="0" applyFont="1" applyFill="1" applyBorder="1" applyAlignment="1" applyProtection="1">
      <alignment horizontal="center" vertical="center"/>
      <protection locked="0"/>
    </xf>
    <xf numFmtId="0" fontId="35" fillId="0" borderId="28" xfId="0" applyFont="1" applyBorder="1" applyAlignment="1">
      <alignment vertical="center" wrapText="1"/>
    </xf>
    <xf numFmtId="0" fontId="35" fillId="0" borderId="27" xfId="0" applyFont="1" applyBorder="1" applyAlignment="1">
      <alignment horizontal="center" vertical="center"/>
    </xf>
    <xf numFmtId="0" fontId="35" fillId="0" borderId="27" xfId="0" applyFont="1" applyBorder="1" applyAlignment="1">
      <alignment vertical="center" wrapText="1"/>
    </xf>
    <xf numFmtId="0" fontId="44" fillId="8" borderId="44" xfId="0" applyFont="1" applyFill="1" applyBorder="1"/>
    <xf numFmtId="0" fontId="35" fillId="0" borderId="28" xfId="0" applyFont="1" applyBorder="1" applyAlignment="1">
      <alignment horizontal="center" vertical="center"/>
    </xf>
    <xf numFmtId="0" fontId="19" fillId="0" borderId="17" xfId="0" applyFont="1" applyBorder="1" applyAlignment="1">
      <alignment horizontal="center" vertical="center" wrapText="1"/>
    </xf>
    <xf numFmtId="10" fontId="14" fillId="8" borderId="50" xfId="805" applyNumberFormat="1" applyFont="1" applyFill="1" applyBorder="1" applyAlignment="1">
      <alignment horizontal="center" vertical="center" wrapText="1"/>
    </xf>
    <xf numFmtId="170" fontId="0" fillId="0" borderId="0" xfId="7" applyNumberFormat="1" applyFont="1"/>
    <xf numFmtId="0" fontId="47" fillId="0" borderId="0" xfId="0" applyFont="1"/>
    <xf numFmtId="5" fontId="48" fillId="9" borderId="3" xfId="131" applyNumberFormat="1" applyFont="1" applyFill="1" applyBorder="1" applyAlignment="1">
      <alignment horizontal="center" vertical="center" wrapText="1"/>
    </xf>
    <xf numFmtId="0" fontId="48" fillId="9" borderId="0" xfId="0" applyFont="1" applyFill="1" applyBorder="1" applyAlignment="1">
      <alignment horizontal="right" vertical="center" wrapText="1"/>
    </xf>
    <xf numFmtId="0" fontId="49" fillId="15" borderId="0" xfId="0" applyFont="1" applyFill="1" applyBorder="1" applyAlignment="1">
      <alignment horizontal="left" vertical="center" wrapText="1"/>
    </xf>
    <xf numFmtId="0" fontId="50" fillId="15" borderId="0" xfId="0" applyFont="1" applyFill="1" applyBorder="1" applyAlignment="1">
      <alignment horizontal="right" vertical="center" wrapText="1"/>
    </xf>
    <xf numFmtId="0" fontId="35" fillId="0" borderId="28" xfId="0" applyFont="1" applyFill="1" applyBorder="1" applyAlignment="1">
      <alignment vertical="center" wrapText="1"/>
    </xf>
    <xf numFmtId="0" fontId="35" fillId="0" borderId="27" xfId="0" applyFont="1" applyFill="1" applyBorder="1" applyAlignment="1">
      <alignment vertical="center" wrapText="1"/>
    </xf>
    <xf numFmtId="0" fontId="19" fillId="0" borderId="27" xfId="0" applyFont="1" applyFill="1" applyBorder="1" applyAlignment="1">
      <alignment horizontal="center" vertical="center" wrapText="1"/>
    </xf>
    <xf numFmtId="165" fontId="21" fillId="8" borderId="22" xfId="0" applyNumberFormat="1" applyFont="1" applyFill="1" applyBorder="1" applyAlignment="1">
      <alignment horizontal="right" vertical="center" wrapText="1"/>
    </xf>
    <xf numFmtId="165" fontId="21" fillId="8" borderId="48" xfId="0" applyNumberFormat="1" applyFont="1" applyFill="1" applyBorder="1" applyAlignment="1">
      <alignment horizontal="right" vertical="center" wrapText="1"/>
    </xf>
    <xf numFmtId="0" fontId="21" fillId="5" borderId="12" xfId="0" applyFont="1" applyFill="1" applyBorder="1" applyAlignment="1" applyProtection="1">
      <alignment horizontal="center" vertical="center" wrapText="1"/>
      <protection locked="0"/>
    </xf>
    <xf numFmtId="0" fontId="21" fillId="5" borderId="41" xfId="0" applyFont="1" applyFill="1" applyBorder="1" applyAlignment="1" applyProtection="1">
      <alignment horizontal="center" vertical="center" wrapText="1"/>
      <protection locked="0"/>
    </xf>
    <xf numFmtId="0" fontId="21" fillId="5" borderId="27" xfId="0" applyFont="1" applyFill="1" applyBorder="1" applyAlignment="1" applyProtection="1">
      <alignment horizontal="center" vertical="center"/>
      <protection locked="0"/>
    </xf>
    <xf numFmtId="49" fontId="21" fillId="5" borderId="56" xfId="0" applyNumberFormat="1" applyFont="1" applyFill="1" applyBorder="1" applyAlignment="1" applyProtection="1">
      <alignment horizontal="center" vertical="center" wrapText="1"/>
      <protection locked="0"/>
    </xf>
    <xf numFmtId="0" fontId="21" fillId="5" borderId="30" xfId="0" applyFont="1" applyFill="1" applyBorder="1" applyAlignment="1" applyProtection="1">
      <alignment horizontal="center" vertical="center" wrapText="1"/>
      <protection locked="0"/>
    </xf>
    <xf numFmtId="0" fontId="21" fillId="5" borderId="27" xfId="0" applyFont="1" applyFill="1" applyBorder="1" applyAlignment="1" applyProtection="1">
      <alignment horizontal="center" vertical="center" wrapText="1"/>
      <protection locked="0"/>
    </xf>
    <xf numFmtId="10" fontId="14" fillId="5" borderId="27" xfId="0" applyNumberFormat="1" applyFont="1" applyFill="1" applyBorder="1" applyAlignment="1" applyProtection="1">
      <alignment horizontal="center" vertical="center"/>
      <protection locked="0"/>
    </xf>
    <xf numFmtId="6" fontId="21" fillId="5" borderId="9" xfId="0" applyNumberFormat="1" applyFont="1" applyFill="1" applyBorder="1" applyAlignment="1" applyProtection="1">
      <alignment horizontal="center" vertical="center" wrapText="1"/>
      <protection locked="0"/>
    </xf>
    <xf numFmtId="0" fontId="21" fillId="5" borderId="9" xfId="0" applyFont="1" applyFill="1" applyBorder="1" applyAlignment="1" applyProtection="1">
      <alignment horizontal="center" vertical="center" wrapText="1"/>
      <protection locked="0"/>
    </xf>
    <xf numFmtId="10" fontId="21" fillId="5" borderId="9" xfId="0"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10" fontId="14" fillId="5" borderId="27" xfId="0" applyNumberFormat="1" applyFont="1" applyFill="1" applyBorder="1" applyAlignment="1" applyProtection="1">
      <alignment horizontal="center"/>
      <protection locked="0"/>
    </xf>
    <xf numFmtId="0" fontId="21" fillId="5" borderId="13" xfId="0" applyFont="1" applyFill="1" applyBorder="1" applyAlignment="1" applyProtection="1">
      <alignment horizontal="center" vertical="center" wrapText="1"/>
      <protection locked="0"/>
    </xf>
    <xf numFmtId="165" fontId="21" fillId="5" borderId="9" xfId="0" applyNumberFormat="1" applyFont="1" applyFill="1" applyBorder="1" applyAlignment="1" applyProtection="1">
      <alignment horizontal="center" vertical="center" wrapText="1"/>
      <protection locked="0"/>
    </xf>
    <xf numFmtId="3" fontId="21" fillId="5" borderId="9" xfId="0" applyNumberFormat="1" applyFont="1" applyFill="1" applyBorder="1" applyAlignment="1" applyProtection="1">
      <alignment horizontal="center" vertical="center" wrapText="1"/>
      <protection locked="0"/>
    </xf>
    <xf numFmtId="165" fontId="21" fillId="5" borderId="13" xfId="0" applyNumberFormat="1" applyFont="1" applyFill="1" applyBorder="1" applyAlignment="1" applyProtection="1">
      <alignment horizontal="center" vertical="center" wrapText="1"/>
      <protection locked="0"/>
    </xf>
    <xf numFmtId="165" fontId="21" fillId="5" borderId="9" xfId="950" applyNumberFormat="1" applyFont="1" applyFill="1" applyBorder="1" applyAlignment="1" applyProtection="1">
      <alignment horizontal="center" vertical="center" wrapText="1"/>
      <protection locked="0"/>
    </xf>
    <xf numFmtId="37" fontId="21" fillId="5" borderId="9" xfId="950" applyNumberFormat="1" applyFont="1" applyFill="1" applyBorder="1" applyAlignment="1" applyProtection="1">
      <alignment horizontal="center" vertical="center" wrapText="1"/>
      <protection locked="0"/>
    </xf>
    <xf numFmtId="0" fontId="51" fillId="0" borderId="0" xfId="0" applyFont="1"/>
    <xf numFmtId="17" fontId="21" fillId="5" borderId="1" xfId="0" applyNumberFormat="1" applyFont="1" applyFill="1" applyBorder="1" applyAlignment="1" applyProtection="1">
      <alignment horizontal="center" vertical="center" wrapText="1"/>
      <protection locked="0"/>
    </xf>
    <xf numFmtId="174" fontId="45" fillId="5" borderId="27" xfId="959" applyNumberFormat="1" applyFont="1" applyFill="1" applyBorder="1" applyAlignment="1" applyProtection="1">
      <alignment horizontal="center" vertical="center" wrapText="1"/>
      <protection locked="0"/>
    </xf>
    <xf numFmtId="174" fontId="45" fillId="5" borderId="28" xfId="959" applyNumberFormat="1" applyFont="1" applyFill="1" applyBorder="1" applyAlignment="1" applyProtection="1">
      <alignment horizontal="center" vertical="center" wrapText="1"/>
      <protection locked="0"/>
    </xf>
    <xf numFmtId="3" fontId="21" fillId="5" borderId="9" xfId="950" applyNumberFormat="1" applyFont="1" applyFill="1" applyBorder="1" applyAlignment="1" applyProtection="1">
      <alignment horizontal="center" vertical="center" wrapText="1"/>
      <protection locked="0"/>
    </xf>
    <xf numFmtId="169" fontId="21" fillId="5" borderId="9" xfId="950" applyNumberFormat="1" applyFont="1" applyFill="1" applyBorder="1" applyAlignment="1" applyProtection="1">
      <alignment horizontal="center" vertical="center" wrapText="1"/>
      <protection locked="0"/>
    </xf>
    <xf numFmtId="0" fontId="48" fillId="6" borderId="16" xfId="0" applyFont="1" applyFill="1" applyBorder="1" applyAlignment="1" applyProtection="1">
      <alignment vertical="center" wrapText="1"/>
      <protection hidden="1"/>
    </xf>
    <xf numFmtId="0" fontId="48" fillId="6" borderId="21" xfId="0" applyFont="1" applyFill="1" applyBorder="1" applyAlignment="1" applyProtection="1">
      <alignment vertical="center" wrapText="1"/>
      <protection hidden="1"/>
    </xf>
    <xf numFmtId="0" fontId="14" fillId="9" borderId="17" xfId="0" applyFont="1" applyFill="1" applyBorder="1" applyAlignment="1">
      <alignment horizontal="center" vertical="center"/>
    </xf>
    <xf numFmtId="0" fontId="52" fillId="0" borderId="0" xfId="0" applyFont="1" applyAlignment="1">
      <alignment vertical="center"/>
    </xf>
    <xf numFmtId="6" fontId="21" fillId="8" borderId="15" xfId="0" applyNumberFormat="1" applyFont="1" applyFill="1" applyBorder="1" applyAlignment="1">
      <alignment horizontal="center" vertical="center" wrapText="1"/>
    </xf>
    <xf numFmtId="0" fontId="21" fillId="5" borderId="1" xfId="0" applyFont="1" applyFill="1" applyBorder="1" applyAlignment="1" applyProtection="1">
      <alignment vertical="center" wrapText="1"/>
      <protection locked="0"/>
    </xf>
    <xf numFmtId="6" fontId="53" fillId="5" borderId="9" xfId="0" applyNumberFormat="1" applyFont="1" applyFill="1" applyBorder="1" applyAlignment="1" applyProtection="1">
      <alignment horizontal="center" vertical="center" wrapText="1"/>
      <protection locked="0"/>
    </xf>
    <xf numFmtId="175" fontId="21" fillId="6" borderId="27" xfId="0" applyNumberFormat="1" applyFont="1" applyFill="1" applyBorder="1" applyAlignment="1" applyProtection="1">
      <alignment horizontal="center" vertical="center" wrapText="1"/>
      <protection hidden="1"/>
    </xf>
    <xf numFmtId="0" fontId="55" fillId="0" borderId="26" xfId="0" applyFont="1" applyBorder="1" applyAlignment="1">
      <alignment vertical="center" wrapText="1"/>
    </xf>
    <xf numFmtId="0" fontId="57" fillId="0" borderId="26" xfId="0" applyFont="1" applyBorder="1"/>
    <xf numFmtId="0" fontId="58" fillId="0" borderId="26" xfId="0" applyFont="1" applyBorder="1" applyAlignment="1">
      <alignment vertical="center" wrapText="1"/>
    </xf>
    <xf numFmtId="0" fontId="23" fillId="10" borderId="27" xfId="0" applyNumberFormat="1" applyFont="1" applyFill="1" applyBorder="1" applyAlignment="1">
      <alignment horizontal="center" vertical="center" wrapText="1"/>
    </xf>
    <xf numFmtId="0" fontId="21" fillId="5" borderId="4" xfId="0" applyFont="1" applyFill="1" applyBorder="1" applyAlignment="1" applyProtection="1">
      <alignment horizontal="center" vertical="center" wrapText="1"/>
      <protection locked="0"/>
    </xf>
    <xf numFmtId="0" fontId="21" fillId="5" borderId="29" xfId="0" applyFont="1" applyFill="1" applyBorder="1" applyAlignment="1" applyProtection="1">
      <alignment horizontal="center" vertical="center" wrapText="1"/>
      <protection locked="0"/>
    </xf>
    <xf numFmtId="6" fontId="20" fillId="5" borderId="9" xfId="0" applyNumberFormat="1" applyFont="1" applyFill="1" applyBorder="1" applyAlignment="1" applyProtection="1">
      <alignment horizontal="center" vertical="center" wrapText="1"/>
      <protection locked="0"/>
    </xf>
    <xf numFmtId="0" fontId="59" fillId="0" borderId="0" xfId="0" applyFont="1" applyAlignment="1">
      <alignment wrapText="1"/>
    </xf>
    <xf numFmtId="0" fontId="6" fillId="0" borderId="0" xfId="1089"/>
    <xf numFmtId="0" fontId="54" fillId="0" borderId="26" xfId="0" applyFont="1" applyBorder="1" applyAlignment="1">
      <alignment vertical="center" wrapText="1"/>
    </xf>
    <xf numFmtId="0" fontId="14" fillId="0" borderId="26" xfId="0" applyFont="1" applyBorder="1"/>
    <xf numFmtId="0" fontId="14" fillId="0" borderId="26" xfId="0" applyFont="1" applyBorder="1" applyAlignment="1">
      <alignment vertical="center" wrapText="1"/>
    </xf>
    <xf numFmtId="2" fontId="14" fillId="0" borderId="0" xfId="0" applyNumberFormat="1" applyFont="1"/>
    <xf numFmtId="6" fontId="23" fillId="5" borderId="1" xfId="0" applyNumberFormat="1" applyFont="1" applyFill="1" applyBorder="1" applyAlignment="1" applyProtection="1">
      <alignment horizontal="center" vertical="center" wrapText="1"/>
      <protection locked="0"/>
    </xf>
    <xf numFmtId="6" fontId="23" fillId="5" borderId="42" xfId="0" applyNumberFormat="1" applyFont="1" applyFill="1" applyBorder="1" applyAlignment="1" applyProtection="1">
      <alignment horizontal="center" vertical="center" wrapText="1"/>
      <protection locked="0"/>
    </xf>
    <xf numFmtId="165" fontId="24" fillId="5" borderId="27" xfId="0" applyNumberFormat="1" applyFont="1" applyFill="1" applyBorder="1" applyAlignment="1" applyProtection="1">
      <alignment horizontal="center" vertical="center" wrapText="1"/>
      <protection locked="0"/>
    </xf>
    <xf numFmtId="165" fontId="23" fillId="5" borderId="53" xfId="0" applyNumberFormat="1" applyFont="1" applyFill="1" applyBorder="1" applyAlignment="1" applyProtection="1">
      <alignment horizontal="center" vertical="center" wrapText="1"/>
      <protection locked="0"/>
    </xf>
    <xf numFmtId="6" fontId="23" fillId="5" borderId="27" xfId="0" applyNumberFormat="1" applyFont="1" applyFill="1" applyBorder="1" applyAlignment="1" applyProtection="1">
      <alignment horizontal="center" vertical="center" wrapText="1"/>
      <protection locked="0"/>
    </xf>
    <xf numFmtId="6" fontId="20" fillId="5" borderId="1" xfId="0" applyNumberFormat="1" applyFont="1" applyFill="1" applyBorder="1" applyAlignment="1" applyProtection="1">
      <alignment horizontal="center" vertical="center" wrapText="1"/>
      <protection locked="0"/>
    </xf>
    <xf numFmtId="174" fontId="26" fillId="5" borderId="28" xfId="7" applyNumberFormat="1" applyFont="1" applyFill="1" applyBorder="1" applyAlignment="1" applyProtection="1">
      <alignment horizontal="center" vertical="center" wrapText="1"/>
      <protection locked="0"/>
    </xf>
    <xf numFmtId="165" fontId="20" fillId="5" borderId="9" xfId="0" applyNumberFormat="1" applyFont="1" applyFill="1" applyBorder="1" applyAlignment="1" applyProtection="1">
      <alignment horizontal="center" vertical="center" wrapText="1"/>
      <protection locked="0"/>
    </xf>
    <xf numFmtId="169" fontId="21" fillId="5" borderId="13" xfId="132" applyNumberFormat="1" applyFont="1" applyFill="1" applyBorder="1" applyAlignment="1" applyProtection="1">
      <alignment horizontal="center" vertical="center" wrapText="1"/>
      <protection locked="0"/>
    </xf>
    <xf numFmtId="6" fontId="21" fillId="5" borderId="13" xfId="0" applyNumberFormat="1" applyFont="1" applyFill="1" applyBorder="1" applyAlignment="1" applyProtection="1">
      <alignment horizontal="center" vertical="center" wrapText="1"/>
      <protection locked="0"/>
    </xf>
    <xf numFmtId="0" fontId="21" fillId="0" borderId="0" xfId="0" applyFont="1" applyAlignment="1">
      <alignment horizontal="left"/>
    </xf>
    <xf numFmtId="0" fontId="24" fillId="0" borderId="0" xfId="0" applyFont="1" applyAlignment="1">
      <alignment horizontal="left"/>
    </xf>
    <xf numFmtId="0" fontId="44" fillId="0" borderId="0" xfId="0" applyFont="1" applyAlignment="1">
      <alignment horizontal="left"/>
    </xf>
    <xf numFmtId="2" fontId="24" fillId="0" borderId="0" xfId="0" applyNumberFormat="1" applyFont="1" applyAlignment="1">
      <alignment horizontal="left"/>
    </xf>
    <xf numFmtId="3" fontId="20" fillId="5" borderId="9" xfId="131" applyNumberFormat="1" applyFont="1" applyFill="1" applyBorder="1" applyAlignment="1" applyProtection="1">
      <alignment horizontal="center" vertical="center" wrapText="1"/>
      <protection locked="0"/>
    </xf>
    <xf numFmtId="165" fontId="20" fillId="5" borderId="9" xfId="131" applyNumberFormat="1" applyFont="1" applyFill="1" applyBorder="1" applyAlignment="1" applyProtection="1">
      <alignment horizontal="center" vertical="center" wrapText="1"/>
      <protection locked="0"/>
    </xf>
    <xf numFmtId="49" fontId="21" fillId="0" borderId="0" xfId="0" applyNumberFormat="1" applyFont="1" applyAlignment="1">
      <alignment horizontal="left"/>
    </xf>
    <xf numFmtId="0" fontId="24" fillId="5" borderId="10" xfId="0" applyFont="1" applyFill="1" applyBorder="1" applyAlignment="1" applyProtection="1">
      <alignment horizontal="left" vertical="center" wrapText="1"/>
      <protection locked="0"/>
    </xf>
    <xf numFmtId="0" fontId="62" fillId="0" borderId="10" xfId="0" applyFont="1" applyBorder="1" applyAlignment="1">
      <alignment horizontal="left" vertical="center" wrapText="1"/>
    </xf>
    <xf numFmtId="0" fontId="30" fillId="0" borderId="7" xfId="0" applyFont="1" applyBorder="1" applyAlignment="1">
      <alignment horizontal="left" vertical="center" wrapText="1"/>
    </xf>
    <xf numFmtId="0" fontId="21" fillId="8" borderId="3" xfId="0" applyFont="1" applyFill="1" applyBorder="1" applyAlignment="1">
      <alignment horizontal="left" vertical="center" wrapText="1"/>
    </xf>
    <xf numFmtId="0" fontId="21" fillId="8" borderId="27" xfId="0" applyFont="1" applyFill="1" applyBorder="1" applyAlignment="1">
      <alignment horizontal="left" vertical="center" wrapText="1"/>
    </xf>
    <xf numFmtId="0" fontId="61" fillId="0" borderId="10" xfId="0" applyFont="1" applyBorder="1" applyAlignment="1">
      <alignment horizontal="left" vertical="center" wrapText="1"/>
    </xf>
    <xf numFmtId="0" fontId="21" fillId="8" borderId="14" xfId="0" applyFont="1" applyFill="1" applyBorder="1" applyAlignment="1">
      <alignment horizontal="left" vertical="center" wrapText="1"/>
    </xf>
    <xf numFmtId="165" fontId="21" fillId="5" borderId="6" xfId="131" applyNumberFormat="1" applyFont="1" applyFill="1" applyBorder="1" applyAlignment="1" applyProtection="1">
      <alignment horizontal="center" vertical="center" wrapText="1"/>
      <protection locked="0"/>
    </xf>
    <xf numFmtId="0" fontId="61" fillId="7" borderId="47" xfId="0" applyFont="1" applyFill="1" applyBorder="1" applyAlignment="1">
      <alignment vertical="center" wrapText="1"/>
    </xf>
    <xf numFmtId="0" fontId="53" fillId="0" borderId="40" xfId="0" applyFont="1" applyBorder="1" applyAlignment="1">
      <alignment vertical="center" wrapText="1"/>
    </xf>
    <xf numFmtId="0" fontId="61" fillId="0" borderId="45" xfId="0" applyFont="1" applyBorder="1" applyAlignment="1">
      <alignment vertical="center" wrapText="1"/>
    </xf>
    <xf numFmtId="0" fontId="53" fillId="0" borderId="38" xfId="0" applyFont="1" applyBorder="1" applyAlignment="1">
      <alignment vertical="center" wrapText="1"/>
    </xf>
    <xf numFmtId="0" fontId="22" fillId="0" borderId="0" xfId="0" applyFont="1" applyAlignment="1"/>
    <xf numFmtId="10" fontId="21" fillId="5" borderId="18" xfId="0" applyNumberFormat="1" applyFont="1" applyFill="1" applyBorder="1" applyAlignment="1" applyProtection="1">
      <alignment horizontal="center" vertical="center" wrapText="1"/>
      <protection locked="0"/>
    </xf>
    <xf numFmtId="0" fontId="21" fillId="0" borderId="11" xfId="0" applyFont="1" applyBorder="1" applyAlignment="1">
      <alignment horizontal="left" vertical="center" wrapText="1"/>
    </xf>
    <xf numFmtId="0" fontId="53" fillId="0" borderId="27" xfId="0" applyFont="1" applyBorder="1" applyAlignment="1">
      <alignment horizontal="left" vertical="center" wrapText="1"/>
    </xf>
    <xf numFmtId="165" fontId="21" fillId="5" borderId="6" xfId="0" applyNumberFormat="1" applyFont="1" applyFill="1" applyBorder="1" applyAlignment="1" applyProtection="1">
      <alignment horizontal="center" vertical="center" wrapText="1"/>
      <protection locked="0"/>
    </xf>
    <xf numFmtId="1" fontId="21" fillId="5" borderId="30" xfId="0" applyNumberFormat="1" applyFont="1" applyFill="1" applyBorder="1" applyAlignment="1" applyProtection="1">
      <alignment horizontal="center" vertical="center" wrapText="1"/>
      <protection locked="0"/>
    </xf>
    <xf numFmtId="10" fontId="21" fillId="13" borderId="31" xfId="0" applyNumberFormat="1" applyFont="1" applyFill="1" applyBorder="1" applyAlignment="1" applyProtection="1">
      <alignment horizontal="center" vertical="center" wrapText="1"/>
      <protection locked="0"/>
    </xf>
    <xf numFmtId="10" fontId="21" fillId="13" borderId="25" xfId="0" applyNumberFormat="1" applyFont="1" applyFill="1" applyBorder="1" applyAlignment="1" applyProtection="1">
      <alignment horizontal="center" vertical="center" wrapText="1"/>
      <protection locked="0"/>
    </xf>
    <xf numFmtId="173" fontId="21" fillId="5" borderId="29" xfId="0" applyNumberFormat="1" applyFont="1" applyFill="1" applyBorder="1" applyAlignment="1" applyProtection="1">
      <alignment horizontal="center" vertical="center" wrapText="1"/>
      <protection locked="0"/>
    </xf>
    <xf numFmtId="173" fontId="21" fillId="13" borderId="29" xfId="0" applyNumberFormat="1" applyFont="1" applyFill="1" applyBorder="1" applyAlignment="1" applyProtection="1">
      <alignment horizontal="center" vertical="center" wrapText="1"/>
      <protection locked="0"/>
    </xf>
    <xf numFmtId="0" fontId="21" fillId="5" borderId="25" xfId="0" applyFont="1" applyFill="1" applyBorder="1" applyAlignment="1" applyProtection="1">
      <alignment horizontal="center" vertical="center" wrapText="1"/>
      <protection locked="0"/>
    </xf>
    <xf numFmtId="0" fontId="20" fillId="0" borderId="13" xfId="0" applyFont="1" applyBorder="1" applyAlignment="1">
      <alignment horizontal="center" vertical="center" wrapText="1"/>
    </xf>
    <xf numFmtId="0" fontId="23" fillId="0" borderId="2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2" fillId="9" borderId="17" xfId="0" applyFont="1" applyFill="1" applyBorder="1"/>
    <xf numFmtId="0" fontId="20" fillId="0" borderId="35" xfId="0" applyFont="1" applyBorder="1" applyAlignment="1">
      <alignment vertical="center" wrapText="1"/>
    </xf>
    <xf numFmtId="172" fontId="21" fillId="5" borderId="15" xfId="0" applyNumberFormat="1" applyFont="1" applyFill="1" applyBorder="1" applyAlignment="1" applyProtection="1">
      <alignment horizontal="center" vertical="center" wrapText="1"/>
      <protection locked="0"/>
    </xf>
    <xf numFmtId="172" fontId="21" fillId="6" borderId="60" xfId="0" applyNumberFormat="1" applyFont="1" applyFill="1" applyBorder="1" applyAlignment="1" applyProtection="1">
      <alignment horizontal="center" vertical="center" wrapText="1"/>
    </xf>
    <xf numFmtId="172" fontId="21" fillId="5" borderId="24" xfId="0" applyNumberFormat="1" applyFont="1" applyFill="1" applyBorder="1" applyAlignment="1" applyProtection="1">
      <alignment horizontal="center" vertical="center" wrapText="1"/>
      <protection locked="0"/>
    </xf>
    <xf numFmtId="172" fontId="21" fillId="5" borderId="60" xfId="0" applyNumberFormat="1" applyFont="1" applyFill="1" applyBorder="1" applyAlignment="1" applyProtection="1">
      <alignment horizontal="center" vertical="center" wrapText="1"/>
      <protection locked="0"/>
    </xf>
    <xf numFmtId="49" fontId="21" fillId="5" borderId="15" xfId="0" applyNumberFormat="1" applyFont="1" applyFill="1" applyBorder="1" applyAlignment="1" applyProtection="1">
      <alignment horizontal="center" vertical="center" wrapText="1"/>
      <protection locked="0"/>
    </xf>
    <xf numFmtId="0" fontId="21" fillId="5" borderId="15"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6" borderId="60" xfId="0" applyFont="1" applyFill="1" applyBorder="1" applyAlignment="1" applyProtection="1">
      <alignment horizontal="center" vertical="center" wrapText="1"/>
      <protection hidden="1"/>
    </xf>
    <xf numFmtId="3" fontId="21" fillId="5" borderId="17" xfId="950" applyNumberFormat="1" applyFont="1" applyFill="1" applyBorder="1" applyAlignment="1" applyProtection="1">
      <alignment horizontal="center" vertical="center" wrapText="1"/>
      <protection locked="0"/>
    </xf>
    <xf numFmtId="0" fontId="21" fillId="5" borderId="17" xfId="950" applyNumberFormat="1" applyFont="1" applyFill="1" applyBorder="1" applyAlignment="1" applyProtection="1">
      <alignment horizontal="center" vertical="center" wrapText="1"/>
      <protection locked="0"/>
    </xf>
    <xf numFmtId="0" fontId="21" fillId="5" borderId="48" xfId="0" applyFont="1" applyFill="1" applyBorder="1" applyAlignment="1" applyProtection="1">
      <alignment horizontal="center" vertical="center" wrapText="1"/>
      <protection locked="0"/>
    </xf>
    <xf numFmtId="6" fontId="21" fillId="6" borderId="8" xfId="0" applyNumberFormat="1" applyFont="1" applyFill="1" applyBorder="1" applyAlignment="1" applyProtection="1">
      <alignment horizontal="center" vertical="center" wrapText="1"/>
      <protection hidden="1"/>
    </xf>
    <xf numFmtId="6" fontId="21" fillId="5" borderId="8" xfId="0" applyNumberFormat="1" applyFont="1" applyFill="1" applyBorder="1" applyAlignment="1" applyProtection="1">
      <alignment horizontal="center" vertical="center" wrapText="1"/>
      <protection locked="0"/>
    </xf>
    <xf numFmtId="165" fontId="21" fillId="6" borderId="3" xfId="0" applyNumberFormat="1" applyFont="1" applyFill="1" applyBorder="1" applyAlignment="1" applyProtection="1">
      <alignment horizontal="center" vertical="center" wrapText="1"/>
      <protection hidden="1"/>
    </xf>
    <xf numFmtId="6" fontId="21" fillId="5" borderId="24" xfId="0" applyNumberFormat="1" applyFont="1" applyFill="1" applyBorder="1" applyAlignment="1" applyProtection="1">
      <alignment horizontal="center" vertical="center" wrapText="1"/>
      <protection locked="0"/>
    </xf>
    <xf numFmtId="173" fontId="21" fillId="5" borderId="24" xfId="0" applyNumberFormat="1" applyFont="1" applyFill="1" applyBorder="1" applyAlignment="1" applyProtection="1">
      <alignment horizontal="center" vertical="center" wrapText="1"/>
      <protection locked="0"/>
    </xf>
    <xf numFmtId="0" fontId="20" fillId="0" borderId="8" xfId="0" applyFont="1" applyBorder="1" applyAlignment="1">
      <alignment horizontal="center" vertical="center" wrapText="1"/>
    </xf>
    <xf numFmtId="3" fontId="21" fillId="6" borderId="61" xfId="0" applyNumberFormat="1" applyFont="1" applyFill="1" applyBorder="1" applyAlignment="1" applyProtection="1">
      <alignment horizontal="center" vertical="center" wrapText="1"/>
    </xf>
    <xf numFmtId="165" fontId="21" fillId="14" borderId="61" xfId="0" applyNumberFormat="1" applyFont="1" applyFill="1" applyBorder="1" applyAlignment="1" applyProtection="1">
      <alignment horizontal="center" vertical="center" wrapText="1"/>
    </xf>
    <xf numFmtId="165" fontId="21" fillId="14" borderId="8" xfId="0" applyNumberFormat="1" applyFont="1" applyFill="1" applyBorder="1" applyAlignment="1" applyProtection="1">
      <alignment horizontal="center" vertical="center" wrapText="1"/>
    </xf>
    <xf numFmtId="0" fontId="48" fillId="6" borderId="17" xfId="0" applyFont="1" applyFill="1" applyBorder="1" applyAlignment="1" applyProtection="1">
      <alignment vertical="center" wrapText="1"/>
      <protection hidden="1"/>
    </xf>
    <xf numFmtId="0" fontId="48" fillId="6" borderId="22" xfId="0" applyFont="1" applyFill="1" applyBorder="1" applyAlignment="1" applyProtection="1">
      <alignment vertical="center" wrapText="1"/>
      <protection hidden="1"/>
    </xf>
    <xf numFmtId="0" fontId="12" fillId="5" borderId="0" xfId="0" applyFont="1" applyFill="1" applyBorder="1" applyAlignment="1" applyProtection="1">
      <alignment horizontal="left" wrapText="1"/>
      <protection locked="0"/>
    </xf>
    <xf numFmtId="0" fontId="20" fillId="0" borderId="30" xfId="0" applyFont="1" applyBorder="1" applyAlignment="1">
      <alignment vertical="center" wrapText="1"/>
    </xf>
    <xf numFmtId="0" fontId="21" fillId="0" borderId="9" xfId="0" applyFont="1" applyBorder="1" applyAlignment="1">
      <alignment vertical="center" wrapText="1"/>
    </xf>
    <xf numFmtId="0" fontId="21" fillId="0" borderId="49" xfId="0" applyFont="1" applyBorder="1" applyAlignment="1">
      <alignment vertical="center" wrapText="1"/>
    </xf>
    <xf numFmtId="0" fontId="21" fillId="0" borderId="25" xfId="0" applyFont="1" applyBorder="1" applyAlignment="1">
      <alignment vertical="center" wrapText="1"/>
    </xf>
    <xf numFmtId="0" fontId="21" fillId="0" borderId="46" xfId="0" applyFont="1" applyBorder="1" applyAlignment="1">
      <alignment vertical="center" wrapText="1"/>
    </xf>
    <xf numFmtId="0" fontId="61" fillId="0" borderId="56" xfId="0" applyFont="1" applyBorder="1" applyAlignment="1">
      <alignment vertical="center" wrapText="1"/>
    </xf>
    <xf numFmtId="0" fontId="21" fillId="0" borderId="56" xfId="0" applyFont="1" applyBorder="1" applyAlignment="1">
      <alignment vertical="center" wrapText="1"/>
    </xf>
    <xf numFmtId="0" fontId="21" fillId="7" borderId="30"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61" fillId="0" borderId="30"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61" fillId="7" borderId="25" xfId="0" applyFont="1" applyFill="1" applyBorder="1" applyAlignment="1">
      <alignment horizontal="left" vertical="center" wrapText="1"/>
    </xf>
    <xf numFmtId="0" fontId="21" fillId="7" borderId="25" xfId="0" applyFont="1" applyFill="1" applyBorder="1" applyAlignment="1">
      <alignment horizontal="left" vertical="center" wrapText="1"/>
    </xf>
    <xf numFmtId="0" fontId="61" fillId="0" borderId="13" xfId="0" applyFont="1" applyBorder="1" applyAlignment="1">
      <alignment horizontal="left" vertical="center" wrapText="1"/>
    </xf>
    <xf numFmtId="0" fontId="14" fillId="9" borderId="0" xfId="0" applyFont="1" applyFill="1" applyBorder="1" applyAlignment="1">
      <alignment horizontal="center" vertical="center" wrapText="1"/>
    </xf>
    <xf numFmtId="0" fontId="14" fillId="9" borderId="0" xfId="0" applyFont="1" applyFill="1" applyBorder="1" applyAlignment="1">
      <alignment horizontal="center" vertical="center"/>
    </xf>
    <xf numFmtId="0" fontId="16" fillId="0" borderId="25" xfId="0" applyFont="1" applyBorder="1" applyAlignment="1">
      <alignment horizontal="center" wrapText="1"/>
    </xf>
    <xf numFmtId="0" fontId="16" fillId="0" borderId="24" xfId="0" applyFont="1" applyBorder="1" applyAlignment="1">
      <alignment horizontal="center" wrapText="1"/>
    </xf>
    <xf numFmtId="0" fontId="28" fillId="0" borderId="25" xfId="0" applyFont="1" applyBorder="1" applyAlignment="1">
      <alignment horizontal="center"/>
    </xf>
    <xf numFmtId="10" fontId="14" fillId="5" borderId="24" xfId="0" applyNumberFormat="1" applyFont="1" applyFill="1" applyBorder="1" applyAlignment="1" applyProtection="1">
      <alignment horizontal="center"/>
      <protection locked="0"/>
    </xf>
    <xf numFmtId="0" fontId="14" fillId="0" borderId="25" xfId="0" applyFont="1" applyBorder="1" applyAlignment="1">
      <alignment horizontal="center"/>
    </xf>
    <xf numFmtId="0" fontId="14" fillId="9" borderId="17" xfId="0" applyFont="1" applyFill="1" applyBorder="1" applyAlignment="1">
      <alignment horizontal="center" vertical="center" wrapText="1"/>
    </xf>
    <xf numFmtId="168" fontId="32" fillId="9" borderId="0" xfId="7" applyNumberFormat="1" applyFont="1" applyFill="1" applyBorder="1" applyAlignment="1">
      <alignment horizontal="center" vertical="center"/>
    </xf>
    <xf numFmtId="0" fontId="14" fillId="9" borderId="62" xfId="0" applyFont="1" applyFill="1" applyBorder="1" applyAlignment="1">
      <alignment horizontal="center" vertical="center"/>
    </xf>
    <xf numFmtId="168" fontId="32" fillId="9" borderId="62" xfId="7" applyNumberFormat="1" applyFont="1" applyFill="1" applyBorder="1" applyAlignment="1">
      <alignment horizontal="center" vertical="center"/>
    </xf>
    <xf numFmtId="0" fontId="14" fillId="9" borderId="62" xfId="0" applyFont="1" applyFill="1" applyBorder="1" applyAlignment="1">
      <alignment horizontal="center" vertical="center" wrapText="1"/>
    </xf>
    <xf numFmtId="0" fontId="14" fillId="9" borderId="19" xfId="0" applyFont="1" applyFill="1" applyBorder="1" applyAlignment="1">
      <alignment horizontal="center" vertical="center"/>
    </xf>
    <xf numFmtId="0" fontId="14" fillId="9" borderId="21" xfId="0" applyFont="1" applyFill="1" applyBorder="1" applyAlignment="1">
      <alignment horizontal="center" vertical="center"/>
    </xf>
    <xf numFmtId="0" fontId="23" fillId="0" borderId="24" xfId="0" applyFont="1" applyBorder="1" applyAlignment="1">
      <alignment horizontal="center" vertical="center" wrapText="1"/>
    </xf>
    <xf numFmtId="0" fontId="24" fillId="0" borderId="25" xfId="0" applyFont="1" applyBorder="1" applyAlignment="1">
      <alignment horizontal="center" vertical="center" wrapText="1"/>
    </xf>
    <xf numFmtId="165" fontId="24" fillId="5" borderId="24" xfId="0" applyNumberFormat="1" applyFont="1" applyFill="1" applyBorder="1" applyAlignment="1" applyProtection="1">
      <alignment horizontal="center" vertical="center" wrapText="1"/>
      <protection locked="0"/>
    </xf>
    <xf numFmtId="0" fontId="23" fillId="0" borderId="63" xfId="0" applyFont="1" applyBorder="1" applyAlignment="1">
      <alignment horizontal="center" vertical="center" wrapText="1"/>
    </xf>
    <xf numFmtId="165" fontId="23" fillId="5" borderId="34" xfId="0" applyNumberFormat="1" applyFont="1" applyFill="1" applyBorder="1" applyAlignment="1" applyProtection="1">
      <alignment horizontal="center" vertical="center" wrapText="1"/>
      <protection locked="0"/>
    </xf>
    <xf numFmtId="0" fontId="14" fillId="9" borderId="36" xfId="0" applyFont="1" applyFill="1" applyBorder="1" applyAlignment="1">
      <alignment horizontal="center" vertical="center"/>
    </xf>
    <xf numFmtId="0" fontId="25" fillId="10" borderId="22" xfId="0" applyFont="1" applyFill="1" applyBorder="1" applyAlignment="1">
      <alignment horizontal="left" vertical="center"/>
    </xf>
    <xf numFmtId="0" fontId="25" fillId="10" borderId="44" xfId="0" applyFont="1" applyFill="1" applyBorder="1" applyAlignment="1">
      <alignment horizontal="left" vertical="center"/>
    </xf>
    <xf numFmtId="0" fontId="21" fillId="5" borderId="13" xfId="0" applyFont="1" applyFill="1" applyBorder="1" applyAlignment="1" applyProtection="1">
      <alignment vertical="center" wrapText="1"/>
      <protection locked="0"/>
    </xf>
    <xf numFmtId="6" fontId="20" fillId="5" borderId="12" xfId="0" applyNumberFormat="1" applyFont="1" applyFill="1" applyBorder="1" applyAlignment="1" applyProtection="1">
      <alignment horizontal="center" vertical="center" wrapText="1"/>
      <protection locked="0"/>
    </xf>
    <xf numFmtId="5" fontId="48" fillId="9" borderId="48" xfId="131" applyNumberFormat="1" applyFont="1" applyFill="1" applyBorder="1" applyAlignment="1">
      <alignment horizontal="center" vertical="center" wrapText="1"/>
    </xf>
    <xf numFmtId="0" fontId="49" fillId="15" borderId="48" xfId="0" applyFont="1" applyFill="1" applyBorder="1" applyAlignment="1">
      <alignment horizontal="left" vertical="center"/>
    </xf>
    <xf numFmtId="165" fontId="45" fillId="5" borderId="24" xfId="0" applyNumberFormat="1" applyFont="1" applyFill="1" applyBorder="1" applyAlignment="1" applyProtection="1">
      <alignment horizontal="center" vertical="center" wrapText="1"/>
      <protection locked="0"/>
    </xf>
    <xf numFmtId="165" fontId="26" fillId="5" borderId="16" xfId="0" applyNumberFormat="1" applyFont="1" applyFill="1" applyBorder="1" applyAlignment="1" applyProtection="1">
      <alignment horizontal="center" vertical="center" wrapText="1"/>
      <protection locked="0"/>
    </xf>
    <xf numFmtId="0" fontId="24" fillId="9" borderId="18" xfId="0" applyFont="1" applyFill="1" applyBorder="1" applyAlignment="1">
      <alignment vertical="top"/>
    </xf>
    <xf numFmtId="0" fontId="24" fillId="9" borderId="20" xfId="0" applyFont="1" applyFill="1" applyBorder="1" applyAlignment="1">
      <alignment vertical="top"/>
    </xf>
    <xf numFmtId="0" fontId="24" fillId="9" borderId="20" xfId="0" applyFont="1" applyFill="1" applyBorder="1" applyAlignment="1">
      <alignment vertical="center"/>
    </xf>
    <xf numFmtId="0" fontId="24" fillId="0" borderId="25" xfId="0" applyFont="1" applyBorder="1" applyAlignment="1">
      <alignment horizontal="center" vertical="center"/>
    </xf>
    <xf numFmtId="165" fontId="26" fillId="5" borderId="21" xfId="0" applyNumberFormat="1" applyFont="1" applyFill="1" applyBorder="1" applyAlignment="1" applyProtection="1">
      <alignment horizontal="center" vertical="center" wrapText="1"/>
      <protection locked="0"/>
    </xf>
    <xf numFmtId="165" fontId="45" fillId="12" borderId="24" xfId="0" applyNumberFormat="1" applyFont="1" applyFill="1" applyBorder="1" applyAlignment="1">
      <alignment horizontal="center" vertical="center" wrapText="1"/>
    </xf>
    <xf numFmtId="0" fontId="24" fillId="9" borderId="23" xfId="0" applyFont="1" applyFill="1" applyBorder="1" applyAlignment="1">
      <alignment vertical="top"/>
    </xf>
    <xf numFmtId="171" fontId="26" fillId="12" borderId="24" xfId="0" applyNumberFormat="1" applyFont="1" applyFill="1" applyBorder="1" applyAlignment="1">
      <alignment horizontal="center" vertical="center"/>
    </xf>
    <xf numFmtId="0" fontId="23" fillId="8" borderId="44" xfId="0" applyFont="1" applyFill="1" applyBorder="1"/>
    <xf numFmtId="0" fontId="21" fillId="8" borderId="17" xfId="0" applyFont="1" applyFill="1" applyBorder="1" applyAlignment="1">
      <alignment horizontal="right" vertical="center" wrapText="1"/>
    </xf>
    <xf numFmtId="0" fontId="22" fillId="8" borderId="44" xfId="0" applyFont="1" applyFill="1" applyBorder="1"/>
    <xf numFmtId="0" fontId="30" fillId="8" borderId="9" xfId="0" applyFont="1" applyFill="1" applyBorder="1" applyAlignment="1">
      <alignment horizontal="left" vertical="center" wrapText="1"/>
    </xf>
    <xf numFmtId="165" fontId="21" fillId="5" borderId="8" xfId="0" applyNumberFormat="1" applyFont="1" applyFill="1" applyBorder="1" applyAlignment="1" applyProtection="1">
      <alignment horizontal="center" vertical="center" wrapText="1"/>
      <protection locked="0"/>
    </xf>
    <xf numFmtId="165" fontId="21" fillId="5" borderId="0" xfId="0" applyNumberFormat="1" applyFont="1" applyFill="1" applyBorder="1" applyAlignment="1" applyProtection="1">
      <alignment horizontal="center" vertical="center" wrapText="1"/>
      <protection locked="0"/>
    </xf>
    <xf numFmtId="165" fontId="21" fillId="5" borderId="0" xfId="131" applyNumberFormat="1" applyFont="1" applyFill="1" applyBorder="1" applyAlignment="1" applyProtection="1">
      <alignment horizontal="center" vertical="center" wrapText="1"/>
      <protection locked="0"/>
    </xf>
    <xf numFmtId="165" fontId="21" fillId="5" borderId="8" xfId="131" applyNumberFormat="1" applyFont="1" applyFill="1" applyBorder="1" applyAlignment="1" applyProtection="1">
      <alignment horizontal="center" vertical="center" wrapText="1"/>
      <protection locked="0"/>
    </xf>
    <xf numFmtId="0" fontId="17" fillId="8" borderId="3" xfId="0" applyFont="1" applyFill="1" applyBorder="1" applyAlignment="1">
      <alignment horizontal="center" vertical="center"/>
    </xf>
    <xf numFmtId="0" fontId="17" fillId="0" borderId="13" xfId="0" applyFont="1" applyBorder="1" applyAlignment="1">
      <alignment horizontal="center" vertical="center" wrapText="1"/>
    </xf>
    <xf numFmtId="165" fontId="20" fillId="5" borderId="8" xfId="0" applyNumberFormat="1" applyFont="1" applyFill="1" applyBorder="1" applyAlignment="1" applyProtection="1">
      <alignment horizontal="center" vertical="center" wrapText="1"/>
      <protection locked="0"/>
    </xf>
    <xf numFmtId="0" fontId="21" fillId="8" borderId="22" xfId="0" applyFont="1" applyFill="1" applyBorder="1" applyAlignment="1">
      <alignment vertical="center" wrapText="1"/>
    </xf>
    <xf numFmtId="165" fontId="22" fillId="8" borderId="48" xfId="0" applyNumberFormat="1" applyFont="1" applyFill="1" applyBorder="1"/>
    <xf numFmtId="0" fontId="19" fillId="9" borderId="8" xfId="0" applyFont="1" applyFill="1" applyBorder="1" applyAlignment="1">
      <alignment horizontal="center" vertical="center" wrapText="1"/>
    </xf>
    <xf numFmtId="0" fontId="14" fillId="9" borderId="8" xfId="0" applyFont="1" applyFill="1" applyBorder="1"/>
    <xf numFmtId="0" fontId="20" fillId="0" borderId="0" xfId="0" applyFont="1" applyBorder="1" applyAlignment="1">
      <alignment horizontal="center" vertical="center" wrapText="1"/>
    </xf>
    <xf numFmtId="0" fontId="21" fillId="8" borderId="15" xfId="0" applyFont="1" applyFill="1" applyBorder="1" applyAlignment="1" applyProtection="1">
      <alignment vertical="center" wrapText="1"/>
    </xf>
    <xf numFmtId="0" fontId="21" fillId="6" borderId="9" xfId="0" applyFont="1" applyFill="1" applyBorder="1" applyAlignment="1">
      <alignment horizontal="center" vertical="center" wrapText="1"/>
    </xf>
    <xf numFmtId="2" fontId="21" fillId="5" borderId="15" xfId="0" applyNumberFormat="1" applyFont="1" applyFill="1" applyBorder="1" applyAlignment="1" applyProtection="1">
      <alignment horizontal="center" vertical="center" wrapText="1"/>
      <protection locked="0"/>
    </xf>
    <xf numFmtId="2" fontId="21" fillId="6" borderId="15" xfId="0" applyNumberFormat="1"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7" fillId="2" borderId="24" xfId="0" applyFont="1" applyFill="1" applyBorder="1" applyAlignment="1">
      <alignment horizontal="center" vertical="center" wrapText="1"/>
    </xf>
    <xf numFmtId="165" fontId="14" fillId="5" borderId="22" xfId="131" applyNumberFormat="1"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wrapText="1"/>
      <protection locked="0"/>
    </xf>
    <xf numFmtId="0" fontId="53" fillId="0" borderId="27" xfId="0" applyFont="1" applyBorder="1" applyAlignment="1">
      <alignment vertical="center" wrapText="1"/>
    </xf>
    <xf numFmtId="0" fontId="53" fillId="0" borderId="28" xfId="0" applyFont="1" applyFill="1" applyBorder="1" applyAlignment="1">
      <alignment vertical="center" wrapText="1"/>
    </xf>
    <xf numFmtId="0" fontId="53" fillId="0" borderId="27" xfId="0" applyFont="1" applyFill="1" applyBorder="1" applyAlignment="1">
      <alignment vertical="center" wrapText="1"/>
    </xf>
    <xf numFmtId="0" fontId="53" fillId="0" borderId="28" xfId="0" applyFont="1" applyBorder="1" applyAlignment="1">
      <alignment vertical="center" wrapText="1"/>
    </xf>
    <xf numFmtId="0" fontId="63" fillId="0" borderId="28" xfId="0" applyFont="1" applyFill="1" applyBorder="1" applyAlignment="1">
      <alignment vertical="center" wrapText="1"/>
    </xf>
    <xf numFmtId="0" fontId="21" fillId="16" borderId="25" xfId="0" applyFont="1" applyFill="1" applyBorder="1" applyAlignment="1" applyProtection="1">
      <alignment horizontal="center" vertical="center" wrapText="1"/>
      <protection locked="0"/>
    </xf>
    <xf numFmtId="0" fontId="33" fillId="9" borderId="0" xfId="0" applyFont="1" applyFill="1" applyAlignment="1">
      <alignment horizontal="center" vertical="center"/>
    </xf>
    <xf numFmtId="0" fontId="33" fillId="0" borderId="0" xfId="0" applyFont="1" applyAlignment="1" applyProtection="1">
      <alignment horizontal="center" vertical="center"/>
      <protection locked="0"/>
    </xf>
    <xf numFmtId="0" fontId="31" fillId="0" borderId="65" xfId="0" applyFont="1" applyBorder="1" applyAlignment="1">
      <alignment horizontal="left" vertical="center" wrapText="1"/>
    </xf>
    <xf numFmtId="0" fontId="21" fillId="8" borderId="6" xfId="0" applyFont="1" applyFill="1" applyBorder="1" applyAlignment="1">
      <alignment horizontal="left" vertical="center" wrapText="1"/>
    </xf>
    <xf numFmtId="0" fontId="17" fillId="0" borderId="0" xfId="0" applyFont="1" applyBorder="1" applyAlignment="1">
      <alignment horizontal="center" wrapText="1"/>
    </xf>
    <xf numFmtId="0" fontId="54" fillId="0" borderId="26" xfId="0" applyFont="1" applyBorder="1" applyAlignment="1">
      <alignment wrapText="1"/>
    </xf>
    <xf numFmtId="0" fontId="20" fillId="0" borderId="6" xfId="0"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20" fillId="5" borderId="6" xfId="0" applyFont="1" applyFill="1" applyBorder="1" applyAlignment="1" applyProtection="1">
      <alignment horizontal="center" vertical="center" wrapText="1"/>
      <protection locked="0"/>
    </xf>
    <xf numFmtId="0" fontId="54" fillId="0" borderId="26" xfId="0" applyFont="1" applyBorder="1"/>
    <xf numFmtId="0" fontId="54" fillId="0" borderId="66" xfId="0" applyFont="1" applyBorder="1" applyAlignment="1">
      <alignment vertical="center" wrapText="1"/>
    </xf>
    <xf numFmtId="0" fontId="55" fillId="0" borderId="66" xfId="0" applyFont="1" applyBorder="1" applyAlignment="1">
      <alignment vertical="center" wrapText="1"/>
    </xf>
    <xf numFmtId="0" fontId="6" fillId="0" borderId="26" xfId="1089" applyBorder="1"/>
    <xf numFmtId="0" fontId="6" fillId="0" borderId="26" xfId="1089" applyBorder="1" applyAlignment="1" applyProtection="1">
      <alignment horizontal="left" vertical="center" wrapText="1"/>
      <protection locked="0"/>
    </xf>
    <xf numFmtId="0" fontId="22" fillId="0" borderId="26" xfId="0" applyFont="1" applyBorder="1" applyAlignment="1" applyProtection="1">
      <alignment horizontal="left" vertical="center" wrapText="1"/>
      <protection locked="0"/>
    </xf>
    <xf numFmtId="0" fontId="54" fillId="0" borderId="26" xfId="0" applyFont="1" applyBorder="1" applyAlignment="1" applyProtection="1">
      <alignment horizontal="left" vertical="center" wrapText="1"/>
      <protection locked="0"/>
    </xf>
    <xf numFmtId="165" fontId="53" fillId="5" borderId="9" xfId="950" applyNumberFormat="1" applyFont="1" applyFill="1" applyBorder="1" applyAlignment="1" applyProtection="1">
      <alignment horizontal="center" vertical="center" wrapText="1"/>
      <protection locked="0"/>
    </xf>
    <xf numFmtId="0" fontId="22" fillId="0" borderId="0" xfId="0" applyFont="1" applyAlignment="1">
      <alignment wrapText="1"/>
    </xf>
    <xf numFmtId="10" fontId="21" fillId="5" borderId="8" xfId="0" applyNumberFormat="1" applyFont="1" applyFill="1" applyBorder="1" applyAlignment="1" applyProtection="1">
      <alignment horizontal="center" vertical="center" wrapText="1"/>
      <protection locked="0"/>
    </xf>
    <xf numFmtId="0" fontId="60" fillId="0" borderId="58" xfId="1089" applyFont="1" applyBorder="1" applyAlignment="1">
      <alignment horizontal="left"/>
    </xf>
    <xf numFmtId="0" fontId="29" fillId="11" borderId="0" xfId="0" applyFont="1" applyFill="1" applyAlignment="1">
      <alignment horizontal="center" vertical="center"/>
    </xf>
    <xf numFmtId="0" fontId="6" fillId="0" borderId="66" xfId="1089" applyBorder="1"/>
    <xf numFmtId="0" fontId="6" fillId="0" borderId="26" xfId="1089" applyBorder="1"/>
    <xf numFmtId="0" fontId="54" fillId="0" borderId="66" xfId="0" applyFont="1" applyBorder="1"/>
    <xf numFmtId="0" fontId="0" fillId="0" borderId="66" xfId="0" applyBorder="1"/>
    <xf numFmtId="0" fontId="54" fillId="0" borderId="26" xfId="0" applyFont="1" applyBorder="1"/>
    <xf numFmtId="0" fontId="0" fillId="0" borderId="26" xfId="0" applyBorder="1"/>
    <xf numFmtId="0" fontId="17" fillId="0" borderId="3" xfId="0" applyNumberFormat="1" applyFont="1" applyBorder="1" applyAlignment="1">
      <alignment vertical="center"/>
    </xf>
    <xf numFmtId="0" fontId="0" fillId="0" borderId="3" xfId="0" applyNumberFormat="1" applyBorder="1" applyAlignment="1">
      <alignment vertical="center"/>
    </xf>
    <xf numFmtId="0" fontId="17" fillId="0" borderId="3" xfId="0" applyFont="1" applyBorder="1" applyAlignment="1">
      <alignment vertical="center" wrapText="1"/>
    </xf>
    <xf numFmtId="0" fontId="0" fillId="0" borderId="3" xfId="0" applyBorder="1" applyAlignment="1">
      <alignment vertical="center" wrapText="1"/>
    </xf>
    <xf numFmtId="0" fontId="12" fillId="0" borderId="8" xfId="0" applyFont="1" applyBorder="1" applyAlignment="1">
      <alignment horizontal="left"/>
    </xf>
    <xf numFmtId="0" fontId="0" fillId="0" borderId="8" xfId="0" applyBorder="1" applyAlignment="1">
      <alignment horizontal="left"/>
    </xf>
    <xf numFmtId="0" fontId="12" fillId="0" borderId="0" xfId="0" applyFont="1" applyBorder="1" applyAlignment="1">
      <alignment vertical="center" wrapText="1"/>
    </xf>
    <xf numFmtId="0" fontId="0" fillId="0" borderId="0" xfId="0" applyAlignment="1">
      <alignment vertical="center" wrapText="1"/>
    </xf>
    <xf numFmtId="0" fontId="12" fillId="0" borderId="0" xfId="0" applyFont="1" applyBorder="1" applyAlignment="1">
      <alignment horizontal="left" wrapText="1"/>
    </xf>
    <xf numFmtId="0" fontId="0" fillId="0" borderId="0" xfId="0" applyAlignment="1">
      <alignment horizontal="left" wrapText="1"/>
    </xf>
    <xf numFmtId="0" fontId="12" fillId="0" borderId="0" xfId="0" applyFont="1" applyBorder="1" applyAlignment="1">
      <alignment horizontal="left"/>
    </xf>
    <xf numFmtId="0" fontId="0" fillId="0" borderId="0" xfId="0" applyAlignment="1">
      <alignment horizontal="left"/>
    </xf>
    <xf numFmtId="0" fontId="34" fillId="0" borderId="0" xfId="0" applyFont="1" applyBorder="1" applyAlignment="1">
      <alignment horizontal="center" vertical="center" wrapText="1"/>
    </xf>
    <xf numFmtId="0" fontId="29" fillId="11" borderId="0" xfId="0" applyFont="1" applyFill="1" applyBorder="1" applyAlignment="1">
      <alignment horizontal="center" vertical="center"/>
    </xf>
    <xf numFmtId="0" fontId="20" fillId="0" borderId="34"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8"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xf numFmtId="0" fontId="22" fillId="9" borderId="0" xfId="0" applyFont="1" applyFill="1" applyBorder="1" applyAlignment="1"/>
    <xf numFmtId="0" fontId="0" fillId="0" borderId="0" xfId="0" applyAlignment="1">
      <alignment horizontal="center" vertical="center" wrapText="1"/>
    </xf>
    <xf numFmtId="0" fontId="22" fillId="9" borderId="44" xfId="0" applyFont="1" applyFill="1" applyBorder="1" applyAlignment="1"/>
    <xf numFmtId="0" fontId="0" fillId="0" borderId="44" xfId="0" applyBorder="1" applyAlignment="1"/>
    <xf numFmtId="0" fontId="12" fillId="5" borderId="0" xfId="0" applyFont="1" applyFill="1" applyBorder="1" applyAlignment="1" applyProtection="1">
      <alignment horizontal="left" wrapText="1"/>
      <protection locked="0"/>
    </xf>
    <xf numFmtId="0" fontId="0" fillId="0" borderId="0" xfId="0" applyBorder="1" applyAlignment="1" applyProtection="1">
      <alignment wrapText="1"/>
      <protection locked="0"/>
    </xf>
    <xf numFmtId="0" fontId="17" fillId="0" borderId="17" xfId="0" applyFont="1" applyBorder="1" applyAlignment="1">
      <alignment vertical="center" wrapText="1"/>
    </xf>
    <xf numFmtId="0" fontId="0" fillId="0" borderId="17" xfId="0" applyBorder="1" applyAlignment="1"/>
    <xf numFmtId="0" fontId="13" fillId="11" borderId="19"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28" fillId="0" borderId="0" xfId="0" applyFont="1" applyBorder="1" applyAlignment="1">
      <alignment wrapText="1"/>
    </xf>
    <xf numFmtId="0" fontId="16" fillId="0" borderId="17" xfId="0" applyFont="1" applyBorder="1" applyAlignment="1">
      <alignment horizontal="left" vertical="center" wrapText="1"/>
    </xf>
    <xf numFmtId="0" fontId="28" fillId="0" borderId="22" xfId="0" applyFont="1" applyBorder="1" applyAlignment="1">
      <alignment horizontal="left"/>
    </xf>
    <xf numFmtId="0" fontId="16" fillId="0" borderId="17" xfId="0" applyFont="1" applyBorder="1" applyAlignment="1">
      <alignment vertical="center" wrapText="1"/>
    </xf>
    <xf numFmtId="0" fontId="12" fillId="0" borderId="0" xfId="0" applyFont="1" applyBorder="1" applyAlignment="1">
      <alignment wrapText="1"/>
    </xf>
    <xf numFmtId="0" fontId="0" fillId="0" borderId="0" xfId="0" applyBorder="1" applyAlignment="1">
      <alignment wrapText="1"/>
    </xf>
    <xf numFmtId="0" fontId="43" fillId="0" borderId="0" xfId="0" applyFont="1" applyBorder="1" applyAlignment="1"/>
    <xf numFmtId="0" fontId="0" fillId="0" borderId="0" xfId="0" applyAlignment="1"/>
    <xf numFmtId="0" fontId="23" fillId="0" borderId="2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9" xfId="0" applyFont="1" applyBorder="1" applyAlignment="1">
      <alignment horizontal="center" vertical="center" wrapText="1"/>
    </xf>
    <xf numFmtId="0" fontId="16" fillId="0" borderId="0" xfId="0" applyFont="1" applyBorder="1" applyAlignment="1">
      <alignment vertical="center" wrapText="1"/>
    </xf>
    <xf numFmtId="0" fontId="12" fillId="5" borderId="0" xfId="0" applyFont="1" applyFill="1" applyBorder="1" applyAlignment="1" applyProtection="1">
      <alignment wrapText="1"/>
      <protection locked="0"/>
    </xf>
    <xf numFmtId="0" fontId="23" fillId="0" borderId="57" xfId="0" applyFont="1" applyBorder="1" applyAlignment="1">
      <alignment horizontal="center" vertical="center" wrapText="1"/>
    </xf>
    <xf numFmtId="0" fontId="12" fillId="0" borderId="0" xfId="0" applyFont="1" applyBorder="1" applyAlignment="1"/>
    <xf numFmtId="0" fontId="18" fillId="11" borderId="0" xfId="0" applyFont="1" applyFill="1" applyBorder="1" applyAlignment="1">
      <alignment horizontal="center" vertical="center" wrapText="1"/>
    </xf>
    <xf numFmtId="0" fontId="21" fillId="9" borderId="64"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11" xfId="0" applyNumberFormat="1" applyFont="1" applyBorder="1" applyAlignment="1">
      <alignment horizontal="center" vertical="center" wrapText="1"/>
    </xf>
    <xf numFmtId="0" fontId="20" fillId="0" borderId="52"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6"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5"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0" xfId="0" applyFont="1" applyBorder="1" applyAlignment="1">
      <alignment horizontal="center" vertical="center" wrapText="1"/>
    </xf>
    <xf numFmtId="0" fontId="20" fillId="0" borderId="5" xfId="0" applyNumberFormat="1" applyFont="1" applyBorder="1" applyAlignment="1">
      <alignment horizontal="center" vertical="center" wrapText="1"/>
    </xf>
    <xf numFmtId="0" fontId="20" fillId="0" borderId="59" xfId="0" applyNumberFormat="1"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13" xfId="0" applyFont="1" applyBorder="1" applyAlignment="1">
      <alignment horizontal="center" vertical="center" wrapText="1"/>
    </xf>
    <xf numFmtId="0" fontId="20" fillId="15" borderId="8" xfId="0" applyFont="1" applyFill="1" applyBorder="1" applyAlignment="1">
      <alignment horizontal="center" vertical="center" wrapText="1"/>
    </xf>
    <xf numFmtId="0" fontId="42" fillId="0" borderId="8" xfId="0" applyFont="1" applyBorder="1" applyAlignment="1">
      <alignment horizontal="center" vertical="center" wrapText="1"/>
    </xf>
    <xf numFmtId="0" fontId="42" fillId="0" borderId="42" xfId="0" applyFont="1" applyBorder="1" applyAlignment="1">
      <alignment horizontal="center" vertical="center" wrapText="1"/>
    </xf>
    <xf numFmtId="0" fontId="46" fillId="0" borderId="0" xfId="0" applyFont="1" applyBorder="1" applyAlignment="1">
      <alignment horizontal="left"/>
    </xf>
    <xf numFmtId="0" fontId="12" fillId="0" borderId="22" xfId="0" applyFont="1" applyBorder="1" applyAlignment="1">
      <alignment horizontal="left"/>
    </xf>
    <xf numFmtId="0" fontId="23" fillId="0" borderId="17" xfId="0" applyFont="1" applyBorder="1" applyAlignment="1">
      <alignment horizontal="left"/>
    </xf>
    <xf numFmtId="0" fontId="0" fillId="5" borderId="0" xfId="0" applyFill="1" applyBorder="1" applyAlignment="1" applyProtection="1">
      <alignment horizontal="left"/>
      <protection locked="0"/>
    </xf>
    <xf numFmtId="0" fontId="29" fillId="11" borderId="22" xfId="0" applyFont="1" applyFill="1" applyBorder="1" applyAlignment="1">
      <alignment horizontal="center" vertical="center"/>
    </xf>
    <xf numFmtId="2" fontId="23" fillId="0" borderId="17" xfId="0" applyNumberFormat="1" applyFont="1" applyBorder="1" applyAlignment="1">
      <alignment horizontal="left"/>
    </xf>
    <xf numFmtId="0" fontId="12" fillId="0" borderId="0" xfId="0" applyFont="1" applyFill="1" applyBorder="1" applyAlignment="1">
      <alignment horizontal="left" vertical="center" wrapText="1"/>
    </xf>
    <xf numFmtId="0" fontId="24" fillId="9" borderId="17" xfId="0" applyFont="1" applyFill="1" applyBorder="1" applyAlignment="1">
      <alignment vertical="top"/>
    </xf>
    <xf numFmtId="0" fontId="0" fillId="0" borderId="20" xfId="0" applyBorder="1" applyAlignment="1">
      <alignment vertical="top"/>
    </xf>
    <xf numFmtId="0" fontId="0" fillId="0" borderId="23" xfId="0" applyBorder="1" applyAlignment="1">
      <alignment vertical="top"/>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0" fillId="0" borderId="17" xfId="0" applyFont="1" applyBorder="1" applyAlignment="1">
      <alignment horizontal="left" vertical="center" wrapText="1"/>
    </xf>
    <xf numFmtId="0" fontId="21" fillId="5" borderId="0" xfId="0" applyFont="1" applyFill="1" applyBorder="1" applyAlignment="1" applyProtection="1">
      <alignment horizontal="left" vertical="center"/>
      <protection locked="0"/>
    </xf>
    <xf numFmtId="0" fontId="29" fillId="11" borderId="0"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22" xfId="0" applyFont="1" applyFill="1" applyBorder="1" applyAlignment="1">
      <alignment horizontal="left" vertical="center"/>
    </xf>
    <xf numFmtId="0" fontId="17" fillId="0" borderId="17" xfId="0" applyFont="1" applyBorder="1" applyAlignment="1">
      <alignment horizontal="lef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22" fillId="8" borderId="24" xfId="0" applyFont="1" applyFill="1" applyBorder="1" applyAlignment="1">
      <alignment horizontal="center" vertical="center"/>
    </xf>
    <xf numFmtId="0" fontId="0" fillId="0" borderId="44" xfId="0" applyBorder="1" applyAlignment="1">
      <alignment vertical="center"/>
    </xf>
    <xf numFmtId="0" fontId="21" fillId="8" borderId="24" xfId="0" applyFont="1" applyFill="1" applyBorder="1" applyAlignment="1" applyProtection="1">
      <alignment horizontal="left" vertical="center" wrapText="1"/>
    </xf>
    <xf numFmtId="0" fontId="0" fillId="0" borderId="44" xfId="0" applyBorder="1" applyAlignment="1">
      <alignment horizontal="left" vertical="center" wrapText="1"/>
    </xf>
    <xf numFmtId="0" fontId="0" fillId="0" borderId="25" xfId="0" applyBorder="1" applyAlignment="1">
      <alignment horizontal="left" vertical="center" wrapText="1"/>
    </xf>
    <xf numFmtId="0" fontId="20" fillId="0" borderId="12" xfId="0" applyFont="1" applyBorder="1" applyAlignment="1">
      <alignment horizontal="center" vertical="center" wrapText="1"/>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26" fillId="0" borderId="3" xfId="0" applyFont="1" applyBorder="1" applyAlignment="1">
      <alignment horizontal="left" vertical="center" wrapText="1"/>
    </xf>
    <xf numFmtId="0" fontId="20"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3" fillId="0" borderId="14" xfId="0" applyFont="1" applyBorder="1" applyAlignment="1">
      <alignment horizontal="center" vertical="center" wrapText="1"/>
    </xf>
    <xf numFmtId="0" fontId="28" fillId="5" borderId="0" xfId="0" applyFont="1" applyFill="1" applyBorder="1" applyAlignment="1" applyProtection="1">
      <alignment horizontal="left" vertical="center" wrapText="1"/>
      <protection locked="0"/>
    </xf>
    <xf numFmtId="0" fontId="28" fillId="0" borderId="0" xfId="0" applyFont="1" applyFill="1" applyBorder="1" applyAlignment="1">
      <alignment horizontal="left" vertical="center" wrapText="1"/>
    </xf>
    <xf numFmtId="0" fontId="23"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28" fillId="0" borderId="8" xfId="0" applyFont="1" applyFill="1" applyBorder="1" applyAlignment="1">
      <alignment horizontal="left" vertical="center" wrapText="1"/>
    </xf>
    <xf numFmtId="0" fontId="22" fillId="0" borderId="44" xfId="0" applyFont="1" applyBorder="1" applyAlignment="1">
      <alignment horizontal="center" vertical="center"/>
    </xf>
    <xf numFmtId="0" fontId="22" fillId="0" borderId="25" xfId="0" applyFont="1" applyBorder="1" applyAlignment="1">
      <alignment horizontal="center" vertical="center"/>
    </xf>
    <xf numFmtId="0" fontId="12" fillId="0" borderId="0" xfId="0" applyFont="1" applyBorder="1" applyAlignment="1">
      <alignment horizontal="left" vertical="center" wrapText="1"/>
    </xf>
    <xf numFmtId="0" fontId="16" fillId="2" borderId="4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25" xfId="0" applyFont="1" applyBorder="1" applyAlignment="1">
      <alignment horizontal="center" vertical="center"/>
    </xf>
    <xf numFmtId="0" fontId="13" fillId="11" borderId="0" xfId="0" applyFont="1" applyFill="1" applyBorder="1" applyAlignment="1">
      <alignment horizontal="center" vertical="center"/>
    </xf>
    <xf numFmtId="0" fontId="15" fillId="9" borderId="44" xfId="0" applyFont="1" applyFill="1" applyBorder="1" applyAlignment="1">
      <alignment horizontal="center" vertical="center"/>
    </xf>
    <xf numFmtId="0" fontId="17" fillId="0" borderId="17" xfId="0" applyFont="1" applyBorder="1" applyAlignment="1">
      <alignment horizontal="left" vertical="center"/>
    </xf>
    <xf numFmtId="0" fontId="12" fillId="5" borderId="0" xfId="0" applyFont="1" applyFill="1" applyBorder="1" applyAlignment="1" applyProtection="1">
      <alignment horizontal="left" vertical="center" wrapText="1"/>
      <protection locked="0"/>
    </xf>
    <xf numFmtId="0" fontId="14" fillId="9" borderId="44" xfId="0" applyFont="1" applyFill="1" applyBorder="1" applyAlignment="1">
      <alignment horizontal="center" vertical="center"/>
    </xf>
    <xf numFmtId="0" fontId="12" fillId="0" borderId="0" xfId="0" applyFont="1" applyBorder="1" applyAlignment="1">
      <alignment horizontal="left" vertical="center"/>
    </xf>
    <xf numFmtId="0" fontId="0" fillId="0" borderId="0" xfId="0" applyBorder="1" applyAlignment="1">
      <alignment horizontal="left" vertical="center"/>
    </xf>
  </cellXfs>
  <cellStyles count="1090">
    <cellStyle name="Comma" xfId="132" builtinId="3"/>
    <cellStyle name="Comma 2" xfId="412" xr:uid="{00000000-0005-0000-0000-000001000000}"/>
    <cellStyle name="Comma 3" xfId="950" xr:uid="{00000000-0005-0000-0000-000002000000}"/>
    <cellStyle name="Comma 4" xfId="1030" xr:uid="{00000000-0005-0000-0000-000003000000}"/>
    <cellStyle name="Currency" xfId="131" builtinId="4"/>
    <cellStyle name="Currency 2" xfId="134" xr:uid="{00000000-0005-0000-0000-000005000000}"/>
    <cellStyle name="Currency 2 2" xfId="952" xr:uid="{00000000-0005-0000-0000-000006000000}"/>
    <cellStyle name="Currency 3" xfId="413" xr:uid="{00000000-0005-0000-0000-000007000000}"/>
    <cellStyle name="Currency 4" xfId="949" xr:uid="{00000000-0005-0000-0000-000008000000}"/>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Grey" xfId="29" xr:uid="{00000000-0005-0000-0000-00002F020000}"/>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cellStyle name="Input [yellow]" xfId="30" xr:uid="{00000000-0005-0000-0000-00001D040000}"/>
    <cellStyle name="Normal" xfId="0" builtinId="0"/>
    <cellStyle name="Normal - Style1" xfId="31" xr:uid="{00000000-0005-0000-0000-00001F040000}"/>
    <cellStyle name="Normal 2" xfId="28" xr:uid="{00000000-0005-0000-0000-000020040000}"/>
    <cellStyle name="Normal 3" xfId="133" xr:uid="{00000000-0005-0000-0000-000021040000}"/>
    <cellStyle name="Normal 3 2" xfId="951" xr:uid="{00000000-0005-0000-0000-000022040000}"/>
    <cellStyle name="Normal 4" xfId="411" xr:uid="{00000000-0005-0000-0000-000023040000}"/>
    <cellStyle name="Normal 5" xfId="414" xr:uid="{00000000-0005-0000-0000-000024040000}"/>
    <cellStyle name="Percent" xfId="7" builtinId="5"/>
    <cellStyle name="Percent [2]" xfId="32" xr:uid="{00000000-0005-0000-0000-000026040000}"/>
    <cellStyle name="Percent 10" xfId="959" xr:uid="{00000000-0005-0000-0000-000027040000}"/>
    <cellStyle name="Percent 11" xfId="960" xr:uid="{00000000-0005-0000-0000-000028040000}"/>
    <cellStyle name="Percent 12" xfId="961" xr:uid="{00000000-0005-0000-0000-000029040000}"/>
    <cellStyle name="Percent 13" xfId="962" xr:uid="{00000000-0005-0000-0000-00002A040000}"/>
    <cellStyle name="Percent 14" xfId="963" xr:uid="{00000000-0005-0000-0000-00002B040000}"/>
    <cellStyle name="Percent 15" xfId="964" xr:uid="{00000000-0005-0000-0000-00002C040000}"/>
    <cellStyle name="Percent 16" xfId="965" xr:uid="{00000000-0005-0000-0000-00002D040000}"/>
    <cellStyle name="Percent 17" xfId="966" xr:uid="{00000000-0005-0000-0000-00002E040000}"/>
    <cellStyle name="Percent 18" xfId="967" xr:uid="{00000000-0005-0000-0000-00002F040000}"/>
    <cellStyle name="Percent 19" xfId="968" xr:uid="{00000000-0005-0000-0000-000030040000}"/>
    <cellStyle name="Percent 2" xfId="805" xr:uid="{00000000-0005-0000-0000-000031040000}"/>
    <cellStyle name="Percent 20" xfId="969" xr:uid="{00000000-0005-0000-0000-000032040000}"/>
    <cellStyle name="Percent 21" xfId="970" xr:uid="{00000000-0005-0000-0000-000033040000}"/>
    <cellStyle name="Percent 22" xfId="971" xr:uid="{00000000-0005-0000-0000-000034040000}"/>
    <cellStyle name="Percent 23" xfId="972" xr:uid="{00000000-0005-0000-0000-000035040000}"/>
    <cellStyle name="Percent 24" xfId="973" xr:uid="{00000000-0005-0000-0000-000036040000}"/>
    <cellStyle name="Percent 25" xfId="974" xr:uid="{00000000-0005-0000-0000-000037040000}"/>
    <cellStyle name="Percent 26" xfId="975" xr:uid="{00000000-0005-0000-0000-000038040000}"/>
    <cellStyle name="Percent 27" xfId="988" xr:uid="{00000000-0005-0000-0000-000039040000}"/>
    <cellStyle name="Percent 28" xfId="1029" xr:uid="{00000000-0005-0000-0000-00003A040000}"/>
    <cellStyle name="Percent 3" xfId="948" xr:uid="{00000000-0005-0000-0000-00003B040000}"/>
    <cellStyle name="Percent 4" xfId="953" xr:uid="{00000000-0005-0000-0000-00003C040000}"/>
    <cellStyle name="Percent 5" xfId="954" xr:uid="{00000000-0005-0000-0000-00003D040000}"/>
    <cellStyle name="Percent 6" xfId="955" xr:uid="{00000000-0005-0000-0000-00003E040000}"/>
    <cellStyle name="Percent 7" xfId="956" xr:uid="{00000000-0005-0000-0000-00003F040000}"/>
    <cellStyle name="Percent 8" xfId="957" xr:uid="{00000000-0005-0000-0000-000040040000}"/>
    <cellStyle name="Percent 9" xfId="958" xr:uid="{00000000-0005-0000-0000-000041040000}"/>
  </cellStyles>
  <dxfs count="44">
    <dxf>
      <font>
        <color theme="0" tint="-0.24994659260841701"/>
      </font>
      <fill>
        <patternFill patternType="solid">
          <fgColor theme="0" tint="-0.24994659260841701"/>
          <bgColor theme="0" tint="-0.24994659260841701"/>
        </patternFill>
      </fill>
      <border>
        <left/>
        <right/>
        <top/>
        <bottom/>
        <vertical/>
        <horizontal/>
      </border>
    </dxf>
    <dxf>
      <fill>
        <patternFill patternType="mediumGray">
          <bgColor theme="0"/>
        </patternFill>
      </fill>
      <border>
        <left style="thin">
          <color auto="1"/>
        </left>
        <right style="thin">
          <color auto="1"/>
        </right>
        <top style="thin">
          <color auto="1"/>
        </top>
        <bottom style="thin">
          <color auto="1"/>
        </bottom>
        <vertical/>
        <horizontal/>
      </border>
    </dxf>
    <dxf>
      <border>
        <left/>
        <right/>
        <top/>
        <vertical/>
        <horizontal/>
      </border>
    </dxf>
    <dxf>
      <border>
        <left/>
        <right/>
        <top/>
        <bottom/>
        <vertical/>
        <horizontal/>
      </border>
    </dxf>
    <dxf>
      <fill>
        <patternFill patternType="mediumGray">
          <fgColor auto="1"/>
          <bgColor theme="0"/>
        </patternFill>
      </fill>
      <border>
        <left/>
        <right/>
        <top/>
        <bottom/>
        <vertical/>
        <horizontal/>
      </border>
    </dxf>
    <dxf>
      <fill>
        <patternFill patternType="mediumGray">
          <bgColor theme="0"/>
        </patternFill>
      </fill>
      <border>
        <left/>
        <right/>
        <top/>
        <bottom/>
        <vertical/>
        <horizontal/>
      </border>
    </dxf>
    <dxf>
      <fill>
        <patternFill patternType="mediumGray">
          <bgColor auto="1"/>
        </patternFill>
      </fill>
      <border>
        <left/>
        <right/>
        <top/>
        <bottom/>
        <vertical/>
        <horizontal/>
      </border>
    </dxf>
    <dxf>
      <fill>
        <patternFill patternType="mediumGray">
          <bgColor theme="0"/>
        </patternFill>
      </fill>
      <border>
        <left/>
        <right/>
        <top/>
        <bottom/>
      </border>
    </dxf>
    <dxf>
      <font>
        <u val="none"/>
        <color theme="0" tint="-0.24994659260841701"/>
      </font>
      <fill>
        <patternFill patternType="solid">
          <fgColor theme="0" tint="-0.24994659260841701"/>
          <bgColor theme="0" tint="-0.24994659260841701"/>
        </patternFill>
      </fill>
      <border>
        <left/>
        <right/>
        <top/>
        <bottom/>
        <vertical/>
        <horizontal/>
      </border>
    </dxf>
    <dxf>
      <fill>
        <patternFill patternType="mediumGray">
          <bgColor theme="0"/>
        </patternFill>
      </fill>
    </dxf>
    <dxf>
      <font>
        <color auto="1"/>
      </font>
      <fill>
        <patternFill patternType="mediumGray">
          <fgColor indexed="64"/>
          <bgColor indexed="65"/>
        </patternFill>
      </fill>
    </dxf>
    <dxf>
      <font>
        <color theme="0" tint="-0.24994659260841701"/>
      </font>
      <fill>
        <patternFill patternType="solid">
          <fgColor auto="1"/>
          <bgColor theme="0" tint="-0.24994659260841701"/>
        </patternFill>
      </fill>
      <border>
        <left/>
        <right/>
        <top/>
        <bottom/>
        <vertical/>
        <horizontal/>
      </border>
    </dxf>
    <dxf>
      <font>
        <color theme="0" tint="-0.24994659260841701"/>
      </font>
      <fill>
        <patternFill patternType="solid">
          <fgColor theme="0" tint="-0.24994659260841701"/>
          <bgColor theme="0" tint="-0.24994659260841701"/>
        </patternFill>
      </fill>
      <border>
        <left/>
        <right/>
        <top/>
        <bottom/>
        <vertical/>
        <horizontal/>
      </border>
    </dxf>
    <dxf>
      <font>
        <color theme="0" tint="-0.24994659260841701"/>
      </font>
      <fill>
        <patternFill patternType="solid">
          <fgColor theme="0" tint="-0.24994659260841701"/>
          <bgColor theme="0" tint="-0.24994659260841701"/>
        </patternFill>
      </fill>
      <border>
        <left/>
        <right/>
        <top/>
        <bottom/>
        <vertical/>
        <horizontal/>
      </border>
    </dxf>
    <dxf>
      <fill>
        <patternFill>
          <bgColor rgb="FF00B050"/>
        </patternFill>
      </fill>
    </dxf>
    <dxf>
      <font>
        <color theme="0"/>
      </font>
      <fill>
        <patternFill patternType="solid">
          <fgColor indexed="64"/>
          <bgColor rgb="FF3366FF"/>
        </patternFill>
      </fill>
    </dxf>
    <dxf>
      <font>
        <color theme="0"/>
      </font>
      <fill>
        <patternFill patternType="solid">
          <fgColor indexed="64"/>
          <bgColor rgb="FF660066"/>
        </patternFill>
      </fill>
    </dxf>
    <dxf>
      <fill>
        <patternFill>
          <bgColor rgb="FF00B050"/>
        </patternFill>
      </fill>
    </dxf>
    <dxf>
      <font>
        <color theme="0"/>
      </font>
      <fill>
        <patternFill patternType="solid">
          <fgColor indexed="64"/>
          <bgColor rgb="FF3366FF"/>
        </patternFill>
      </fill>
    </dxf>
    <dxf>
      <font>
        <color theme="0"/>
      </font>
      <fill>
        <patternFill patternType="solid">
          <fgColor indexed="64"/>
          <bgColor rgb="FF660066"/>
        </patternFill>
      </fill>
    </dxf>
    <dxf>
      <fill>
        <patternFill patternType="mediumGray"/>
      </fill>
      <border>
        <left/>
        <right/>
        <top/>
        <bottom/>
        <vertical/>
        <horizontal/>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
      <fill>
        <patternFill patternType="mediumGray">
          <bgColor theme="0"/>
        </patternFill>
      </fill>
      <border>
        <left/>
        <right/>
        <top/>
        <bottom/>
      </border>
    </dxf>
  </dxfs>
  <tableStyles count="0" defaultTableStyle="TableStyleMedium9" defaultPivotStyle="PivotStyleMedium4"/>
  <colors>
    <mruColors>
      <color rgb="FF2E3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0</xdr:row>
      <xdr:rowOff>569806</xdr:rowOff>
    </xdr:to>
    <xdr:pic>
      <xdr:nvPicPr>
        <xdr:cNvPr id="2" name="Picture 1">
          <a:extLst>
            <a:ext uri="{FF2B5EF4-FFF2-40B4-BE49-F238E27FC236}">
              <a16:creationId xmlns:a16="http://schemas.microsoft.com/office/drawing/2014/main" id="{69D3E45F-87E9-FD45-B415-E6EDF9795B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3874" cy="561339"/>
        </a:xfrm>
        <a:prstGeom prst="rect">
          <a:avLst/>
        </a:prstGeom>
      </xdr:spPr>
    </xdr:pic>
    <xdr:clientData/>
  </xdr:twoCellAnchor>
  <xdr:twoCellAnchor editAs="oneCell">
    <xdr:from>
      <xdr:col>2</xdr:col>
      <xdr:colOff>10583332</xdr:colOff>
      <xdr:row>0</xdr:row>
      <xdr:rowOff>0</xdr:rowOff>
    </xdr:from>
    <xdr:to>
      <xdr:col>2</xdr:col>
      <xdr:colOff>11094506</xdr:colOff>
      <xdr:row>0</xdr:row>
      <xdr:rowOff>569806</xdr:rowOff>
    </xdr:to>
    <xdr:pic>
      <xdr:nvPicPr>
        <xdr:cNvPr id="3" name="Picture 2">
          <a:extLst>
            <a:ext uri="{FF2B5EF4-FFF2-40B4-BE49-F238E27FC236}">
              <a16:creationId xmlns:a16="http://schemas.microsoft.com/office/drawing/2014/main" id="{04606EE3-A36A-3148-B1E2-B5E32E0C98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91932" y="0"/>
          <a:ext cx="511174" cy="5613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533400</xdr:colOff>
      <xdr:row>2</xdr:row>
      <xdr:rowOff>9525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33400" cy="533400"/>
        </a:xfrm>
        <a:prstGeom prst="rect">
          <a:avLst/>
        </a:prstGeom>
      </xdr:spPr>
    </xdr:pic>
    <xdr:clientData/>
  </xdr:twoCellAnchor>
  <xdr:twoCellAnchor editAs="oneCell">
    <xdr:from>
      <xdr:col>13</xdr:col>
      <xdr:colOff>637117</xdr:colOff>
      <xdr:row>0</xdr:row>
      <xdr:rowOff>0</xdr:rowOff>
    </xdr:from>
    <xdr:to>
      <xdr:col>13</xdr:col>
      <xdr:colOff>1177925</xdr:colOff>
      <xdr:row>2</xdr:row>
      <xdr:rowOff>9525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18317" y="0"/>
          <a:ext cx="540808" cy="5344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2</xdr:row>
      <xdr:rowOff>2539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3874" cy="523874"/>
        </a:xfrm>
        <a:prstGeom prst="rect">
          <a:avLst/>
        </a:prstGeom>
      </xdr:spPr>
    </xdr:pic>
    <xdr:clientData/>
  </xdr:twoCellAnchor>
  <xdr:twoCellAnchor editAs="oneCell">
    <xdr:from>
      <xdr:col>6</xdr:col>
      <xdr:colOff>2461063</xdr:colOff>
      <xdr:row>0</xdr:row>
      <xdr:rowOff>0</xdr:rowOff>
    </xdr:from>
    <xdr:to>
      <xdr:col>6</xdr:col>
      <xdr:colOff>2992346</xdr:colOff>
      <xdr:row>2</xdr:row>
      <xdr:rowOff>2539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1178" y="0"/>
          <a:ext cx="531283" cy="5426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2</xdr:row>
      <xdr:rowOff>2539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3874" cy="523874"/>
        </a:xfrm>
        <a:prstGeom prst="rect">
          <a:avLst/>
        </a:prstGeom>
      </xdr:spPr>
    </xdr:pic>
    <xdr:clientData/>
  </xdr:twoCellAnchor>
  <xdr:twoCellAnchor editAs="oneCell">
    <xdr:from>
      <xdr:col>8</xdr:col>
      <xdr:colOff>727075</xdr:colOff>
      <xdr:row>0</xdr:row>
      <xdr:rowOff>0</xdr:rowOff>
    </xdr:from>
    <xdr:to>
      <xdr:col>9</xdr:col>
      <xdr:colOff>9524</xdr:colOff>
      <xdr:row>2</xdr:row>
      <xdr:rowOff>2539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6475" y="0"/>
          <a:ext cx="527049" cy="5206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1</xdr:row>
      <xdr:rowOff>266699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3874" cy="533399"/>
        </a:xfrm>
        <a:prstGeom prst="rect">
          <a:avLst/>
        </a:prstGeom>
      </xdr:spPr>
    </xdr:pic>
    <xdr:clientData/>
  </xdr:twoCellAnchor>
  <xdr:twoCellAnchor editAs="oneCell">
    <xdr:from>
      <xdr:col>4</xdr:col>
      <xdr:colOff>1207559</xdr:colOff>
      <xdr:row>0</xdr:row>
      <xdr:rowOff>0</xdr:rowOff>
    </xdr:from>
    <xdr:to>
      <xdr:col>5</xdr:col>
      <xdr:colOff>754</xdr:colOff>
      <xdr:row>1</xdr:row>
      <xdr:rowOff>265641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21459" y="0"/>
          <a:ext cx="529166" cy="5323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1</xdr:row>
      <xdr:rowOff>266699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23874" cy="533399"/>
        </a:xfrm>
        <a:prstGeom prst="rect">
          <a:avLst/>
        </a:prstGeom>
      </xdr:spPr>
    </xdr:pic>
    <xdr:clientData/>
  </xdr:twoCellAnchor>
  <xdr:twoCellAnchor editAs="oneCell">
    <xdr:from>
      <xdr:col>3</xdr:col>
      <xdr:colOff>1262591</xdr:colOff>
      <xdr:row>0</xdr:row>
      <xdr:rowOff>33867</xdr:rowOff>
    </xdr:from>
    <xdr:to>
      <xdr:col>4</xdr:col>
      <xdr:colOff>54138</xdr:colOff>
      <xdr:row>2</xdr:row>
      <xdr:rowOff>37041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81658" y="33867"/>
          <a:ext cx="535680" cy="5450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485775</xdr:colOff>
      <xdr:row>2</xdr:row>
      <xdr:rowOff>9525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85775" cy="485775"/>
        </a:xfrm>
        <a:prstGeom prst="rect">
          <a:avLst/>
        </a:prstGeom>
      </xdr:spPr>
    </xdr:pic>
    <xdr:clientData/>
  </xdr:twoCellAnchor>
  <xdr:twoCellAnchor editAs="oneCell">
    <xdr:from>
      <xdr:col>10</xdr:col>
      <xdr:colOff>1107016</xdr:colOff>
      <xdr:row>0</xdr:row>
      <xdr:rowOff>0</xdr:rowOff>
    </xdr:from>
    <xdr:to>
      <xdr:col>10</xdr:col>
      <xdr:colOff>1601258</xdr:colOff>
      <xdr:row>2</xdr:row>
      <xdr:rowOff>9525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57549" y="0"/>
          <a:ext cx="494242" cy="4836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947420</xdr:colOff>
      <xdr:row>0</xdr:row>
      <xdr:rowOff>16932</xdr:rowOff>
    </xdr:from>
    <xdr:to>
      <xdr:col>6</xdr:col>
      <xdr:colOff>2540</xdr:colOff>
      <xdr:row>1</xdr:row>
      <xdr:rowOff>230660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24353" y="16932"/>
          <a:ext cx="528320" cy="467728"/>
        </a:xfrm>
        <a:prstGeom prst="rect">
          <a:avLst/>
        </a:prstGeom>
      </xdr:spPr>
    </xdr:pic>
    <xdr:clientData/>
  </xdr:twoCellAnchor>
  <xdr:twoCellAnchor editAs="oneCell">
    <xdr:from>
      <xdr:col>0</xdr:col>
      <xdr:colOff>0</xdr:colOff>
      <xdr:row>0</xdr:row>
      <xdr:rowOff>0</xdr:rowOff>
    </xdr:from>
    <xdr:to>
      <xdr:col>0</xdr:col>
      <xdr:colOff>533400</xdr:colOff>
      <xdr:row>1</xdr:row>
      <xdr:rowOff>213728</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33400" cy="4728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457201</xdr:colOff>
      <xdr:row>2</xdr:row>
      <xdr:rowOff>1</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457200" cy="457200"/>
        </a:xfrm>
        <a:prstGeom prst="rect">
          <a:avLst/>
        </a:prstGeom>
      </xdr:spPr>
    </xdr:pic>
    <xdr:clientData/>
  </xdr:twoCellAnchor>
  <xdr:twoCellAnchor editAs="oneCell">
    <xdr:from>
      <xdr:col>28</xdr:col>
      <xdr:colOff>847726</xdr:colOff>
      <xdr:row>0</xdr:row>
      <xdr:rowOff>0</xdr:rowOff>
    </xdr:from>
    <xdr:to>
      <xdr:col>29</xdr:col>
      <xdr:colOff>9526</xdr:colOff>
      <xdr:row>2</xdr:row>
      <xdr:rowOff>2266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80276" y="0"/>
          <a:ext cx="457200" cy="457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0</xdr:col>
      <xdr:colOff>546100</xdr:colOff>
      <xdr:row>2</xdr:row>
      <xdr:rowOff>16933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0"/>
          <a:ext cx="533400" cy="533400"/>
        </a:xfrm>
        <a:prstGeom prst="rect">
          <a:avLst/>
        </a:prstGeom>
      </xdr:spPr>
    </xdr:pic>
    <xdr:clientData/>
  </xdr:twoCellAnchor>
  <xdr:twoCellAnchor editAs="oneCell">
    <xdr:from>
      <xdr:col>31</xdr:col>
      <xdr:colOff>317500</xdr:colOff>
      <xdr:row>0</xdr:row>
      <xdr:rowOff>12700</xdr:rowOff>
    </xdr:from>
    <xdr:to>
      <xdr:col>32</xdr:col>
      <xdr:colOff>12701</xdr:colOff>
      <xdr:row>2</xdr:row>
      <xdr:rowOff>21167</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29200" y="12700"/>
          <a:ext cx="533400"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Users/searni/Google%20Drive/eProjectBuilder/R&amp;D/Templates/1.9/ESPC_Data_Template_1.96+TO6-Discuss-0316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chedule"/>
      <sheetName val="Annual Escalation Rates"/>
      <sheetName val="Schedule-1"/>
      <sheetName val="Schedule-2"/>
      <sheetName val="Schedule-3"/>
      <sheetName val="Schedule-4"/>
      <sheetName val="Schedule-5"/>
      <sheetName val="Amortization-HIDDEN"/>
      <sheetName val="Itemized Costs-HIDDEN"/>
      <sheetName val="ECM"/>
      <sheetName val="Schedule-6"/>
      <sheetName val="Scratch Sheet-1"/>
      <sheetName val="Scratch Sheet-2"/>
      <sheetName val="Scratch Sheet-3"/>
      <sheetName val="Scratch Sheet-4"/>
      <sheetName val="Scratch Sheet-5"/>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projectbuilder.lbl.gov/hom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D21"/>
  <sheetViews>
    <sheetView tabSelected="1" zoomScale="75" zoomScaleNormal="75" workbookViewId="0">
      <selection sqref="A1:C1"/>
    </sheetView>
  </sheetViews>
  <sheetFormatPr baseColWidth="10" defaultColWidth="11" defaultRowHeight="16"/>
  <cols>
    <col min="1" max="1" width="39.5" customWidth="1"/>
    <col min="2" max="2" width="30.1640625" customWidth="1"/>
    <col min="3" max="3" width="145.6640625" customWidth="1"/>
    <col min="4" max="4" width="30" customWidth="1"/>
  </cols>
  <sheetData>
    <row r="1" spans="1:4" ht="46" customHeight="1">
      <c r="A1" s="323" t="s">
        <v>333</v>
      </c>
      <c r="B1" s="323"/>
      <c r="C1" s="323"/>
    </row>
    <row r="2" spans="1:4" ht="17">
      <c r="A2" s="141" t="s">
        <v>273</v>
      </c>
      <c r="B2" s="141" t="s">
        <v>274</v>
      </c>
      <c r="C2" s="142" t="s">
        <v>211</v>
      </c>
    </row>
    <row r="3" spans="1:4" ht="34">
      <c r="A3" s="324" t="s">
        <v>280</v>
      </c>
      <c r="B3" s="326" t="s">
        <v>275</v>
      </c>
      <c r="C3" s="313" t="s">
        <v>285</v>
      </c>
    </row>
    <row r="4" spans="1:4" ht="17">
      <c r="A4" s="324"/>
      <c r="B4" s="327"/>
      <c r="C4" s="314" t="s">
        <v>262</v>
      </c>
    </row>
    <row r="5" spans="1:4" ht="17">
      <c r="A5" s="324"/>
      <c r="B5" s="327"/>
      <c r="C5" s="314" t="s">
        <v>263</v>
      </c>
    </row>
    <row r="6" spans="1:4" ht="17">
      <c r="A6" s="324"/>
      <c r="B6" s="327"/>
      <c r="C6" s="314" t="s">
        <v>264</v>
      </c>
    </row>
    <row r="7" spans="1:4" ht="17">
      <c r="A7" s="324"/>
      <c r="B7" s="327"/>
      <c r="C7" s="314" t="s">
        <v>265</v>
      </c>
    </row>
    <row r="8" spans="1:4" ht="17">
      <c r="A8" s="324"/>
      <c r="B8" s="327"/>
      <c r="C8" s="314" t="s">
        <v>266</v>
      </c>
    </row>
    <row r="9" spans="1:4" ht="51">
      <c r="A9" s="315" t="s">
        <v>267</v>
      </c>
      <c r="B9" s="312" t="s">
        <v>275</v>
      </c>
      <c r="C9" s="140" t="s">
        <v>305</v>
      </c>
    </row>
    <row r="10" spans="1:4" ht="51">
      <c r="A10" s="315" t="s">
        <v>269</v>
      </c>
      <c r="B10" s="308" t="s">
        <v>331</v>
      </c>
      <c r="C10" s="140" t="s">
        <v>334</v>
      </c>
      <c r="D10" s="147"/>
    </row>
    <row r="11" spans="1:4" ht="34">
      <c r="A11" s="316" t="s">
        <v>270</v>
      </c>
      <c r="B11" s="317" t="s">
        <v>308</v>
      </c>
      <c r="C11" s="318" t="s">
        <v>309</v>
      </c>
    </row>
    <row r="12" spans="1:4" ht="34">
      <c r="A12" s="315" t="s">
        <v>271</v>
      </c>
      <c r="B12" s="312" t="s">
        <v>275</v>
      </c>
      <c r="C12" s="140" t="s">
        <v>299</v>
      </c>
      <c r="D12" s="147"/>
    </row>
    <row r="13" spans="1:4" ht="34">
      <c r="A13" s="315" t="s">
        <v>281</v>
      </c>
      <c r="B13" s="308" t="s">
        <v>332</v>
      </c>
      <c r="C13" s="151" t="s">
        <v>300</v>
      </c>
    </row>
    <row r="14" spans="1:4" ht="17">
      <c r="A14" s="325" t="s">
        <v>272</v>
      </c>
      <c r="B14" s="328" t="s">
        <v>275</v>
      </c>
      <c r="C14" s="140" t="s">
        <v>301</v>
      </c>
    </row>
    <row r="15" spans="1:4" ht="51">
      <c r="A15" s="325"/>
      <c r="B15" s="329"/>
      <c r="C15" s="140" t="s">
        <v>302</v>
      </c>
    </row>
    <row r="16" spans="1:4" ht="51">
      <c r="A16" s="325"/>
      <c r="B16" s="329"/>
      <c r="C16" s="140" t="s">
        <v>268</v>
      </c>
    </row>
    <row r="17" spans="1:3" ht="51">
      <c r="A17" s="315" t="s">
        <v>282</v>
      </c>
      <c r="B17" s="312" t="s">
        <v>275</v>
      </c>
      <c r="C17" s="149" t="s">
        <v>303</v>
      </c>
    </row>
    <row r="18" spans="1:3" ht="17">
      <c r="A18" s="315" t="s">
        <v>283</v>
      </c>
      <c r="B18" s="150" t="s">
        <v>284</v>
      </c>
      <c r="C18" s="140" t="s">
        <v>304</v>
      </c>
    </row>
    <row r="19" spans="1:3" s="1" customFormat="1" ht="24" customHeight="1">
      <c r="A19" s="322" t="s">
        <v>279</v>
      </c>
      <c r="B19" s="322"/>
      <c r="C19" s="322"/>
    </row>
    <row r="21" spans="1:3">
      <c r="C21" s="148"/>
    </row>
  </sheetData>
  <sheetProtection algorithmName="SHA-512" hashValue="dJaDVLQbHBg660o2e0/u6ShssZsy80uXncPCigF3L9vaHg65Z0aQK5RdJjf5RFLSj4NzgMkhiN5le9IcWu5feQ==" saltValue="+5BFzbk127hHHolJbFuoug==" spinCount="100000" sheet="1" objects="1" scenarios="1"/>
  <mergeCells count="6">
    <mergeCell ref="A19:C19"/>
    <mergeCell ref="A1:C1"/>
    <mergeCell ref="A3:A8"/>
    <mergeCell ref="A14:A16"/>
    <mergeCell ref="B3:B8"/>
    <mergeCell ref="B14:B16"/>
  </mergeCells>
  <hyperlinks>
    <hyperlink ref="A19" r:id="rId1" location="/help" display="/help" xr:uid="{00000000-0004-0000-0000-000000000000}"/>
    <hyperlink ref="A3:A8" location="'Summary Schedule'!A1" display="Summary Schedule" xr:uid="{F5991374-F48C-5841-B443-CC3691D5965B}"/>
    <hyperlink ref="A9" location="'Annual Escalation Rates'!A1" display="Annual Escalation Rates" xr:uid="{6EC961F8-3F3E-0943-84F5-B627A23B78FF}"/>
    <hyperlink ref="A10" location="'Sch1-Ann Cost Sav &amp; Pymts'!A1" display="Sch1-Ann Cost Sav &amp; Pymts" xr:uid="{DDD1B1B3-993B-A645-97E6-DB84CCD2C9CE}"/>
    <hyperlink ref="A11" location="'Sch1u-Ann Cost Sav &amp; Pymts-UESC'!A1" display="Sch1u-Ann Cost Sav &amp; Pymts-UESC" xr:uid="{1D4C08DF-4803-E449-94DF-2A3B82FB2667}"/>
    <hyperlink ref="A12" location="'Sch2a-Imp Price by ECM'!A1" display="Sch2a-Imp Price by ECM" xr:uid="{AE31BC1A-DD28-FA47-9D73-B9CCD7D1C95E}"/>
    <hyperlink ref="A13" location="'Sch2b-Project Imp Pricing'!A1" display="Sch2b-Project Imp Pricing" xr:uid="{441BBF5E-B522-0541-B617-872EEC0AC602}"/>
    <hyperlink ref="A14:A16" location="'Sch3-Perf Period Cash Flow'!A1" display="Sch3-Perf Period Cash Flow" xr:uid="{1F49CCD5-4F62-2646-BF21-800569606595}"/>
    <hyperlink ref="A17" location="'Sch4-Cost Savings by ECM'!A1" display="Sch4-Cost Savings by ECM" xr:uid="{7F0D5EEC-6196-8A4C-B623-A9F210FFEB8E}"/>
    <hyperlink ref="A18" location="'Sch5-Cancellation Ceilings'!A1" display="Sch5-Cancellation Ceilings" xr:uid="{6852CDCF-791D-3542-AA7E-6B635CBE6FB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41"/>
  <sheetViews>
    <sheetView zoomScale="75" zoomScaleNormal="75" zoomScalePageLayoutView="75" workbookViewId="0">
      <selection sqref="A1:N1"/>
    </sheetView>
  </sheetViews>
  <sheetFormatPr baseColWidth="10" defaultColWidth="11" defaultRowHeight="16"/>
  <cols>
    <col min="1" max="1" width="18.5" style="1" customWidth="1"/>
    <col min="2" max="2" width="7.5" style="1" customWidth="1"/>
    <col min="3" max="3" width="15" style="1" customWidth="1"/>
    <col min="4" max="12" width="15.1640625" style="1" bestFit="1" customWidth="1"/>
    <col min="13" max="14" width="15.5" style="1" bestFit="1" customWidth="1"/>
    <col min="15" max="16384" width="11" style="1"/>
  </cols>
  <sheetData>
    <row r="1" spans="1:14" ht="20.25" customHeight="1">
      <c r="A1" s="461" t="s">
        <v>85</v>
      </c>
      <c r="B1" s="461"/>
      <c r="C1" s="461"/>
      <c r="D1" s="461"/>
      <c r="E1" s="461"/>
      <c r="F1" s="461"/>
      <c r="G1" s="461"/>
      <c r="H1" s="461"/>
      <c r="I1" s="461"/>
      <c r="J1" s="461"/>
      <c r="K1" s="461"/>
      <c r="L1" s="461"/>
      <c r="M1" s="461"/>
      <c r="N1" s="461"/>
    </row>
    <row r="2" spans="1:14" ht="21" customHeight="1" thickBot="1">
      <c r="A2" s="461" t="s">
        <v>91</v>
      </c>
      <c r="B2" s="461"/>
      <c r="C2" s="461"/>
      <c r="D2" s="461"/>
      <c r="E2" s="461"/>
      <c r="F2" s="461"/>
      <c r="G2" s="461"/>
      <c r="H2" s="461"/>
      <c r="I2" s="461"/>
      <c r="J2" s="461"/>
      <c r="K2" s="461"/>
      <c r="L2" s="461"/>
      <c r="M2" s="461"/>
      <c r="N2" s="461"/>
    </row>
    <row r="3" spans="1:14" ht="18" customHeight="1" thickBot="1">
      <c r="A3" s="462"/>
      <c r="B3" s="462"/>
      <c r="C3" s="462"/>
      <c r="D3" s="462"/>
      <c r="E3" s="462"/>
      <c r="F3" s="462"/>
      <c r="G3" s="462"/>
      <c r="H3" s="462"/>
      <c r="I3" s="462"/>
      <c r="J3" s="462"/>
      <c r="K3" s="462"/>
      <c r="L3" s="462"/>
      <c r="M3" s="462"/>
      <c r="N3" s="462"/>
    </row>
    <row r="4" spans="1:14" ht="48.75" customHeight="1" thickBot="1">
      <c r="A4" s="457" t="s">
        <v>94</v>
      </c>
      <c r="B4" s="458"/>
      <c r="C4" s="75">
        <v>1</v>
      </c>
      <c r="D4" s="75">
        <v>2</v>
      </c>
      <c r="E4" s="75">
        <v>3</v>
      </c>
      <c r="F4" s="75">
        <v>4</v>
      </c>
      <c r="G4" s="75">
        <v>5</v>
      </c>
      <c r="H4" s="75">
        <v>6</v>
      </c>
      <c r="I4" s="75">
        <v>7</v>
      </c>
      <c r="J4" s="75">
        <v>8</v>
      </c>
      <c r="K4" s="75">
        <v>9</v>
      </c>
      <c r="L4" s="75">
        <v>10</v>
      </c>
      <c r="M4" s="75">
        <v>11</v>
      </c>
      <c r="N4" s="294">
        <v>12</v>
      </c>
    </row>
    <row r="5" spans="1:14" ht="18" customHeight="1" thickBot="1">
      <c r="A5" s="459" t="s">
        <v>160</v>
      </c>
      <c r="B5" s="460"/>
      <c r="C5" s="76"/>
      <c r="D5" s="76"/>
      <c r="E5" s="76"/>
      <c r="F5" s="76"/>
      <c r="G5" s="76"/>
      <c r="H5" s="76"/>
      <c r="I5" s="76"/>
      <c r="J5" s="76"/>
      <c r="K5" s="76"/>
      <c r="L5" s="76"/>
      <c r="M5" s="76"/>
      <c r="N5" s="295"/>
    </row>
    <row r="6" spans="1:14" ht="18" customHeight="1" thickBot="1">
      <c r="A6" s="454">
        <v>1</v>
      </c>
      <c r="B6" s="455"/>
      <c r="C6" s="76"/>
      <c r="D6" s="76"/>
      <c r="E6" s="76"/>
      <c r="F6" s="76"/>
      <c r="G6" s="76"/>
      <c r="H6" s="76"/>
      <c r="I6" s="76"/>
      <c r="J6" s="76"/>
      <c r="K6" s="76"/>
      <c r="L6" s="76"/>
      <c r="M6" s="76"/>
      <c r="N6" s="295"/>
    </row>
    <row r="7" spans="1:14" ht="18" customHeight="1" thickBot="1">
      <c r="A7" s="454">
        <v>2</v>
      </c>
      <c r="B7" s="455"/>
      <c r="C7" s="76"/>
      <c r="D7" s="76"/>
      <c r="E7" s="76"/>
      <c r="F7" s="76"/>
      <c r="G7" s="76"/>
      <c r="H7" s="76"/>
      <c r="I7" s="76"/>
      <c r="J7" s="76"/>
      <c r="K7" s="76"/>
      <c r="L7" s="76"/>
      <c r="M7" s="76"/>
      <c r="N7" s="295"/>
    </row>
    <row r="8" spans="1:14" ht="18" customHeight="1" thickBot="1">
      <c r="A8" s="454">
        <v>3</v>
      </c>
      <c r="B8" s="455"/>
      <c r="C8" s="76"/>
      <c r="D8" s="76"/>
      <c r="E8" s="76"/>
      <c r="F8" s="76"/>
      <c r="G8" s="76"/>
      <c r="H8" s="76"/>
      <c r="I8" s="76"/>
      <c r="J8" s="76"/>
      <c r="K8" s="76"/>
      <c r="L8" s="76"/>
      <c r="M8" s="76"/>
      <c r="N8" s="295"/>
    </row>
    <row r="9" spans="1:14" ht="18" customHeight="1" thickBot="1">
      <c r="A9" s="454">
        <v>4</v>
      </c>
      <c r="B9" s="455"/>
      <c r="C9" s="76"/>
      <c r="D9" s="76"/>
      <c r="E9" s="76"/>
      <c r="F9" s="76"/>
      <c r="G9" s="76"/>
      <c r="H9" s="76"/>
      <c r="I9" s="76"/>
      <c r="J9" s="76"/>
      <c r="K9" s="76"/>
      <c r="L9" s="76"/>
      <c r="M9" s="76"/>
      <c r="N9" s="295"/>
    </row>
    <row r="10" spans="1:14" ht="18" customHeight="1" thickBot="1">
      <c r="A10" s="454">
        <v>5</v>
      </c>
      <c r="B10" s="455"/>
      <c r="C10" s="76"/>
      <c r="D10" s="76"/>
      <c r="E10" s="76"/>
      <c r="F10" s="76"/>
      <c r="G10" s="76"/>
      <c r="H10" s="76"/>
      <c r="I10" s="76"/>
      <c r="J10" s="76"/>
      <c r="K10" s="76"/>
      <c r="L10" s="76"/>
      <c r="M10" s="76"/>
      <c r="N10" s="295"/>
    </row>
    <row r="11" spans="1:14" ht="18" customHeight="1" thickBot="1">
      <c r="A11" s="454">
        <v>6</v>
      </c>
      <c r="B11" s="455"/>
      <c r="C11" s="76"/>
      <c r="D11" s="76"/>
      <c r="E11" s="76"/>
      <c r="F11" s="76"/>
      <c r="G11" s="76"/>
      <c r="H11" s="76"/>
      <c r="I11" s="76"/>
      <c r="J11" s="76"/>
      <c r="K11" s="76"/>
      <c r="L11" s="76"/>
      <c r="M11" s="76"/>
      <c r="N11" s="295"/>
    </row>
    <row r="12" spans="1:14" ht="18" customHeight="1" thickBot="1">
      <c r="A12" s="454">
        <v>7</v>
      </c>
      <c r="B12" s="455"/>
      <c r="C12" s="76"/>
      <c r="D12" s="76"/>
      <c r="E12" s="76"/>
      <c r="F12" s="76"/>
      <c r="G12" s="76"/>
      <c r="H12" s="76"/>
      <c r="I12" s="76"/>
      <c r="J12" s="76"/>
      <c r="K12" s="76"/>
      <c r="L12" s="76"/>
      <c r="M12" s="76"/>
      <c r="N12" s="295"/>
    </row>
    <row r="13" spans="1:14" ht="18" customHeight="1" thickBot="1">
      <c r="A13" s="454">
        <v>8</v>
      </c>
      <c r="B13" s="455"/>
      <c r="C13" s="76"/>
      <c r="D13" s="76"/>
      <c r="E13" s="76"/>
      <c r="F13" s="76"/>
      <c r="G13" s="76"/>
      <c r="H13" s="76"/>
      <c r="I13" s="76"/>
      <c r="J13" s="76"/>
      <c r="K13" s="76"/>
      <c r="L13" s="76"/>
      <c r="M13" s="76"/>
      <c r="N13" s="295"/>
    </row>
    <row r="14" spans="1:14" ht="18" customHeight="1" thickBot="1">
      <c r="A14" s="454">
        <v>9</v>
      </c>
      <c r="B14" s="455"/>
      <c r="C14" s="76"/>
      <c r="D14" s="76"/>
      <c r="E14" s="76"/>
      <c r="F14" s="76"/>
      <c r="G14" s="76"/>
      <c r="H14" s="76"/>
      <c r="I14" s="76"/>
      <c r="J14" s="76"/>
      <c r="K14" s="76"/>
      <c r="L14" s="76"/>
      <c r="M14" s="76"/>
      <c r="N14" s="295"/>
    </row>
    <row r="15" spans="1:14" ht="18" customHeight="1" thickBot="1">
      <c r="A15" s="454">
        <v>10</v>
      </c>
      <c r="B15" s="455"/>
      <c r="C15" s="76"/>
      <c r="D15" s="76"/>
      <c r="E15" s="76"/>
      <c r="F15" s="76"/>
      <c r="G15" s="76"/>
      <c r="H15" s="76"/>
      <c r="I15" s="76"/>
      <c r="J15" s="76"/>
      <c r="K15" s="76"/>
      <c r="L15" s="76"/>
      <c r="M15" s="76"/>
      <c r="N15" s="295"/>
    </row>
    <row r="16" spans="1:14" ht="18" customHeight="1" thickBot="1">
      <c r="A16" s="454">
        <v>11</v>
      </c>
      <c r="B16" s="455"/>
      <c r="C16" s="76"/>
      <c r="D16" s="76"/>
      <c r="E16" s="76"/>
      <c r="F16" s="76"/>
      <c r="G16" s="76"/>
      <c r="H16" s="76"/>
      <c r="I16" s="76"/>
      <c r="J16" s="76"/>
      <c r="K16" s="76"/>
      <c r="L16" s="76"/>
      <c r="M16" s="76"/>
      <c r="N16" s="295"/>
    </row>
    <row r="17" spans="1:14" ht="18" customHeight="1" thickBot="1">
      <c r="A17" s="454">
        <v>12</v>
      </c>
      <c r="B17" s="455"/>
      <c r="C17" s="76"/>
      <c r="D17" s="76"/>
      <c r="E17" s="76"/>
      <c r="F17" s="76"/>
      <c r="G17" s="76"/>
      <c r="H17" s="76"/>
      <c r="I17" s="76"/>
      <c r="J17" s="76"/>
      <c r="K17" s="76"/>
      <c r="L17" s="76"/>
      <c r="M17" s="76"/>
      <c r="N17" s="295"/>
    </row>
    <row r="18" spans="1:14" ht="18" customHeight="1" thickBot="1">
      <c r="A18" s="454">
        <v>13</v>
      </c>
      <c r="B18" s="455"/>
      <c r="C18" s="76"/>
      <c r="D18" s="76"/>
      <c r="E18" s="76"/>
      <c r="F18" s="76"/>
      <c r="G18" s="76"/>
      <c r="H18" s="76"/>
      <c r="I18" s="76"/>
      <c r="J18" s="76"/>
      <c r="K18" s="76"/>
      <c r="L18" s="76"/>
      <c r="M18" s="76"/>
      <c r="N18" s="295"/>
    </row>
    <row r="19" spans="1:14" ht="18" customHeight="1" thickBot="1">
      <c r="A19" s="454">
        <v>14</v>
      </c>
      <c r="B19" s="455"/>
      <c r="C19" s="76"/>
      <c r="D19" s="76"/>
      <c r="E19" s="76"/>
      <c r="F19" s="76"/>
      <c r="G19" s="76"/>
      <c r="H19" s="76"/>
      <c r="I19" s="76"/>
      <c r="J19" s="76"/>
      <c r="K19" s="76"/>
      <c r="L19" s="76"/>
      <c r="M19" s="76"/>
      <c r="N19" s="295"/>
    </row>
    <row r="20" spans="1:14" ht="18" customHeight="1" thickBot="1">
      <c r="A20" s="454">
        <v>15</v>
      </c>
      <c r="B20" s="455"/>
      <c r="C20" s="76"/>
      <c r="D20" s="76"/>
      <c r="E20" s="76"/>
      <c r="F20" s="76"/>
      <c r="G20" s="76"/>
      <c r="H20" s="76"/>
      <c r="I20" s="76"/>
      <c r="J20" s="76"/>
      <c r="K20" s="76"/>
      <c r="L20" s="76"/>
      <c r="M20" s="76"/>
      <c r="N20" s="295"/>
    </row>
    <row r="21" spans="1:14" ht="18" customHeight="1" thickBot="1">
      <c r="A21" s="454">
        <v>16</v>
      </c>
      <c r="B21" s="455"/>
      <c r="C21" s="76"/>
      <c r="D21" s="76"/>
      <c r="E21" s="76"/>
      <c r="F21" s="76"/>
      <c r="G21" s="76"/>
      <c r="H21" s="76"/>
      <c r="I21" s="76"/>
      <c r="J21" s="76"/>
      <c r="K21" s="76"/>
      <c r="L21" s="76"/>
      <c r="M21" s="76"/>
      <c r="N21" s="295"/>
    </row>
    <row r="22" spans="1:14" ht="18" customHeight="1" thickBot="1">
      <c r="A22" s="454">
        <v>17</v>
      </c>
      <c r="B22" s="455"/>
      <c r="C22" s="76"/>
      <c r="D22" s="76"/>
      <c r="E22" s="76"/>
      <c r="F22" s="76"/>
      <c r="G22" s="76"/>
      <c r="H22" s="76"/>
      <c r="I22" s="76"/>
      <c r="J22" s="76"/>
      <c r="K22" s="76"/>
      <c r="L22" s="76"/>
      <c r="M22" s="76"/>
      <c r="N22" s="295"/>
    </row>
    <row r="23" spans="1:14" ht="18" customHeight="1" thickBot="1">
      <c r="A23" s="454">
        <v>18</v>
      </c>
      <c r="B23" s="455"/>
      <c r="C23" s="76"/>
      <c r="D23" s="76"/>
      <c r="E23" s="76"/>
      <c r="F23" s="76"/>
      <c r="G23" s="76"/>
      <c r="H23" s="76"/>
      <c r="I23" s="76"/>
      <c r="J23" s="76"/>
      <c r="K23" s="76"/>
      <c r="L23" s="76"/>
      <c r="M23" s="76"/>
      <c r="N23" s="295"/>
    </row>
    <row r="24" spans="1:14" ht="18" customHeight="1" thickBot="1">
      <c r="A24" s="454">
        <v>19</v>
      </c>
      <c r="B24" s="455"/>
      <c r="C24" s="76"/>
      <c r="D24" s="76"/>
      <c r="E24" s="76"/>
      <c r="F24" s="76"/>
      <c r="G24" s="76"/>
      <c r="H24" s="76"/>
      <c r="I24" s="76"/>
      <c r="J24" s="76"/>
      <c r="K24" s="76"/>
      <c r="L24" s="76"/>
      <c r="M24" s="76"/>
      <c r="N24" s="295"/>
    </row>
    <row r="25" spans="1:14" ht="18" customHeight="1" thickBot="1">
      <c r="A25" s="454">
        <v>20</v>
      </c>
      <c r="B25" s="455"/>
      <c r="C25" s="76"/>
      <c r="D25" s="76"/>
      <c r="E25" s="76"/>
      <c r="F25" s="76"/>
      <c r="G25" s="76"/>
      <c r="H25" s="76"/>
      <c r="I25" s="76"/>
      <c r="J25" s="76"/>
      <c r="K25" s="76"/>
      <c r="L25" s="76"/>
      <c r="M25" s="76"/>
      <c r="N25" s="295"/>
    </row>
    <row r="26" spans="1:14" ht="18" customHeight="1" thickBot="1">
      <c r="A26" s="454">
        <v>21</v>
      </c>
      <c r="B26" s="455"/>
      <c r="C26" s="76"/>
      <c r="D26" s="76"/>
      <c r="E26" s="76"/>
      <c r="F26" s="76"/>
      <c r="G26" s="76"/>
      <c r="H26" s="76"/>
      <c r="I26" s="76"/>
      <c r="J26" s="76"/>
      <c r="K26" s="76"/>
      <c r="L26" s="76"/>
      <c r="M26" s="76"/>
      <c r="N26" s="295"/>
    </row>
    <row r="27" spans="1:14" ht="18" customHeight="1" thickBot="1">
      <c r="A27" s="454">
        <v>22</v>
      </c>
      <c r="B27" s="455"/>
      <c r="C27" s="76"/>
      <c r="D27" s="76"/>
      <c r="E27" s="76"/>
      <c r="F27" s="76"/>
      <c r="G27" s="76"/>
      <c r="H27" s="76"/>
      <c r="I27" s="76"/>
      <c r="J27" s="76"/>
      <c r="K27" s="76"/>
      <c r="L27" s="76"/>
      <c r="M27" s="76"/>
      <c r="N27" s="295"/>
    </row>
    <row r="28" spans="1:14" ht="18" customHeight="1" thickBot="1">
      <c r="A28" s="454">
        <v>23</v>
      </c>
      <c r="B28" s="455"/>
      <c r="C28" s="76"/>
      <c r="D28" s="76"/>
      <c r="E28" s="76"/>
      <c r="F28" s="76"/>
      <c r="G28" s="76"/>
      <c r="H28" s="76"/>
      <c r="I28" s="76"/>
      <c r="J28" s="76"/>
      <c r="K28" s="76"/>
      <c r="L28" s="76"/>
      <c r="M28" s="76"/>
      <c r="N28" s="295"/>
    </row>
    <row r="29" spans="1:14" ht="18" customHeight="1" thickBot="1">
      <c r="A29" s="454">
        <v>24</v>
      </c>
      <c r="B29" s="455"/>
      <c r="C29" s="76"/>
      <c r="D29" s="76"/>
      <c r="E29" s="76"/>
      <c r="F29" s="76"/>
      <c r="G29" s="76"/>
      <c r="H29" s="76"/>
      <c r="I29" s="76"/>
      <c r="J29" s="76"/>
      <c r="K29" s="76"/>
      <c r="L29" s="76"/>
      <c r="M29" s="76"/>
      <c r="N29" s="295"/>
    </row>
    <row r="30" spans="1:14" ht="18" customHeight="1" thickBot="1">
      <c r="A30" s="454">
        <v>25</v>
      </c>
      <c r="B30" s="455"/>
      <c r="C30" s="76"/>
      <c r="D30" s="76"/>
      <c r="E30" s="76"/>
      <c r="F30" s="76"/>
      <c r="G30" s="76"/>
      <c r="H30" s="76"/>
      <c r="I30" s="76"/>
      <c r="J30" s="76"/>
      <c r="K30" s="76"/>
      <c r="L30" s="76"/>
      <c r="M30" s="76"/>
      <c r="N30" s="295"/>
    </row>
    <row r="31" spans="1:14" ht="18" customHeight="1" thickBot="1">
      <c r="A31" s="465"/>
      <c r="B31" s="465"/>
      <c r="C31" s="465"/>
      <c r="D31" s="465"/>
      <c r="E31" s="465"/>
      <c r="F31" s="465"/>
      <c r="G31" s="465"/>
      <c r="H31" s="465"/>
      <c r="I31" s="465"/>
      <c r="J31" s="465"/>
      <c r="K31" s="465"/>
      <c r="L31" s="465"/>
      <c r="M31" s="465"/>
      <c r="N31" s="465"/>
    </row>
    <row r="32" spans="1:14" ht="19.5" customHeight="1">
      <c r="A32" s="463" t="s">
        <v>15</v>
      </c>
      <c r="B32" s="463"/>
      <c r="C32" s="463"/>
      <c r="D32" s="463"/>
      <c r="E32" s="463"/>
      <c r="F32" s="463"/>
      <c r="G32" s="463"/>
      <c r="H32" s="463"/>
      <c r="I32" s="463"/>
      <c r="J32" s="463"/>
      <c r="K32" s="463"/>
      <c r="L32" s="463"/>
      <c r="M32" s="463"/>
      <c r="N32" s="463"/>
    </row>
    <row r="33" spans="1:14" ht="19.5" customHeight="1">
      <c r="A33" s="466" t="s">
        <v>158</v>
      </c>
      <c r="B33" s="466"/>
      <c r="C33" s="466"/>
      <c r="D33" s="466"/>
      <c r="E33" s="466"/>
      <c r="F33" s="466"/>
      <c r="G33" s="466"/>
      <c r="H33" s="466"/>
      <c r="I33" s="466"/>
      <c r="J33" s="466"/>
      <c r="K33" s="466"/>
      <c r="L33" s="466"/>
      <c r="M33" s="466"/>
      <c r="N33" s="466"/>
    </row>
    <row r="34" spans="1:14" ht="31" customHeight="1">
      <c r="A34" s="456" t="s">
        <v>159</v>
      </c>
      <c r="B34" s="456"/>
      <c r="C34" s="456"/>
      <c r="D34" s="456"/>
      <c r="E34" s="456"/>
      <c r="F34" s="456"/>
      <c r="G34" s="456"/>
      <c r="H34" s="456"/>
      <c r="I34" s="456"/>
      <c r="J34" s="456"/>
      <c r="K34" s="456"/>
      <c r="L34" s="456"/>
      <c r="M34" s="456"/>
      <c r="N34" s="456"/>
    </row>
    <row r="35" spans="1:14">
      <c r="A35" s="466" t="s">
        <v>225</v>
      </c>
      <c r="B35" s="467"/>
      <c r="C35" s="467"/>
      <c r="D35" s="467"/>
      <c r="E35" s="467"/>
      <c r="F35" s="467"/>
      <c r="G35" s="467"/>
      <c r="H35" s="467"/>
      <c r="I35" s="467"/>
      <c r="J35" s="467"/>
      <c r="K35" s="467"/>
      <c r="L35" s="467"/>
      <c r="M35" s="467"/>
      <c r="N35" s="467"/>
    </row>
    <row r="36" spans="1:14">
      <c r="A36" s="466" t="s">
        <v>226</v>
      </c>
      <c r="B36" s="467"/>
      <c r="C36" s="467"/>
      <c r="D36" s="467"/>
      <c r="E36" s="467"/>
      <c r="F36" s="467"/>
      <c r="G36" s="467"/>
      <c r="H36" s="467"/>
      <c r="I36" s="467"/>
      <c r="J36" s="467"/>
      <c r="K36" s="467"/>
      <c r="L36" s="467"/>
      <c r="M36" s="467"/>
      <c r="N36" s="467"/>
    </row>
    <row r="37" spans="1:14" ht="17" thickBot="1">
      <c r="A37" s="466"/>
      <c r="B37" s="467"/>
      <c r="C37" s="467"/>
      <c r="D37" s="467"/>
      <c r="E37" s="467"/>
      <c r="F37" s="467"/>
      <c r="G37" s="467"/>
      <c r="H37" s="467"/>
      <c r="I37" s="467"/>
      <c r="J37" s="467"/>
      <c r="K37" s="467"/>
      <c r="L37" s="467"/>
      <c r="M37" s="467"/>
      <c r="N37" s="467"/>
    </row>
    <row r="38" spans="1:14">
      <c r="A38" s="463" t="s">
        <v>130</v>
      </c>
      <c r="B38" s="463"/>
      <c r="C38" s="463"/>
      <c r="D38" s="463"/>
      <c r="E38" s="463"/>
      <c r="F38" s="463"/>
      <c r="G38" s="463"/>
      <c r="H38" s="463"/>
      <c r="I38" s="463"/>
      <c r="J38" s="463"/>
      <c r="K38" s="463"/>
      <c r="L38" s="463"/>
      <c r="M38" s="463"/>
      <c r="N38" s="463"/>
    </row>
    <row r="39" spans="1:14" ht="68" customHeight="1">
      <c r="A39" s="464"/>
      <c r="B39" s="464"/>
      <c r="C39" s="464"/>
      <c r="D39" s="464"/>
      <c r="E39" s="464"/>
      <c r="F39" s="464"/>
      <c r="G39" s="464"/>
      <c r="H39" s="464"/>
      <c r="I39" s="464"/>
      <c r="J39" s="464"/>
      <c r="K39" s="464"/>
      <c r="L39" s="464"/>
      <c r="M39" s="464"/>
      <c r="N39" s="464"/>
    </row>
    <row r="40" spans="1:14">
      <c r="A40" s="166" t="str">
        <f>'Summary Schedule'!A53</f>
        <v>0710020</v>
      </c>
    </row>
    <row r="41" spans="1:14">
      <c r="A41" s="152" t="str">
        <f>'Summary Schedule'!A54</f>
        <v>3.0.15.n</v>
      </c>
    </row>
  </sheetData>
  <sheetProtection algorithmName="SHA-512" hashValue="VZ7jpQe+RcDE+YAdRnG6QIw2I/kyY5fkWMhef+BK1AmRk/F2i16yNcs1vVuGniEov7uGuyD0OJ/r2q9Zo8vhDQ==" saltValue="cGdl+nEVk4fQTQmSIASOCg==" spinCount="100000" sheet="1" objects="1" scenarios="1"/>
  <mergeCells count="39">
    <mergeCell ref="A38:N38"/>
    <mergeCell ref="A39:N39"/>
    <mergeCell ref="A31:N31"/>
    <mergeCell ref="A32:N32"/>
    <mergeCell ref="A33:N33"/>
    <mergeCell ref="A35:N35"/>
    <mergeCell ref="A36:N36"/>
    <mergeCell ref="A37:N37"/>
    <mergeCell ref="A27:B27"/>
    <mergeCell ref="A28:B28"/>
    <mergeCell ref="A17:B17"/>
    <mergeCell ref="A11:B11"/>
    <mergeCell ref="A12:B12"/>
    <mergeCell ref="A16:B16"/>
    <mergeCell ref="A10:B10"/>
    <mergeCell ref="A13:B13"/>
    <mergeCell ref="A14:B14"/>
    <mergeCell ref="A15:B15"/>
    <mergeCell ref="A1:N1"/>
    <mergeCell ref="A2:N2"/>
    <mergeCell ref="A3:N3"/>
    <mergeCell ref="A7:B7"/>
    <mergeCell ref="A8:B8"/>
    <mergeCell ref="A29:B29"/>
    <mergeCell ref="A34:N34"/>
    <mergeCell ref="A4:B4"/>
    <mergeCell ref="A5:B5"/>
    <mergeCell ref="A6:B6"/>
    <mergeCell ref="A30:B30"/>
    <mergeCell ref="A19:B19"/>
    <mergeCell ref="A20:B20"/>
    <mergeCell ref="A21:B21"/>
    <mergeCell ref="A22:B22"/>
    <mergeCell ref="A23:B23"/>
    <mergeCell ref="A24:B24"/>
    <mergeCell ref="A25:B25"/>
    <mergeCell ref="A26:B26"/>
    <mergeCell ref="A18:B18"/>
    <mergeCell ref="A9:B9"/>
  </mergeCells>
  <dataValidations disablePrompts="1" count="1">
    <dataValidation type="whole" allowBlank="1" showInputMessage="1" showErrorMessage="1" error="Please enter a valid number" sqref="C5:N30" xr:uid="{00000000-0002-0000-0900-000000000000}">
      <formula1>0</formula1>
      <formula2>1000000000</formula2>
    </dataValidation>
  </dataValidations>
  <pageMargins left="0.75" right="0.75" top="1" bottom="1" header="0.5" footer="0.5"/>
  <pageSetup scale="48"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expression" priority="1" id="{574E2F7B-9644-4D41-B5A0-EB79C4D7AF10}">
            <xm:f>'Summary Schedule'!$C$4="Direct-Funded"</xm:f>
            <x14:dxf>
              <font>
                <color theme="0" tint="-0.24994659260841701"/>
              </font>
              <fill>
                <patternFill patternType="solid">
                  <fgColor theme="0" tint="-0.24994659260841701"/>
                  <bgColor theme="0" tint="-0.24994659260841701"/>
                </patternFill>
              </fill>
              <border>
                <left/>
                <right/>
                <top/>
                <bottom/>
                <vertical/>
                <horizontal/>
              </border>
            </x14:dxf>
          </x14:cfRule>
          <xm:sqref>A1:N41</xm:sqref>
        </x14:conditionalFormatting>
      </x14:conditionalFormatting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H22"/>
  <sheetViews>
    <sheetView workbookViewId="0">
      <selection activeCell="H16" sqref="H16"/>
    </sheetView>
  </sheetViews>
  <sheetFormatPr baseColWidth="10" defaultColWidth="11" defaultRowHeight="16"/>
  <cols>
    <col min="1" max="1" width="79.33203125" style="70" customWidth="1"/>
    <col min="2" max="3" width="33.33203125" bestFit="1" customWidth="1"/>
    <col min="7" max="8" width="34.1640625" bestFit="1" customWidth="1"/>
  </cols>
  <sheetData>
    <row r="1" spans="1:8">
      <c r="B1" s="86" t="s">
        <v>157</v>
      </c>
      <c r="D1" s="86" t="s">
        <v>252</v>
      </c>
      <c r="E1" s="86" t="s">
        <v>253</v>
      </c>
      <c r="G1" s="86" t="s">
        <v>330</v>
      </c>
    </row>
    <row r="2" spans="1:8" ht="16" customHeight="1">
      <c r="A2" s="72" t="s">
        <v>109</v>
      </c>
      <c r="B2" t="s">
        <v>131</v>
      </c>
      <c r="C2" t="s">
        <v>139</v>
      </c>
      <c r="D2" t="s">
        <v>257</v>
      </c>
      <c r="E2" s="135" t="s">
        <v>254</v>
      </c>
      <c r="G2" t="s">
        <v>310</v>
      </c>
      <c r="H2" t="s">
        <v>320</v>
      </c>
    </row>
    <row r="3" spans="1:8" ht="16" customHeight="1">
      <c r="A3" s="126" t="s">
        <v>220</v>
      </c>
      <c r="B3" t="s">
        <v>132</v>
      </c>
      <c r="C3" t="s">
        <v>140</v>
      </c>
      <c r="D3" t="s">
        <v>258</v>
      </c>
      <c r="E3" s="135" t="s">
        <v>46</v>
      </c>
      <c r="G3" t="s">
        <v>311</v>
      </c>
      <c r="H3" t="s">
        <v>321</v>
      </c>
    </row>
    <row r="4" spans="1:8">
      <c r="A4" s="126" t="s">
        <v>129</v>
      </c>
      <c r="B4" t="s">
        <v>133</v>
      </c>
      <c r="C4" t="s">
        <v>141</v>
      </c>
      <c r="D4" t="s">
        <v>259</v>
      </c>
      <c r="E4" s="135" t="s">
        <v>255</v>
      </c>
      <c r="G4" t="s">
        <v>312</v>
      </c>
      <c r="H4" t="s">
        <v>322</v>
      </c>
    </row>
    <row r="5" spans="1:8">
      <c r="A5" s="126" t="s">
        <v>116</v>
      </c>
      <c r="B5" t="s">
        <v>134</v>
      </c>
      <c r="C5" t="s">
        <v>142</v>
      </c>
      <c r="D5" t="s">
        <v>260</v>
      </c>
      <c r="E5" s="135" t="s">
        <v>256</v>
      </c>
      <c r="G5" t="s">
        <v>313</v>
      </c>
      <c r="H5" t="s">
        <v>323</v>
      </c>
    </row>
    <row r="6" spans="1:8">
      <c r="A6" s="126" t="s">
        <v>221</v>
      </c>
      <c r="B6" t="s">
        <v>135</v>
      </c>
      <c r="C6" t="s">
        <v>143</v>
      </c>
      <c r="D6" s="135" t="s">
        <v>254</v>
      </c>
      <c r="G6" t="s">
        <v>314</v>
      </c>
      <c r="H6" t="s">
        <v>324</v>
      </c>
    </row>
    <row r="7" spans="1:8">
      <c r="A7" s="126" t="s">
        <v>119</v>
      </c>
      <c r="B7" t="s">
        <v>136</v>
      </c>
      <c r="C7" t="s">
        <v>144</v>
      </c>
      <c r="D7" s="135" t="s">
        <v>46</v>
      </c>
      <c r="G7" t="s">
        <v>315</v>
      </c>
      <c r="H7" t="s">
        <v>325</v>
      </c>
    </row>
    <row r="8" spans="1:8">
      <c r="A8" s="126" t="s">
        <v>120</v>
      </c>
      <c r="B8" t="s">
        <v>137</v>
      </c>
      <c r="C8" t="s">
        <v>145</v>
      </c>
      <c r="D8" s="135" t="s">
        <v>255</v>
      </c>
      <c r="G8" t="s">
        <v>316</v>
      </c>
      <c r="H8" t="s">
        <v>326</v>
      </c>
    </row>
    <row r="9" spans="1:8" ht="15" customHeight="1">
      <c r="A9" s="126" t="s">
        <v>117</v>
      </c>
      <c r="B9" t="s">
        <v>138</v>
      </c>
      <c r="C9" t="s">
        <v>146</v>
      </c>
      <c r="D9" s="135" t="s">
        <v>256</v>
      </c>
      <c r="G9" t="s">
        <v>317</v>
      </c>
      <c r="H9" t="s">
        <v>327</v>
      </c>
    </row>
    <row r="10" spans="1:8">
      <c r="A10" s="126" t="s">
        <v>222</v>
      </c>
      <c r="B10" t="s">
        <v>147</v>
      </c>
      <c r="C10" t="s">
        <v>148</v>
      </c>
      <c r="G10" t="s">
        <v>318</v>
      </c>
      <c r="H10" t="s">
        <v>328</v>
      </c>
    </row>
    <row r="11" spans="1:8" ht="15" customHeight="1">
      <c r="A11" s="126" t="s">
        <v>123</v>
      </c>
      <c r="B11" t="s">
        <v>103</v>
      </c>
      <c r="C11" t="s">
        <v>104</v>
      </c>
      <c r="G11" t="s">
        <v>319</v>
      </c>
      <c r="H11" t="s">
        <v>329</v>
      </c>
    </row>
    <row r="12" spans="1:8">
      <c r="A12" s="126" t="s">
        <v>121</v>
      </c>
    </row>
    <row r="13" spans="1:8">
      <c r="A13" s="126" t="s">
        <v>127</v>
      </c>
    </row>
    <row r="14" spans="1:8">
      <c r="A14" s="126" t="s">
        <v>223</v>
      </c>
    </row>
    <row r="15" spans="1:8">
      <c r="A15" s="126" t="s">
        <v>128</v>
      </c>
    </row>
    <row r="16" spans="1:8">
      <c r="A16" s="126" t="s">
        <v>125</v>
      </c>
    </row>
    <row r="17" spans="1:1">
      <c r="A17" s="126" t="s">
        <v>224</v>
      </c>
    </row>
    <row r="18" spans="1:1">
      <c r="A18" s="126" t="s">
        <v>250</v>
      </c>
    </row>
    <row r="19" spans="1:1">
      <c r="A19" s="126" t="s">
        <v>118</v>
      </c>
    </row>
    <row r="20" spans="1:1">
      <c r="A20" s="126" t="s">
        <v>122</v>
      </c>
    </row>
    <row r="21" spans="1:1">
      <c r="A21" s="126" t="s">
        <v>124</v>
      </c>
    </row>
    <row r="22" spans="1:1">
      <c r="A22" s="126" t="s">
        <v>126</v>
      </c>
    </row>
  </sheetData>
  <sortState xmlns:xlrd2="http://schemas.microsoft.com/office/spreadsheetml/2017/richdata2" ref="A3:A19">
    <sortCondition ref="A3"/>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
  <sheetViews>
    <sheetView workbookViewId="0"/>
  </sheetViews>
  <sheetFormatPr baseColWidth="10" defaultColWidth="11" defaultRowHeight="16"/>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
  <sheetViews>
    <sheetView workbookViewId="0"/>
  </sheetViews>
  <sheetFormatPr baseColWidth="10" defaultColWidth="11" defaultRowHeight="16"/>
  <sheetData/>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
  <sheetViews>
    <sheetView workbookViewId="0">
      <selection activeCell="A4" sqref="A4:B4"/>
    </sheetView>
  </sheetViews>
  <sheetFormatPr baseColWidth="10" defaultColWidth="11" defaultRowHeight="16"/>
  <sheetData/>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
  <sheetViews>
    <sheetView workbookViewId="0">
      <selection activeCell="A4" sqref="A4:B4"/>
    </sheetView>
  </sheetViews>
  <sheetFormatPr baseColWidth="10" defaultColWidth="11" defaultRowHeight="16"/>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
  <sheetViews>
    <sheetView workbookViewId="0">
      <selection activeCell="A4" sqref="A4:B4"/>
    </sheetView>
  </sheetViews>
  <sheetFormatPr baseColWidth="10" defaultColWidth="11" defaultRowHeight="16"/>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V54"/>
  <sheetViews>
    <sheetView zoomScale="75" zoomScaleNormal="75" workbookViewId="0">
      <selection sqref="A1:G1"/>
    </sheetView>
  </sheetViews>
  <sheetFormatPr baseColWidth="10" defaultColWidth="11" defaultRowHeight="16"/>
  <cols>
    <col min="1" max="1" width="24.6640625" style="11" customWidth="1"/>
    <col min="2" max="2" width="34" style="11" customWidth="1"/>
    <col min="3" max="3" width="31.83203125" style="11" customWidth="1"/>
    <col min="4" max="5" width="21.83203125" style="11" customWidth="1"/>
    <col min="6" max="6" width="32.33203125" style="11" customWidth="1"/>
    <col min="7" max="7" width="39.33203125" style="11" customWidth="1"/>
    <col min="8" max="8" width="14.1640625" style="11" customWidth="1"/>
    <col min="9" max="10" width="11" style="11" customWidth="1"/>
    <col min="11" max="16384" width="11" style="11"/>
  </cols>
  <sheetData>
    <row r="1" spans="1:22" ht="21">
      <c r="A1" s="343" t="str">
        <f>"SUMMARY SCHEDULE"</f>
        <v>SUMMARY SCHEDULE</v>
      </c>
      <c r="B1" s="343"/>
      <c r="C1" s="343"/>
      <c r="D1" s="343"/>
      <c r="E1" s="343"/>
      <c r="F1" s="343"/>
      <c r="G1" s="343"/>
      <c r="H1" s="87"/>
      <c r="I1" s="88"/>
      <c r="J1" s="88"/>
    </row>
    <row r="2" spans="1:22" ht="22" thickBot="1">
      <c r="A2" s="343" t="s">
        <v>63</v>
      </c>
      <c r="B2" s="343"/>
      <c r="C2" s="343"/>
      <c r="D2" s="343"/>
      <c r="E2" s="343"/>
      <c r="F2" s="343"/>
      <c r="G2" s="343"/>
      <c r="H2" s="87"/>
      <c r="I2" s="88"/>
      <c r="J2" s="88"/>
    </row>
    <row r="3" spans="1:22" ht="19" thickBot="1">
      <c r="A3" s="198"/>
      <c r="B3" s="29"/>
      <c r="C3" s="29"/>
      <c r="D3" s="29"/>
      <c r="E3" s="29"/>
      <c r="F3" s="29"/>
      <c r="G3" s="29"/>
      <c r="H3" s="89"/>
      <c r="I3" s="88"/>
      <c r="J3" s="88"/>
    </row>
    <row r="4" spans="1:22" ht="31" thickBot="1">
      <c r="A4" s="307" t="s">
        <v>298</v>
      </c>
      <c r="B4" s="234" t="s">
        <v>165</v>
      </c>
      <c r="C4" s="302" t="s">
        <v>335</v>
      </c>
      <c r="D4" s="303"/>
      <c r="E4" s="303"/>
      <c r="F4" s="303"/>
      <c r="G4" s="33"/>
      <c r="H4" s="304"/>
      <c r="I4" s="82"/>
      <c r="J4" s="82"/>
    </row>
    <row r="5" spans="1:22" ht="19" thickBot="1">
      <c r="A5" s="34"/>
      <c r="B5" s="33"/>
      <c r="C5" s="33"/>
      <c r="D5" s="33"/>
      <c r="E5" s="33"/>
      <c r="F5" s="33"/>
      <c r="G5" s="33"/>
      <c r="H5" s="89"/>
      <c r="I5" s="88"/>
      <c r="J5" s="88"/>
    </row>
    <row r="6" spans="1:22" ht="19" thickBot="1">
      <c r="A6" s="342" t="s">
        <v>80</v>
      </c>
      <c r="B6" s="223" t="s">
        <v>173</v>
      </c>
      <c r="C6" s="31" t="s">
        <v>174</v>
      </c>
      <c r="D6" s="31" t="s">
        <v>175</v>
      </c>
      <c r="E6" s="31" t="s">
        <v>176</v>
      </c>
      <c r="F6" s="31" t="s">
        <v>177</v>
      </c>
      <c r="G6" s="199" t="s">
        <v>178</v>
      </c>
      <c r="H6" s="30"/>
      <c r="I6" s="30"/>
    </row>
    <row r="7" spans="1:22" ht="42.75" customHeight="1" thickBot="1">
      <c r="A7" s="356"/>
      <c r="B7" s="224" t="str">
        <f>IF(C4="Direct-Funded","Project Champion", "Project Facilitator")</f>
        <v>Project Facilitator</v>
      </c>
      <c r="C7" s="118"/>
      <c r="D7" s="127"/>
      <c r="E7" s="108"/>
      <c r="F7" s="109"/>
      <c r="G7" s="200"/>
      <c r="H7" s="30"/>
      <c r="I7" s="30"/>
    </row>
    <row r="8" spans="1:22" ht="42.75" customHeight="1" thickBot="1">
      <c r="A8" s="356"/>
      <c r="B8" s="225" t="s">
        <v>156</v>
      </c>
      <c r="C8" s="80"/>
      <c r="D8" s="80"/>
      <c r="E8" s="80"/>
      <c r="F8" s="79"/>
      <c r="G8" s="201"/>
      <c r="H8" s="30"/>
      <c r="I8" s="30"/>
    </row>
    <row r="9" spans="1:22" ht="41.25" customHeight="1" thickBot="1">
      <c r="A9" s="356"/>
      <c r="B9" s="226" t="str">
        <f>IF(C4="UESC","Utility (Project Builder)",IF(C4="Direct-Funded","Contractor","ESCO (Project Builder)"))</f>
        <v>ESCO (Project Builder)</v>
      </c>
      <c r="C9" s="113"/>
      <c r="D9" s="113"/>
      <c r="E9" s="113"/>
      <c r="F9" s="110"/>
      <c r="G9" s="202"/>
      <c r="H9" s="30"/>
      <c r="I9" s="30"/>
    </row>
    <row r="10" spans="1:22" ht="45" customHeight="1" thickBot="1">
      <c r="A10" s="356"/>
      <c r="B10" s="226" t="str">
        <f>IF(C4="UESC", "Primary FEMP Contact", IF(C4="Direct-Funded","","Finance Specialist"))</f>
        <v>Finance Specialist</v>
      </c>
      <c r="C10" s="110"/>
      <c r="D10" s="113"/>
      <c r="E10" s="113"/>
      <c r="F10" s="109"/>
      <c r="G10" s="202"/>
      <c r="H10" s="30"/>
    </row>
    <row r="11" spans="1:22" ht="40.5" customHeight="1" thickBot="1">
      <c r="A11" s="356"/>
      <c r="B11" s="226" t="str">
        <f>IF(C4="Direct-Funded","", "Primary Financier")</f>
        <v>Primary Financier</v>
      </c>
      <c r="C11" s="110"/>
      <c r="D11" s="113"/>
      <c r="E11" s="113"/>
      <c r="F11" s="109"/>
      <c r="G11" s="203"/>
      <c r="H11" s="30"/>
      <c r="V11" s="11" t="s">
        <v>307</v>
      </c>
    </row>
    <row r="12" spans="1:22" ht="19" thickBot="1">
      <c r="A12" s="34"/>
      <c r="B12" s="33"/>
      <c r="C12" s="33"/>
      <c r="D12" s="33"/>
      <c r="E12" s="33"/>
      <c r="F12" s="33"/>
      <c r="G12" s="33"/>
      <c r="H12" s="30"/>
    </row>
    <row r="13" spans="1:22" ht="18" customHeight="1" thickBot="1">
      <c r="A13" s="342" t="s">
        <v>82</v>
      </c>
      <c r="B13" s="348" t="s">
        <v>179</v>
      </c>
      <c r="C13" s="349"/>
      <c r="D13" s="34"/>
      <c r="E13" s="34"/>
      <c r="F13" s="344" t="s">
        <v>180</v>
      </c>
      <c r="G13" s="345"/>
    </row>
    <row r="14" spans="1:22" ht="31" thickBot="1">
      <c r="A14" s="356"/>
      <c r="B14" s="224" t="s">
        <v>153</v>
      </c>
      <c r="C14" s="296"/>
      <c r="D14" s="34"/>
      <c r="E14" s="34"/>
      <c r="F14" s="35" t="s">
        <v>167</v>
      </c>
      <c r="G14" s="204"/>
    </row>
    <row r="15" spans="1:22" ht="17" thickBot="1">
      <c r="A15" s="356"/>
      <c r="B15" s="224" t="s">
        <v>102</v>
      </c>
      <c r="C15" s="112"/>
      <c r="D15" s="34"/>
      <c r="E15" s="34"/>
      <c r="F15" s="36" t="s">
        <v>168</v>
      </c>
      <c r="G15" s="205"/>
    </row>
    <row r="16" spans="1:22" ht="46" thickBot="1">
      <c r="A16" s="356"/>
      <c r="B16" s="226" t="s">
        <v>161</v>
      </c>
      <c r="C16" s="77"/>
      <c r="D16" s="34"/>
      <c r="E16" s="34"/>
      <c r="F16" s="36" t="s">
        <v>296</v>
      </c>
      <c r="G16" s="206"/>
    </row>
    <row r="17" spans="1:9" ht="17" thickBot="1">
      <c r="A17" s="356"/>
      <c r="B17" s="227" t="s">
        <v>162</v>
      </c>
      <c r="C17" s="78"/>
      <c r="D17" s="34"/>
      <c r="E17" s="34"/>
      <c r="F17" s="36" t="s">
        <v>166</v>
      </c>
      <c r="G17" s="207"/>
      <c r="I17" s="57"/>
    </row>
    <row r="18" spans="1:9" ht="31" thickBot="1">
      <c r="A18" s="356"/>
      <c r="B18" s="227" t="s">
        <v>163</v>
      </c>
      <c r="C18" s="78"/>
      <c r="D18" s="34"/>
      <c r="E18" s="34"/>
      <c r="F18" s="38" t="s">
        <v>293</v>
      </c>
      <c r="G18" s="208"/>
      <c r="I18" s="57"/>
    </row>
    <row r="19" spans="1:9" ht="47" customHeight="1" thickBot="1">
      <c r="A19" s="356"/>
      <c r="B19" s="225" t="s">
        <v>164</v>
      </c>
      <c r="C19" s="139"/>
      <c r="D19" s="34"/>
      <c r="E19" s="34"/>
      <c r="F19" s="35" t="s">
        <v>100</v>
      </c>
      <c r="G19" s="209"/>
      <c r="I19" s="57"/>
    </row>
    <row r="20" spans="1:9" ht="17" thickBot="1">
      <c r="A20" s="356"/>
      <c r="B20" s="228" t="s">
        <v>286</v>
      </c>
      <c r="C20" s="111"/>
      <c r="D20" s="34"/>
      <c r="E20" s="34"/>
      <c r="F20" s="178" t="s">
        <v>288</v>
      </c>
      <c r="G20" s="210"/>
      <c r="I20" s="57"/>
    </row>
    <row r="21" spans="1:9" ht="17" thickBot="1">
      <c r="A21" s="357"/>
      <c r="B21" s="229" t="s">
        <v>152</v>
      </c>
      <c r="C21" s="111"/>
      <c r="D21" s="34"/>
      <c r="E21" s="34"/>
      <c r="F21" s="34"/>
      <c r="G21" s="34"/>
      <c r="I21" s="57"/>
    </row>
    <row r="22" spans="1:9" ht="17" thickBot="1">
      <c r="A22" s="357"/>
      <c r="B22" s="229" t="s">
        <v>170</v>
      </c>
      <c r="C22" s="111"/>
      <c r="D22" s="52"/>
      <c r="E22" s="34"/>
      <c r="F22" s="34"/>
      <c r="G22" s="34"/>
      <c r="I22" s="57"/>
    </row>
    <row r="23" spans="1:9">
      <c r="A23" s="358"/>
      <c r="B23" s="34"/>
      <c r="C23" s="34"/>
      <c r="D23" s="34"/>
      <c r="E23" s="34"/>
      <c r="F23" s="34"/>
      <c r="G23" s="34"/>
      <c r="I23" s="57"/>
    </row>
    <row r="24" spans="1:9" ht="17" thickBot="1">
      <c r="A24" s="358"/>
      <c r="B24" s="39"/>
      <c r="C24" s="40"/>
      <c r="D24" s="34"/>
      <c r="E24" s="34"/>
      <c r="F24" s="34"/>
      <c r="G24" s="34"/>
      <c r="I24" s="57"/>
    </row>
    <row r="25" spans="1:9" ht="17" thickBot="1">
      <c r="A25" s="342" t="str">
        <f>IF(C4="Direct-Funded","Award Date", "Costs &amp; Financials")</f>
        <v>Costs &amp; Financials</v>
      </c>
      <c r="B25" s="350" t="str">
        <f>IF(C4="Direct-Funded","", "Financing Terms")</f>
        <v>Financing Terms</v>
      </c>
      <c r="C25" s="351"/>
      <c r="D25" s="32"/>
      <c r="E25" s="34"/>
      <c r="F25" s="346" t="str">
        <f>IF(C4="Direct-Funded","", "Project Capitalization")</f>
        <v>Project Capitalization</v>
      </c>
      <c r="G25" s="347"/>
      <c r="I25" s="57"/>
    </row>
    <row r="26" spans="1:9" ht="31" thickBot="1">
      <c r="A26" s="359"/>
      <c r="B26" s="230" t="str">
        <f>IF(C4="UESC", "Applicable Financial Index ", IF(C4="Direct-Funded","","Applicable Financial Index"))</f>
        <v>Applicable Financial Index</v>
      </c>
      <c r="C26" s="112"/>
      <c r="D26" s="34"/>
      <c r="E26" s="34"/>
      <c r="F26" s="179" t="str">
        <f>IF(C4="Direct-Funded","","Total Implementation Price (from Schedule-2a Total)")</f>
        <v>Total Implementation Price (from Schedule-2a Total)</v>
      </c>
      <c r="G26" s="211">
        <f>IF(C4="Direct-Funded", "",'Sch2a-Imp Price by ECM'!K259)</f>
        <v>0</v>
      </c>
      <c r="I26" s="57"/>
    </row>
    <row r="27" spans="1:9" ht="46" thickBot="1">
      <c r="A27" s="359"/>
      <c r="B27" s="231" t="str">
        <f>IF(C4="UESC", "Performance Period (years) ", IF(C4="Direct-Funded","","Performance Period (years) "))</f>
        <v xml:space="preserve">Performance Period (years) </v>
      </c>
      <c r="C27" s="187"/>
      <c r="D27" s="34"/>
      <c r="E27" s="34"/>
      <c r="F27" s="180" t="str">
        <f>IF(C4="Direct-Funded","","PLUS Financing Procurement Price-capitalized construction period interest ($)")</f>
        <v>PLUS Financing Procurement Price-capitalized construction period interest ($)</v>
      </c>
      <c r="G27" s="212"/>
      <c r="I27" s="57"/>
    </row>
    <row r="28" spans="1:9" ht="31" thickBot="1">
      <c r="A28" s="359"/>
      <c r="B28" s="232" t="str">
        <f>IF(C4="UESC", "Index Rate*", IF(C4="Direct-Funded","","Index Rate"))</f>
        <v>Index Rate</v>
      </c>
      <c r="C28" s="188"/>
      <c r="D28" s="34"/>
      <c r="E28" s="34"/>
      <c r="F28" s="180" t="str">
        <f>IF(C4="Direct-Funded","","PLUS Financing Procurement Price-other expenses ($)")</f>
        <v>PLUS Financing Procurement Price-other expenses ($)</v>
      </c>
      <c r="G28" s="212"/>
      <c r="I28" s="57"/>
    </row>
    <row r="29" spans="1:9" ht="31" thickBot="1">
      <c r="A29" s="359"/>
      <c r="B29" s="232" t="str">
        <f>IF(C4="UESC", "Added Premium (adjusted for tax incentives)*", IF(C4="Direct-Funded","","Added Premium (adjusted for tax incentives)"))</f>
        <v>Added Premium (adjusted for tax incentives)</v>
      </c>
      <c r="C29" s="189"/>
      <c r="D29" s="34"/>
      <c r="E29" s="34"/>
      <c r="F29" s="181" t="str">
        <f>IF(C4="Direct-Funded","","LESS Implementation Period Payments (from Schedule-1, (c))")</f>
        <v>LESS Implementation Period Payments (from Schedule-1, (c))</v>
      </c>
      <c r="G29" s="213">
        <f xml:space="preserve"> IF(C4="Direct-Funded","",IF(C4="UESC",
   IF('Sch1u-Ann Cost Sav &amp; Pymts-UESC'!C6=0,0,'Sch1u-Ann Cost Sav &amp; Pymts-UESC'!C6),
 IF('Sch1-Ann Cost Sav &amp; Pymts'!D6=0,0,'Sch1-Ann Cost Sav &amp; Pymts'!D6)))</f>
        <v>0</v>
      </c>
      <c r="I29" s="57"/>
    </row>
    <row r="30" spans="1:9" ht="31" thickBot="1">
      <c r="A30" s="359"/>
      <c r="B30" s="233" t="str">
        <f>IF(C4="UESC", "Project Interest Rate (sum of two above inputs)", IF(C4="Direct-Funded","","Project Interest Rate (sum of two above inputs)"))</f>
        <v>Project Interest Rate (sum of two above inputs)</v>
      </c>
      <c r="C30" s="183">
        <f>IF(C4="Direct-Funded","", SUM(C28:C29))</f>
        <v>0</v>
      </c>
      <c r="D30" s="34"/>
      <c r="E30" s="34"/>
      <c r="F30" s="185" t="str">
        <f>IF(C4="Direct-Funded","","Total Amount Financed (principal)")</f>
        <v>Total Amount Financed (principal)</v>
      </c>
      <c r="G30" s="214">
        <f>IF(C4="Direct-Funded", "", G26+G27+G28-G29)</f>
        <v>0</v>
      </c>
      <c r="I30" s="57"/>
    </row>
    <row r="31" spans="1:9" ht="17" thickBot="1">
      <c r="A31" s="359"/>
      <c r="B31" s="230" t="str">
        <f>IF(C4="UESC", "Financing Issue Date (mm/dd/yyyy)", IF(C4="Direct-Funded","","Financing Issue Date (mm/dd/yyyy)"))</f>
        <v>Financing Issue Date (mm/dd/yyyy)</v>
      </c>
      <c r="C31" s="190"/>
      <c r="D31" s="34"/>
      <c r="E31" s="34"/>
      <c r="F31" s="185" t="str">
        <f>IF(C4="Direct-Funded","","Bonded Amount")</f>
        <v>Bonded Amount</v>
      </c>
      <c r="G31" s="214"/>
    </row>
    <row r="32" spans="1:9" ht="32" customHeight="1" thickBot="1">
      <c r="A32" s="359"/>
      <c r="B32" s="234" t="s">
        <v>172</v>
      </c>
      <c r="C32" s="191"/>
      <c r="D32" s="34"/>
      <c r="E32" s="34"/>
      <c r="F32" s="185" t="str">
        <f>IF(C4="Direct-Funded","","Start date of Performance Period (mm/dd/yyyy) ")</f>
        <v xml:space="preserve">Start date of Performance Period (mm/dd/yyyy) </v>
      </c>
      <c r="G32" s="215"/>
    </row>
    <row r="33" spans="1:8" ht="17" thickBot="1">
      <c r="A33" s="359"/>
      <c r="B33" s="235" t="str">
        <f>IF(C4="Direct-Funded","","Effective Through (mm/dd/yyyy)")</f>
        <v>Effective Through (mm/dd/yyyy)</v>
      </c>
      <c r="C33" s="190"/>
      <c r="D33" s="34"/>
      <c r="E33" s="34"/>
      <c r="F33" s="360"/>
      <c r="G33" s="361"/>
    </row>
    <row r="34" spans="1:8" ht="39" customHeight="1" thickBot="1">
      <c r="A34" s="359"/>
      <c r="B34" s="235" t="str">
        <f>IF(C4="Direct-Funded","","Primary Type of Financing (choose from list) ")</f>
        <v xml:space="preserve">Primary Type of Financing (choose from list) </v>
      </c>
      <c r="C34" s="192"/>
      <c r="D34" s="34"/>
      <c r="E34" s="34"/>
      <c r="F34" s="354" t="s">
        <v>181</v>
      </c>
      <c r="G34" s="355"/>
    </row>
    <row r="35" spans="1:8" ht="31" thickBot="1">
      <c r="A35" s="359"/>
      <c r="B35" s="235" t="str">
        <f>IF(C4="Direct-Funded","","Secondary Type of Financing (choose from list)")</f>
        <v>Secondary Type of Financing (choose from list)</v>
      </c>
      <c r="C35" s="192"/>
      <c r="D35" s="34"/>
      <c r="E35" s="34"/>
      <c r="F35" s="84" t="s">
        <v>150</v>
      </c>
      <c r="G35" s="217" t="str">
        <f>IF('Sch4-Cost Savings by ECM'!X258=0,"",'Sch4-Cost Savings by ECM'!X258)</f>
        <v/>
      </c>
    </row>
    <row r="36" spans="1:8" ht="31" thickBot="1">
      <c r="A36" s="359"/>
      <c r="B36" s="234" t="str">
        <f>IF(C4="Direct-Funded","","Payment Timing")</f>
        <v>Payment Timing</v>
      </c>
      <c r="C36" s="113"/>
      <c r="D36" s="113"/>
      <c r="E36" s="34"/>
      <c r="F36" s="84" t="s">
        <v>151</v>
      </c>
      <c r="G36" s="217" t="str">
        <f>IF('Sch4-Cost Savings by ECM'!Z258=0,"",'Sch4-Cost Savings by ECM'!Z258)</f>
        <v/>
      </c>
      <c r="H36" s="53"/>
    </row>
    <row r="37" spans="1:8" ht="17" thickBot="1">
      <c r="A37" s="34"/>
      <c r="B37" s="34"/>
      <c r="C37" s="34"/>
      <c r="D37" s="34"/>
      <c r="E37" s="34"/>
      <c r="F37" s="84" t="s">
        <v>149</v>
      </c>
      <c r="G37" s="218" t="str">
        <f>IF(C4="UESC",
IF('Sch1u-Ann Cost Sav &amp; Pymts-UESC'!B34+'Sch1u-Ann Cost Sav &amp; Pymts-UESC'!B6=0,"",'Sch1u-Ann Cost Sav &amp; Pymts-UESC'!B34+'Sch1u-Ann Cost Sav &amp; Pymts-UESC'!B6),
IF('Sch1-Ann Cost Sav &amp; Pymts'!B34+'Sch1-Ann Cost Sav &amp; Pymts'!B6=0,"",'Sch1-Ann Cost Sav &amp; Pymts'!B34+'Sch1-Ann Cost Sav &amp; Pymts'!B6))</f>
        <v/>
      </c>
    </row>
    <row r="38" spans="1:8" ht="17" thickBot="1">
      <c r="A38" s="342" t="s">
        <v>81</v>
      </c>
      <c r="B38" s="236" t="str">
        <f>IF('Summary Schedule'!C4="UESC","% Savings Devoted to Payments",IF('Summary Schedule'!C4="Direct-Funded","","Guarantee % of Estimated Savings"))</f>
        <v>Guarantee % of Estimated Savings</v>
      </c>
      <c r="C38" s="114"/>
      <c r="D38" s="34"/>
      <c r="E38" s="34"/>
      <c r="F38" s="84" t="str">
        <f>IF(C4="Direct-Funded","","Total Guaranteed Cost Savings")</f>
        <v>Total Guaranteed Cost Savings</v>
      </c>
      <c r="G38" s="218" t="str">
        <f>IF(C4="UESC",0,
IF('Sch1-Ann Cost Sav &amp; Pymts'!C37=0,"",'Sch1-Ann Cost Sav &amp; Pymts'!C37))</f>
        <v/>
      </c>
    </row>
    <row r="39" spans="1:8" ht="17" thickBot="1">
      <c r="A39" s="342"/>
      <c r="B39" s="225" t="s">
        <v>105</v>
      </c>
      <c r="C39" s="69"/>
      <c r="D39" s="34"/>
      <c r="E39" s="34"/>
      <c r="F39" s="37" t="str">
        <f>IF(C4="Direct-Funded","","Total Payments")</f>
        <v>Total Payments</v>
      </c>
      <c r="G39" s="219" t="str">
        <f>IF(C4="UESC",
IF('Sch1u-Ann Cost Sav &amp; Pymts-UESC'!C37=0,"",'Sch1u-Ann Cost Sav &amp; Pymts-UESC'!C37),
IF('Sch1-Ann Cost Sav &amp; Pymts'!D37=0,"",'Sch1-Ann Cost Sav &amp; Pymts'!D37))</f>
        <v/>
      </c>
    </row>
    <row r="40" spans="1:8" ht="17" thickBot="1">
      <c r="A40" s="342"/>
      <c r="B40" s="61" t="s">
        <v>97</v>
      </c>
      <c r="C40" s="144"/>
      <c r="D40" s="34"/>
      <c r="E40" s="34"/>
      <c r="F40" s="34"/>
      <c r="G40" s="34"/>
    </row>
    <row r="41" spans="1:8" ht="30" customHeight="1" thickBot="1">
      <c r="A41" s="342"/>
      <c r="B41" s="61" t="s">
        <v>98</v>
      </c>
      <c r="C41" s="144"/>
      <c r="D41" s="34"/>
      <c r="E41" s="34"/>
      <c r="F41" s="352" t="s">
        <v>171</v>
      </c>
      <c r="G41" s="353"/>
    </row>
    <row r="42" spans="1:8" ht="37" customHeight="1" thickBot="1">
      <c r="A42" s="342"/>
      <c r="B42" s="61" t="s">
        <v>99</v>
      </c>
      <c r="C42" s="145"/>
      <c r="D42" s="34"/>
      <c r="E42" s="34"/>
      <c r="F42" s="132"/>
      <c r="G42" s="220"/>
    </row>
    <row r="43" spans="1:8" ht="17" thickBot="1">
      <c r="A43" s="34"/>
      <c r="B43" s="34"/>
      <c r="C43" s="34"/>
      <c r="D43" s="34"/>
      <c r="E43" s="34"/>
      <c r="F43" s="133"/>
      <c r="G43" s="221"/>
    </row>
    <row r="44" spans="1:8" ht="17" customHeight="1" thickBot="1">
      <c r="A44" s="34"/>
      <c r="B44" s="41"/>
      <c r="C44" s="42"/>
      <c r="D44" s="34"/>
      <c r="E44" s="34"/>
      <c r="F44" s="34"/>
      <c r="G44" s="34"/>
    </row>
    <row r="45" spans="1:8" ht="16" customHeight="1">
      <c r="A45" s="332" t="str">
        <f>IF(C4="Direct-Funded", "", "IMPORTANT INFORMATION:")</f>
        <v>IMPORTANT INFORMATION:</v>
      </c>
      <c r="B45" s="333"/>
      <c r="C45" s="333"/>
      <c r="D45" s="333"/>
      <c r="E45" s="333"/>
      <c r="F45" s="333"/>
      <c r="G45" s="333"/>
    </row>
    <row r="46" spans="1:8" ht="16" customHeight="1">
      <c r="A46" s="336" t="str">
        <f>IF(C4="Direct-Funded", "","(1) These schedules should not be altered or changed in any way except to add notes (see below).  Please consult ePB documentation for assistance with completing these schedules, terminology, etc.")</f>
        <v>(1) These schedules should not be altered or changed in any way except to add notes (see below).  Please consult ePB documentation for assistance with completing these schedules, terminology, etc.</v>
      </c>
      <c r="B46" s="337"/>
      <c r="C46" s="337"/>
      <c r="D46" s="337"/>
      <c r="E46" s="337"/>
      <c r="F46" s="337"/>
      <c r="G46" s="337"/>
    </row>
    <row r="47" spans="1:8">
      <c r="A47" s="336" t="str">
        <f>IF(C4="Direct-Funded", "","(2) If selected, the contractor shall complete the installation of all proposed ECMs no later than the implementation period identified in the contract.")</f>
        <v>(2) If selected, the contractor shall complete the installation of all proposed ECMs no later than the implementation period identified in the contract.</v>
      </c>
      <c r="B47" s="337"/>
      <c r="C47" s="337"/>
      <c r="D47" s="337"/>
      <c r="E47" s="337"/>
      <c r="F47" s="337"/>
      <c r="G47" s="337"/>
    </row>
    <row r="48" spans="1:8">
      <c r="A48" s="340" t="str">
        <f>IF(C4="Direct-Funded", "", "(3) If applicable, the contractor shall propose Bonded Amount representing the basis of establishing performance and payment bonds.")</f>
        <v>(3) If applicable, the contractor shall propose Bonded Amount representing the basis of establishing performance and payment bonds.</v>
      </c>
      <c r="B48" s="341"/>
      <c r="C48" s="341"/>
      <c r="D48" s="341"/>
      <c r="E48" s="341"/>
      <c r="F48" s="341"/>
      <c r="G48" s="341"/>
    </row>
    <row r="49" spans="1:7" ht="29" customHeight="1">
      <c r="A49" s="338" t="str">
        <f>IF(C4="Direct-Funded","",CONCATENATE("(4) Prior to award, the stated interest rate is considered preliminary and subject to change. "," The final interest rate will be based on market conditions at the time of award.","The rate will be locked at time of award and will be fixed through the performance period."))</f>
        <v>(4) Prior to award, the stated interest rate is considered preliminary and subject to change.  The final interest rate will be based on market conditions at the time of award.The rate will be locked at time of award and will be fixed through the performance period.</v>
      </c>
      <c r="B49" s="339"/>
      <c r="C49" s="339"/>
      <c r="D49" s="339"/>
      <c r="E49" s="339"/>
      <c r="F49" s="339"/>
      <c r="G49" s="339"/>
    </row>
    <row r="50" spans="1:7" ht="16" customHeight="1" thickBot="1">
      <c r="A50" s="334" t="str">
        <f>IF(OR((C4="UESC"),(C4="Direct-Funded")),"","(5) Guaranteed % of Estimated Savings""is share of project estimated savings that ESCO is guaranteeing.")</f>
        <v>(5) Guaranteed % of Estimated Savings"is share of project estimated savings that ESCO is guaranteeing.</v>
      </c>
      <c r="B50" s="335"/>
      <c r="C50" s="335"/>
      <c r="D50" s="335"/>
      <c r="E50" s="335"/>
      <c r="F50" s="335"/>
      <c r="G50" s="335"/>
    </row>
    <row r="51" spans="1:7" ht="31" customHeight="1">
      <c r="A51" s="330" t="s">
        <v>130</v>
      </c>
      <c r="B51" s="331"/>
      <c r="C51" s="331"/>
      <c r="D51" s="331"/>
      <c r="E51" s="331"/>
      <c r="F51" s="331"/>
      <c r="G51" s="331"/>
    </row>
    <row r="52" spans="1:7" ht="82" customHeight="1">
      <c r="A52" s="222"/>
      <c r="B52" s="222"/>
      <c r="C52" s="222"/>
      <c r="D52" s="222"/>
      <c r="E52" s="222"/>
      <c r="F52" s="222"/>
      <c r="G52" s="222"/>
    </row>
    <row r="53" spans="1:7">
      <c r="A53" s="169" t="s">
        <v>336</v>
      </c>
    </row>
    <row r="54" spans="1:7">
      <c r="A54" s="20" t="s">
        <v>337</v>
      </c>
    </row>
  </sheetData>
  <sheetProtection algorithmName="SHA-512" hashValue="l3/ZOjq8FAPZgkpcy+F1QrNyer8/1XXkTrEmjYEk68GIRXdu3vL8gvPBwzAf6Ju0k7wTDB7ksUFgf4GgtfIdUw==" saltValue="wfUE7HcNVLoNS4lUEIz5eA==" spinCount="100000" sheet="1" objects="1" scenarios="1"/>
  <mergeCells count="21">
    <mergeCell ref="A38:A42"/>
    <mergeCell ref="A1:G1"/>
    <mergeCell ref="A2:G2"/>
    <mergeCell ref="F13:G13"/>
    <mergeCell ref="F25:G25"/>
    <mergeCell ref="B13:C13"/>
    <mergeCell ref="B25:C25"/>
    <mergeCell ref="F41:G41"/>
    <mergeCell ref="F34:G34"/>
    <mergeCell ref="A13:A22"/>
    <mergeCell ref="A23:A24"/>
    <mergeCell ref="A6:A11"/>
    <mergeCell ref="A25:A36"/>
    <mergeCell ref="F33:G33"/>
    <mergeCell ref="A51:G51"/>
    <mergeCell ref="A45:G45"/>
    <mergeCell ref="A50:G50"/>
    <mergeCell ref="A47:G47"/>
    <mergeCell ref="A49:G49"/>
    <mergeCell ref="A46:G46"/>
    <mergeCell ref="A48:G48"/>
  </mergeCells>
  <phoneticPr fontId="5" type="noConversion"/>
  <conditionalFormatting sqref="B10:G10">
    <cfRule type="expression" dxfId="43" priority="31">
      <formula>$C4="Direct-Funded"</formula>
    </cfRule>
  </conditionalFormatting>
  <conditionalFormatting sqref="B11:G11">
    <cfRule type="expression" dxfId="42" priority="30">
      <formula>$C4="Direct-Funded"</formula>
    </cfRule>
  </conditionalFormatting>
  <conditionalFormatting sqref="B26:C26">
    <cfRule type="expression" dxfId="41" priority="29">
      <formula>$C4="Direct-Funded"</formula>
    </cfRule>
  </conditionalFormatting>
  <conditionalFormatting sqref="B27:C27">
    <cfRule type="expression" dxfId="40" priority="28">
      <formula>$C4="Direct-Funded"</formula>
    </cfRule>
  </conditionalFormatting>
  <conditionalFormatting sqref="B28:C28">
    <cfRule type="expression" dxfId="39" priority="27">
      <formula>$C4="Direct-Funded"</formula>
    </cfRule>
  </conditionalFormatting>
  <conditionalFormatting sqref="B29:C29">
    <cfRule type="expression" dxfId="38" priority="26">
      <formula>$C4="Direct-Funded"</formula>
    </cfRule>
  </conditionalFormatting>
  <conditionalFormatting sqref="B30:C30">
    <cfRule type="expression" dxfId="37" priority="25">
      <formula>$C4="Direct-Funded"</formula>
    </cfRule>
  </conditionalFormatting>
  <conditionalFormatting sqref="B31:C31">
    <cfRule type="expression" dxfId="36" priority="24">
      <formula>$C4="Direct-Funded"</formula>
    </cfRule>
  </conditionalFormatting>
  <conditionalFormatting sqref="B33:C33">
    <cfRule type="expression" dxfId="35" priority="23">
      <formula>$C4="Direct-Funded"</formula>
    </cfRule>
  </conditionalFormatting>
  <conditionalFormatting sqref="B34:C34">
    <cfRule type="expression" dxfId="34" priority="22">
      <formula>$C4="Direct-Funded"</formula>
    </cfRule>
  </conditionalFormatting>
  <conditionalFormatting sqref="B35:C35">
    <cfRule type="expression" dxfId="33" priority="21">
      <formula>$C4="Direct-Funded"</formula>
    </cfRule>
  </conditionalFormatting>
  <conditionalFormatting sqref="B36:D36">
    <cfRule type="expression" dxfId="32" priority="20">
      <formula>$C4="Direct-Funded"</formula>
    </cfRule>
  </conditionalFormatting>
  <conditionalFormatting sqref="B38:C38">
    <cfRule type="expression" dxfId="31" priority="19">
      <formula>$C4="Direct-Funded"</formula>
    </cfRule>
  </conditionalFormatting>
  <conditionalFormatting sqref="F26:G26">
    <cfRule type="expression" dxfId="30" priority="16">
      <formula>$C$4="Direct-Funded"</formula>
    </cfRule>
  </conditionalFormatting>
  <conditionalFormatting sqref="F27:G27">
    <cfRule type="expression" dxfId="29" priority="15">
      <formula>$C4="Direct-Funded"</formula>
    </cfRule>
  </conditionalFormatting>
  <conditionalFormatting sqref="F28:G28">
    <cfRule type="expression" dxfId="28" priority="14">
      <formula>$C4="Direct-Funded"</formula>
    </cfRule>
  </conditionalFormatting>
  <conditionalFormatting sqref="F29:G29">
    <cfRule type="expression" dxfId="27" priority="13">
      <formula>$C4="Direct-Funded"</formula>
    </cfRule>
  </conditionalFormatting>
  <conditionalFormatting sqref="F30:G30">
    <cfRule type="expression" dxfId="26" priority="12">
      <formula>$C4="Direct-Funded"</formula>
    </cfRule>
  </conditionalFormatting>
  <conditionalFormatting sqref="F31:G31">
    <cfRule type="expression" dxfId="25" priority="11">
      <formula>$C4="Direct-Funded"</formula>
    </cfRule>
  </conditionalFormatting>
  <conditionalFormatting sqref="F32:G32">
    <cfRule type="expression" dxfId="24" priority="10">
      <formula>$C4="Direct-Funded"</formula>
    </cfRule>
  </conditionalFormatting>
  <conditionalFormatting sqref="F38:G38">
    <cfRule type="expression" dxfId="23" priority="9">
      <formula>$C4="Direct-Funded"</formula>
    </cfRule>
  </conditionalFormatting>
  <conditionalFormatting sqref="F39:G39">
    <cfRule type="expression" dxfId="22" priority="8">
      <formula>$C4="Direct-Funded"</formula>
    </cfRule>
  </conditionalFormatting>
  <conditionalFormatting sqref="F25:G25">
    <cfRule type="expression" dxfId="21" priority="7">
      <formula>$C4="Direct-Funded"</formula>
    </cfRule>
  </conditionalFormatting>
  <conditionalFormatting sqref="B25:C25">
    <cfRule type="expression" dxfId="20" priority="5">
      <formula>$C4="Direct-Funded"</formula>
    </cfRule>
  </conditionalFormatting>
  <conditionalFormatting sqref="C4">
    <cfRule type="containsText" dxfId="19" priority="1" operator="containsText" text="UESC">
      <formula>NOT(ISERROR(SEARCH("UESC",C4)))</formula>
    </cfRule>
    <cfRule type="containsText" dxfId="18" priority="2" operator="containsText" text="ESA">
      <formula>NOT(ISERROR(SEARCH("ESA",C4)))</formula>
    </cfRule>
    <cfRule type="containsText" dxfId="17" priority="3" operator="containsText" text="Direct-Funded">
      <formula>NOT(ISERROR(SEARCH("Direct-Funded",C4)))</formula>
    </cfRule>
    <cfRule type="containsText" dxfId="16" priority="36" operator="containsText" text="UESC">
      <formula>NOT(ISERROR(SEARCH("UESC",C4)))</formula>
    </cfRule>
    <cfRule type="containsText" dxfId="15" priority="37" operator="containsText" text="ESA">
      <formula>NOT(ISERROR(SEARCH("ESA",C4)))</formula>
    </cfRule>
    <cfRule type="containsText" dxfId="14" priority="38" operator="containsText" text="Direct-Funded">
      <formula>NOT(ISERROR(SEARCH("Direct-Funded",C4)))</formula>
    </cfRule>
  </conditionalFormatting>
  <dataValidations xWindow="529" yWindow="563" count="18">
    <dataValidation type="whole" allowBlank="1" showInputMessage="1" showErrorMessage="1" sqref="G15" xr:uid="{00000000-0002-0000-0100-000000000000}">
      <formula1>1</formula1>
      <formula2>250</formula2>
    </dataValidation>
    <dataValidation type="date" operator="greaterThan" allowBlank="1" showInputMessage="1" showErrorMessage="1" sqref="C31 C33" xr:uid="{00000000-0002-0000-0100-000001000000}">
      <formula1>36526</formula1>
    </dataValidation>
    <dataValidation type="textLength" operator="equal" allowBlank="1" showInputMessage="1" showErrorMessage="1" error="Please enter a phone number as 10 digits." sqref="G7:G11" xr:uid="{00000000-0002-0000-0100-000004000000}">
      <formula1>10</formula1>
    </dataValidation>
    <dataValidation allowBlank="1" sqref="B8" xr:uid="{00000000-0002-0000-0100-000005000000}"/>
    <dataValidation allowBlank="1" showInputMessage="1" showErrorMessage="1" error="Please enter a percentage between 0 and 100%." sqref="C38" xr:uid="{00000000-0002-0000-0100-000006000000}"/>
    <dataValidation operator="lessThan" allowBlank="1" showInputMessage="1" showErrorMessage="1" sqref="C10:C11 C7" xr:uid="{00000000-0002-0000-0100-000007000000}"/>
    <dataValidation type="whole" allowBlank="1" showInputMessage="1" showErrorMessage="1" error="Please enter a valid value" sqref="I33 G27 G18:G19 G31" xr:uid="{00000000-0002-0000-0100-000008000000}">
      <formula1>0</formula1>
      <formula2>1000000000</formula2>
    </dataValidation>
    <dataValidation type="whole" showInputMessage="1" showErrorMessage="1" error="Please enter a valid value" sqref="G28" xr:uid="{00000000-0002-0000-0100-000009000000}">
      <formula1>0</formula1>
      <formula2>1000000000</formula2>
    </dataValidation>
    <dataValidation type="whole" allowBlank="1" showInputMessage="1" showErrorMessage="1" error="Please enter a valid value" sqref="G20" xr:uid="{00000000-0002-0000-0100-00000A000000}">
      <formula1>1</formula1>
      <formula2>60</formula2>
    </dataValidation>
    <dataValidation type="list" allowBlank="1" showInputMessage="1" showErrorMessage="1" sqref="C36" xr:uid="{00000000-0002-0000-0100-00000B000000}">
      <formula1>"Beginning, End"</formula1>
    </dataValidation>
    <dataValidation allowBlank="1" showInputMessage="1" sqref="B9" xr:uid="{00000000-0002-0000-0100-00000C000000}"/>
    <dataValidation type="decimal" allowBlank="1" showInputMessage="1" showErrorMessage="1" errorTitle="Input Data Error" error="Enter a percentage between 0 and 100" sqref="C28:C29" xr:uid="{00000000-0002-0000-0100-00000D000000}">
      <formula1>0</formula1>
      <formula2>1</formula2>
    </dataValidation>
    <dataValidation operator="greaterThan" allowBlank="1" showInputMessage="1" showErrorMessage="1" sqref="G32" xr:uid="{00000000-0002-0000-0100-00000E000000}"/>
    <dataValidation type="list" allowBlank="1" showInputMessage="1" showErrorMessage="1" sqref="D36" xr:uid="{00000000-0002-0000-0100-00000F000000}">
      <formula1>"Annual, Biannual, Quarter, Month"</formula1>
    </dataValidation>
    <dataValidation type="list" allowBlank="1" showInputMessage="1" showErrorMessage="1" sqref="C34:C35" xr:uid="{B7541662-792E-9042-BD1A-649CCA772734}">
      <formula1>"Appropriation/Cash,Grant,Loan (ESCO),Loan (Customer),State/Local Bond,Lease,Loan (Utility),Other"</formula1>
    </dataValidation>
    <dataValidation type="textLength" operator="lessThanOrEqual" allowBlank="1" showErrorMessage="1" errorTitle="Project ID# Input Error" error="Project ID# can not exceed 20 characters" promptTitle="Project ID# Input Error" sqref="C22" xr:uid="{05810A51-8503-CB4F-9FEA-49C8F18E39FF}">
      <formula1>20</formula1>
    </dataValidation>
    <dataValidation type="list" allowBlank="1" showInputMessage="1" showErrorMessage="1" sqref="C4" xr:uid="{4A0A968B-BBDE-3A45-8C1E-0C94AB280A01}">
      <formula1>"Guaranteed Savings,Build-own-operate/Chauffage, Shared Savings,Direct-Funded, PPA, UESC, ESAs,Other"</formula1>
    </dataValidation>
    <dataValidation type="whole" allowBlank="1" showErrorMessage="1" errorTitle="Data Input Error" error="Please enter a valid performance period" sqref="C27" xr:uid="{B613795F-67C2-F947-ABE3-9AF840EE859C}">
      <formula1>0</formula1>
      <formula2>100</formula2>
    </dataValidation>
  </dataValidations>
  <pageMargins left="0.75" right="0.75" top="1" bottom="1" header="0.5" footer="0.5"/>
  <pageSetup scale="45" orientation="portrait" horizontalDpi="4294967292" verticalDpi="4294967292"/>
  <ignoredErrors>
    <ignoredError sqref="C30 G30" unlockedFormula="1"/>
  </ignoredError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38"/>
  <sheetViews>
    <sheetView zoomScale="75" zoomScaleNormal="75" zoomScalePageLayoutView="125" workbookViewId="0">
      <selection sqref="A1:I2"/>
    </sheetView>
  </sheetViews>
  <sheetFormatPr baseColWidth="10" defaultColWidth="8.83203125" defaultRowHeight="16"/>
  <cols>
    <col min="1" max="1" width="31.83203125" customWidth="1"/>
    <col min="2" max="2" width="10.1640625" customWidth="1"/>
    <col min="3" max="3" width="10.6640625" customWidth="1"/>
    <col min="4" max="4" width="11.33203125" customWidth="1"/>
    <col min="5" max="5" width="20.33203125" customWidth="1"/>
    <col min="6" max="6" width="18.33203125" customWidth="1"/>
    <col min="7" max="7" width="9.1640625" customWidth="1"/>
    <col min="8" max="8" width="8.5" customWidth="1"/>
    <col min="9" max="9" width="16.33203125" customWidth="1"/>
    <col min="10" max="10" width="42.1640625" customWidth="1"/>
  </cols>
  <sheetData>
    <row r="1" spans="1:10" ht="20.25" customHeight="1">
      <c r="A1" s="366" t="s">
        <v>87</v>
      </c>
      <c r="B1" s="367"/>
      <c r="C1" s="367"/>
      <c r="D1" s="367"/>
      <c r="E1" s="367"/>
      <c r="F1" s="367"/>
      <c r="G1" s="367"/>
      <c r="H1" s="367"/>
      <c r="I1" s="368"/>
    </row>
    <row r="2" spans="1:10" ht="21" customHeight="1">
      <c r="A2" s="366"/>
      <c r="B2" s="367"/>
      <c r="C2" s="367"/>
      <c r="D2" s="367"/>
      <c r="E2" s="367"/>
      <c r="F2" s="367"/>
      <c r="G2" s="367"/>
      <c r="H2" s="367"/>
      <c r="I2" s="368"/>
    </row>
    <row r="3" spans="1:10" ht="17" thickBot="1">
      <c r="A3" s="237"/>
      <c r="B3" s="238"/>
      <c r="C3" s="238"/>
      <c r="D3" s="238"/>
      <c r="E3" s="238"/>
      <c r="F3" s="238"/>
      <c r="G3" s="238"/>
      <c r="H3" s="238"/>
      <c r="I3" s="238"/>
    </row>
    <row r="4" spans="1:10" ht="69" customHeight="1" thickBot="1">
      <c r="A4" s="239" t="s">
        <v>86</v>
      </c>
      <c r="B4" s="51" t="s">
        <v>55</v>
      </c>
      <c r="C4" s="51" t="s">
        <v>56</v>
      </c>
      <c r="D4" s="51" t="s">
        <v>44</v>
      </c>
      <c r="E4" s="62" t="s">
        <v>103</v>
      </c>
      <c r="F4" s="62" t="s">
        <v>104</v>
      </c>
      <c r="G4" s="51" t="s">
        <v>45</v>
      </c>
      <c r="H4" s="51" t="s">
        <v>46</v>
      </c>
      <c r="I4" s="240" t="s">
        <v>297</v>
      </c>
    </row>
    <row r="5" spans="1:10" ht="17" thickBot="1">
      <c r="A5" s="241" t="s">
        <v>106</v>
      </c>
      <c r="B5" s="119"/>
      <c r="C5" s="119"/>
      <c r="D5" s="119"/>
      <c r="E5" s="119"/>
      <c r="F5" s="119"/>
      <c r="G5" s="119"/>
      <c r="H5" s="119"/>
      <c r="I5" s="242"/>
    </row>
    <row r="6" spans="1:10" ht="17" thickBot="1">
      <c r="A6" s="243">
        <v>2</v>
      </c>
      <c r="B6" s="119"/>
      <c r="C6" s="119"/>
      <c r="D6" s="119"/>
      <c r="E6" s="119"/>
      <c r="F6" s="119"/>
      <c r="G6" s="119"/>
      <c r="H6" s="119"/>
      <c r="I6" s="242"/>
    </row>
    <row r="7" spans="1:10" ht="18" thickBot="1">
      <c r="A7" s="243">
        <v>3</v>
      </c>
      <c r="B7" s="119"/>
      <c r="C7" s="119"/>
      <c r="D7" s="119"/>
      <c r="E7" s="119"/>
      <c r="F7" s="119"/>
      <c r="G7" s="119"/>
      <c r="H7" s="119"/>
      <c r="I7" s="242"/>
      <c r="J7" s="60"/>
    </row>
    <row r="8" spans="1:10" ht="17" thickBot="1">
      <c r="A8" s="243">
        <v>4</v>
      </c>
      <c r="B8" s="119"/>
      <c r="C8" s="119"/>
      <c r="D8" s="119"/>
      <c r="E8" s="119"/>
      <c r="F8" s="119"/>
      <c r="G8" s="119"/>
      <c r="H8" s="119"/>
      <c r="I8" s="242"/>
    </row>
    <row r="9" spans="1:10" ht="17" thickBot="1">
      <c r="A9" s="243">
        <v>5</v>
      </c>
      <c r="B9" s="119"/>
      <c r="C9" s="119"/>
      <c r="D9" s="119"/>
      <c r="E9" s="119"/>
      <c r="F9" s="119"/>
      <c r="G9" s="119"/>
      <c r="H9" s="119"/>
      <c r="I9" s="242"/>
    </row>
    <row r="10" spans="1:10" ht="17" thickBot="1">
      <c r="A10" s="243">
        <v>6</v>
      </c>
      <c r="B10" s="119"/>
      <c r="C10" s="119"/>
      <c r="D10" s="119"/>
      <c r="E10" s="119"/>
      <c r="F10" s="119"/>
      <c r="G10" s="119"/>
      <c r="H10" s="119"/>
      <c r="I10" s="242"/>
    </row>
    <row r="11" spans="1:10" ht="17" thickBot="1">
      <c r="A11" s="243">
        <v>7</v>
      </c>
      <c r="B11" s="119"/>
      <c r="C11" s="119"/>
      <c r="D11" s="119"/>
      <c r="E11" s="119"/>
      <c r="F11" s="119"/>
      <c r="G11" s="119"/>
      <c r="H11" s="119"/>
      <c r="I11" s="242"/>
    </row>
    <row r="12" spans="1:10" ht="17" thickBot="1">
      <c r="A12" s="243">
        <v>8</v>
      </c>
      <c r="B12" s="119"/>
      <c r="C12" s="119"/>
      <c r="D12" s="119"/>
      <c r="E12" s="119"/>
      <c r="F12" s="119"/>
      <c r="G12" s="119"/>
      <c r="H12" s="119"/>
      <c r="I12" s="242"/>
    </row>
    <row r="13" spans="1:10" ht="17" thickBot="1">
      <c r="A13" s="243">
        <v>9</v>
      </c>
      <c r="B13" s="119"/>
      <c r="C13" s="119"/>
      <c r="D13" s="119"/>
      <c r="E13" s="119"/>
      <c r="F13" s="119"/>
      <c r="G13" s="119"/>
      <c r="H13" s="119"/>
      <c r="I13" s="242"/>
    </row>
    <row r="14" spans="1:10" ht="17" thickBot="1">
      <c r="A14" s="243">
        <v>10</v>
      </c>
      <c r="B14" s="119"/>
      <c r="C14" s="119"/>
      <c r="D14" s="119"/>
      <c r="E14" s="119"/>
      <c r="F14" s="119"/>
      <c r="G14" s="119"/>
      <c r="H14" s="119"/>
      <c r="I14" s="242"/>
    </row>
    <row r="15" spans="1:10" ht="17" thickBot="1">
      <c r="A15" s="243">
        <v>11</v>
      </c>
      <c r="B15" s="119"/>
      <c r="C15" s="119"/>
      <c r="D15" s="119"/>
      <c r="E15" s="119"/>
      <c r="F15" s="119"/>
      <c r="G15" s="119"/>
      <c r="H15" s="119"/>
      <c r="I15" s="242"/>
    </row>
    <row r="16" spans="1:10" ht="17" thickBot="1">
      <c r="A16" s="243">
        <v>12</v>
      </c>
      <c r="B16" s="119"/>
      <c r="C16" s="119"/>
      <c r="D16" s="119"/>
      <c r="E16" s="119"/>
      <c r="F16" s="119"/>
      <c r="G16" s="119"/>
      <c r="H16" s="119"/>
      <c r="I16" s="242"/>
    </row>
    <row r="17" spans="1:9" ht="17" thickBot="1">
      <c r="A17" s="243">
        <v>13</v>
      </c>
      <c r="B17" s="119"/>
      <c r="C17" s="119"/>
      <c r="D17" s="119"/>
      <c r="E17" s="119"/>
      <c r="F17" s="119"/>
      <c r="G17" s="119"/>
      <c r="H17" s="119"/>
      <c r="I17" s="242"/>
    </row>
    <row r="18" spans="1:9" ht="17" thickBot="1">
      <c r="A18" s="243">
        <v>14</v>
      </c>
      <c r="B18" s="119"/>
      <c r="C18" s="119"/>
      <c r="D18" s="119"/>
      <c r="E18" s="119"/>
      <c r="F18" s="119"/>
      <c r="G18" s="119"/>
      <c r="H18" s="119"/>
      <c r="I18" s="242"/>
    </row>
    <row r="19" spans="1:9" ht="17" thickBot="1">
      <c r="A19" s="243">
        <v>15</v>
      </c>
      <c r="B19" s="119"/>
      <c r="C19" s="119"/>
      <c r="D19" s="119"/>
      <c r="E19" s="119"/>
      <c r="F19" s="119"/>
      <c r="G19" s="119"/>
      <c r="H19" s="119"/>
      <c r="I19" s="242"/>
    </row>
    <row r="20" spans="1:9" ht="17" thickBot="1">
      <c r="A20" s="243">
        <v>16</v>
      </c>
      <c r="B20" s="119"/>
      <c r="C20" s="119"/>
      <c r="D20" s="119"/>
      <c r="E20" s="119"/>
      <c r="F20" s="119"/>
      <c r="G20" s="119"/>
      <c r="H20" s="119"/>
      <c r="I20" s="242"/>
    </row>
    <row r="21" spans="1:9" ht="17" thickBot="1">
      <c r="A21" s="243">
        <v>17</v>
      </c>
      <c r="B21" s="119"/>
      <c r="C21" s="119"/>
      <c r="D21" s="119"/>
      <c r="E21" s="119"/>
      <c r="F21" s="119"/>
      <c r="G21" s="119"/>
      <c r="H21" s="119"/>
      <c r="I21" s="242"/>
    </row>
    <row r="22" spans="1:9" ht="17" thickBot="1">
      <c r="A22" s="243">
        <v>18</v>
      </c>
      <c r="B22" s="119"/>
      <c r="C22" s="119"/>
      <c r="D22" s="119"/>
      <c r="E22" s="119"/>
      <c r="F22" s="119"/>
      <c r="G22" s="119"/>
      <c r="H22" s="119"/>
      <c r="I22" s="242"/>
    </row>
    <row r="23" spans="1:9" ht="17" thickBot="1">
      <c r="A23" s="243">
        <v>19</v>
      </c>
      <c r="B23" s="119"/>
      <c r="C23" s="119"/>
      <c r="D23" s="119"/>
      <c r="E23" s="119"/>
      <c r="F23" s="119"/>
      <c r="G23" s="119"/>
      <c r="H23" s="119"/>
      <c r="I23" s="242"/>
    </row>
    <row r="24" spans="1:9" ht="17" thickBot="1">
      <c r="A24" s="243">
        <v>20</v>
      </c>
      <c r="B24" s="119"/>
      <c r="C24" s="119"/>
      <c r="D24" s="119"/>
      <c r="E24" s="119"/>
      <c r="F24" s="119"/>
      <c r="G24" s="119"/>
      <c r="H24" s="119"/>
      <c r="I24" s="242"/>
    </row>
    <row r="25" spans="1:9" ht="17" thickBot="1">
      <c r="A25" s="243">
        <v>21</v>
      </c>
      <c r="B25" s="119"/>
      <c r="C25" s="119"/>
      <c r="D25" s="119"/>
      <c r="E25" s="119"/>
      <c r="F25" s="119"/>
      <c r="G25" s="119"/>
      <c r="H25" s="119"/>
      <c r="I25" s="242"/>
    </row>
    <row r="26" spans="1:9" ht="17" thickBot="1">
      <c r="A26" s="243">
        <v>22</v>
      </c>
      <c r="B26" s="119"/>
      <c r="C26" s="119"/>
      <c r="D26" s="119"/>
      <c r="E26" s="119"/>
      <c r="F26" s="119"/>
      <c r="G26" s="119"/>
      <c r="H26" s="119"/>
      <c r="I26" s="242"/>
    </row>
    <row r="27" spans="1:9" ht="17" thickBot="1">
      <c r="A27" s="243">
        <v>23</v>
      </c>
      <c r="B27" s="119"/>
      <c r="C27" s="119"/>
      <c r="D27" s="119"/>
      <c r="E27" s="119"/>
      <c r="F27" s="119"/>
      <c r="G27" s="119"/>
      <c r="H27" s="119"/>
      <c r="I27" s="242"/>
    </row>
    <row r="28" spans="1:9" ht="17" thickBot="1">
      <c r="A28" s="243">
        <v>24</v>
      </c>
      <c r="B28" s="119"/>
      <c r="C28" s="119"/>
      <c r="D28" s="119"/>
      <c r="E28" s="119"/>
      <c r="F28" s="119"/>
      <c r="G28" s="119"/>
      <c r="H28" s="119"/>
      <c r="I28" s="242"/>
    </row>
    <row r="29" spans="1:9" ht="17" thickBot="1">
      <c r="A29" s="243">
        <v>25</v>
      </c>
      <c r="B29" s="119"/>
      <c r="C29" s="119"/>
      <c r="D29" s="119"/>
      <c r="E29" s="119"/>
      <c r="F29" s="119"/>
      <c r="G29" s="119"/>
      <c r="H29" s="119"/>
      <c r="I29" s="242"/>
    </row>
    <row r="30" spans="1:9" ht="17" thickBot="1">
      <c r="A30" s="244"/>
      <c r="B30" s="134"/>
      <c r="C30" s="134"/>
      <c r="D30" s="134"/>
      <c r="E30" s="134"/>
      <c r="F30" s="134"/>
      <c r="G30" s="134"/>
      <c r="H30" s="134"/>
      <c r="I30" s="134"/>
    </row>
    <row r="31" spans="1:9" ht="19.5" customHeight="1">
      <c r="A31" s="370" t="s">
        <v>15</v>
      </c>
      <c r="B31" s="370"/>
      <c r="C31" s="370"/>
      <c r="D31" s="370"/>
      <c r="E31" s="370"/>
      <c r="F31" s="370"/>
      <c r="G31" s="370"/>
      <c r="H31" s="370"/>
      <c r="I31" s="370"/>
    </row>
    <row r="32" spans="1:9" ht="33.75" customHeight="1">
      <c r="A32" s="369" t="s">
        <v>110</v>
      </c>
      <c r="B32" s="369"/>
      <c r="C32" s="369"/>
      <c r="D32" s="369"/>
      <c r="E32" s="369"/>
      <c r="F32" s="369"/>
      <c r="G32" s="369"/>
      <c r="H32" s="369"/>
      <c r="I32" s="369"/>
    </row>
    <row r="33" spans="1:9" ht="32" customHeight="1">
      <c r="A33" s="369" t="s">
        <v>107</v>
      </c>
      <c r="B33" s="369"/>
      <c r="C33" s="369"/>
      <c r="D33" s="369"/>
      <c r="E33" s="369"/>
      <c r="F33" s="369"/>
      <c r="G33" s="369"/>
      <c r="H33" s="369"/>
      <c r="I33" s="369"/>
    </row>
    <row r="34" spans="1:9" ht="17" thickBot="1">
      <c r="A34" s="371" t="s">
        <v>95</v>
      </c>
      <c r="B34" s="371"/>
      <c r="C34" s="371"/>
      <c r="D34" s="371"/>
      <c r="E34" s="371"/>
      <c r="F34" s="371"/>
      <c r="G34" s="371"/>
      <c r="H34" s="371"/>
      <c r="I34" s="371"/>
    </row>
    <row r="35" spans="1:9" ht="16" customHeight="1">
      <c r="A35" s="364" t="s">
        <v>130</v>
      </c>
      <c r="B35" s="364"/>
      <c r="C35" s="364"/>
      <c r="D35" s="364"/>
      <c r="E35" s="364"/>
      <c r="F35" s="364"/>
      <c r="G35" s="365"/>
      <c r="H35" s="365"/>
      <c r="I35" s="365"/>
    </row>
    <row r="36" spans="1:9" ht="75" customHeight="1">
      <c r="A36" s="362"/>
      <c r="B36" s="362"/>
      <c r="C36" s="362"/>
      <c r="D36" s="362"/>
      <c r="E36" s="362"/>
      <c r="F36" s="362"/>
      <c r="G36" s="363"/>
      <c r="H36" s="363"/>
      <c r="I36" s="363"/>
    </row>
    <row r="37" spans="1:9">
      <c r="A37" s="165" t="str">
        <f>'Summary Schedule'!A53</f>
        <v>0710020</v>
      </c>
    </row>
    <row r="38" spans="1:9">
      <c r="A38" t="str">
        <f>'Summary Schedule'!A54</f>
        <v>3.0.15.n</v>
      </c>
    </row>
  </sheetData>
  <sheetProtection algorithmName="SHA-512" hashValue="zt27O5ljeNu/RplXpncITPyRe03F1Am+fKL0djEtFTaktvXugF4sqBtDuBAylYGtTpjvJ5x1roivEDkakKzSXA==" saltValue="B4plcfJhrGjFEvRFKuwQzQ==" spinCount="100000" sheet="1" objects="1" scenarios="1"/>
  <mergeCells count="7">
    <mergeCell ref="A36:I36"/>
    <mergeCell ref="A35:I35"/>
    <mergeCell ref="A1:I2"/>
    <mergeCell ref="A32:I32"/>
    <mergeCell ref="A33:I33"/>
    <mergeCell ref="A31:I31"/>
    <mergeCell ref="A34:I34"/>
  </mergeCells>
  <dataValidations count="1">
    <dataValidation type="decimal" allowBlank="1" showInputMessage="1" showErrorMessage="1" error="Please enter a percentage between 0 and 100%." sqref="B5:I30" xr:uid="{00000000-0002-0000-0200-000000000000}">
      <formula1>0</formula1>
      <formula2>1</formula2>
    </dataValidation>
  </dataValidations>
  <pageMargins left="0.7" right="0.7" top="0.75" bottom="0.75" header="0.3" footer="0.3"/>
  <pageSetup scale="57"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expression" priority="1" id="{99DB75BA-2A6C-664D-8E7B-4C57C6D70AE5}">
            <xm:f>'Summary Schedule'!$C$4="Direct-Funded"</xm:f>
            <x14:dxf>
              <font>
                <color theme="0" tint="-0.24994659260841701"/>
              </font>
              <fill>
                <patternFill patternType="solid">
                  <fgColor theme="0" tint="-0.24994659260841701"/>
                  <bgColor theme="0" tint="-0.24994659260841701"/>
                </patternFill>
              </fill>
              <border>
                <left/>
                <right/>
                <top/>
                <bottom/>
                <vertical/>
                <horizontal/>
              </border>
            </x14:dxf>
          </x14:cfRule>
          <xm:sqref>A1:I38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ECM!$B$3:$B$11</xm:f>
          </x14:formula1>
          <xm:sqref>E4</xm:sqref>
        </x14:dataValidation>
        <x14:dataValidation type="list" allowBlank="1" showInputMessage="1" showErrorMessage="1" xr:uid="{00000000-0002-0000-0200-000002000000}">
          <x14:formula1>
            <xm:f>ECM!$C$3:$C$11</xm:f>
          </x14:formula1>
          <xm:sqref>F4</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249977111117893"/>
    <pageSetUpPr fitToPage="1"/>
  </sheetPr>
  <dimension ref="A1:I49"/>
  <sheetViews>
    <sheetView zoomScale="75" zoomScaleNormal="75" zoomScalePageLayoutView="150" workbookViewId="0">
      <selection sqref="A1:E1"/>
    </sheetView>
  </sheetViews>
  <sheetFormatPr baseColWidth="10" defaultColWidth="11" defaultRowHeight="16"/>
  <cols>
    <col min="1" max="1" width="23.1640625" style="1" customWidth="1"/>
    <col min="2" max="2" width="27.1640625" style="1" customWidth="1"/>
    <col min="3" max="4" width="27" style="1" customWidth="1"/>
    <col min="5" max="5" width="22.83203125" style="1" customWidth="1"/>
    <col min="6" max="6" width="16.6640625" style="1" customWidth="1"/>
    <col min="7" max="7" width="14.6640625" style="1" bestFit="1" customWidth="1"/>
    <col min="8" max="8" width="12.83203125" style="1" bestFit="1" customWidth="1"/>
    <col min="9" max="9" width="14.6640625" style="1" bestFit="1" customWidth="1"/>
    <col min="10" max="16384" width="11" style="1"/>
  </cols>
  <sheetData>
    <row r="1" spans="1:9" ht="21">
      <c r="A1" s="367" t="s">
        <v>83</v>
      </c>
      <c r="B1" s="367"/>
      <c r="C1" s="367"/>
      <c r="D1" s="367"/>
      <c r="E1" s="376"/>
    </row>
    <row r="2" spans="1:9" ht="21">
      <c r="A2" s="367" t="s">
        <v>113</v>
      </c>
      <c r="B2" s="367"/>
      <c r="C2" s="367"/>
      <c r="D2" s="367"/>
      <c r="E2" s="357"/>
    </row>
    <row r="3" spans="1:9" ht="19.5" customHeight="1" thickBot="1">
      <c r="A3" s="248"/>
      <c r="B3" s="246"/>
      <c r="C3" s="247"/>
      <c r="D3" s="247"/>
      <c r="E3" s="246"/>
      <c r="F3" s="24"/>
    </row>
    <row r="4" spans="1:9" ht="15" customHeight="1" thickBot="1">
      <c r="A4" s="377" t="s">
        <v>115</v>
      </c>
      <c r="B4" s="194" t="s">
        <v>0</v>
      </c>
      <c r="C4" s="194" t="s">
        <v>1</v>
      </c>
      <c r="D4" s="194" t="s">
        <v>2</v>
      </c>
      <c r="E4" s="249"/>
    </row>
    <row r="5" spans="1:9" ht="24" customHeight="1" thickBot="1">
      <c r="A5" s="377"/>
      <c r="B5" s="194" t="s">
        <v>290</v>
      </c>
      <c r="C5" s="194" t="s">
        <v>292</v>
      </c>
      <c r="D5" s="194" t="s">
        <v>291</v>
      </c>
      <c r="E5" s="249"/>
    </row>
    <row r="6" spans="1:9" ht="17" thickBot="1">
      <c r="A6" s="377"/>
      <c r="B6" s="63"/>
      <c r="C6" s="63"/>
      <c r="D6" s="63"/>
      <c r="E6" s="250"/>
    </row>
    <row r="7" spans="1:9" ht="17" thickBot="1">
      <c r="A7" s="377" t="s">
        <v>182</v>
      </c>
      <c r="B7" s="194" t="s">
        <v>3</v>
      </c>
      <c r="C7" s="194" t="s">
        <v>4</v>
      </c>
      <c r="D7" s="194" t="s">
        <v>5</v>
      </c>
      <c r="E7" s="251" t="s">
        <v>114</v>
      </c>
      <c r="F7" s="25"/>
    </row>
    <row r="8" spans="1:9" ht="30.75" customHeight="1" thickBot="1">
      <c r="A8" s="377"/>
      <c r="B8" s="194" t="s">
        <v>43</v>
      </c>
      <c r="C8" s="194" t="s">
        <v>92</v>
      </c>
      <c r="D8" s="194" t="s">
        <v>111</v>
      </c>
      <c r="E8" s="251" t="s">
        <v>108</v>
      </c>
    </row>
    <row r="9" spans="1:9" ht="18" customHeight="1" thickBot="1">
      <c r="A9" s="252">
        <v>1</v>
      </c>
      <c r="B9" s="155"/>
      <c r="C9" s="155"/>
      <c r="D9" s="155"/>
      <c r="E9" s="253"/>
      <c r="F9" s="50"/>
      <c r="G9" s="50"/>
      <c r="H9" s="8"/>
      <c r="I9" s="8"/>
    </row>
    <row r="10" spans="1:9" ht="18" customHeight="1" thickBot="1">
      <c r="A10" s="252">
        <v>2</v>
      </c>
      <c r="B10" s="155"/>
      <c r="C10" s="155"/>
      <c r="D10" s="155"/>
      <c r="E10" s="253"/>
      <c r="F10" s="50"/>
      <c r="G10" s="8"/>
      <c r="H10" s="8"/>
      <c r="I10" s="8"/>
    </row>
    <row r="11" spans="1:9" ht="18" customHeight="1" thickBot="1">
      <c r="A11" s="252">
        <v>3</v>
      </c>
      <c r="B11" s="155"/>
      <c r="C11" s="155"/>
      <c r="D11" s="155"/>
      <c r="E11" s="253"/>
      <c r="F11" s="50"/>
      <c r="G11" s="8"/>
      <c r="H11" s="8"/>
      <c r="I11" s="8"/>
    </row>
    <row r="12" spans="1:9" ht="18" customHeight="1" thickBot="1">
      <c r="A12" s="252">
        <v>4</v>
      </c>
      <c r="B12" s="155"/>
      <c r="C12" s="155"/>
      <c r="D12" s="155"/>
      <c r="E12" s="253"/>
      <c r="F12" s="50"/>
      <c r="G12" s="8"/>
      <c r="H12" s="8"/>
      <c r="I12" s="8"/>
    </row>
    <row r="13" spans="1:9" ht="18" customHeight="1" thickBot="1">
      <c r="A13" s="252">
        <v>5</v>
      </c>
      <c r="B13" s="155"/>
      <c r="C13" s="155"/>
      <c r="D13" s="155"/>
      <c r="E13" s="253"/>
      <c r="F13" s="50"/>
      <c r="G13" s="8"/>
      <c r="H13" s="8"/>
      <c r="I13" s="8"/>
    </row>
    <row r="14" spans="1:9" ht="18" customHeight="1" thickBot="1">
      <c r="A14" s="252">
        <v>6</v>
      </c>
      <c r="B14" s="155"/>
      <c r="C14" s="155"/>
      <c r="D14" s="155"/>
      <c r="E14" s="253"/>
      <c r="F14" s="50"/>
      <c r="G14" s="8"/>
      <c r="H14" s="8"/>
      <c r="I14" s="8"/>
    </row>
    <row r="15" spans="1:9" ht="18" customHeight="1" thickBot="1">
      <c r="A15" s="252">
        <v>7</v>
      </c>
      <c r="B15" s="155"/>
      <c r="C15" s="155"/>
      <c r="D15" s="155"/>
      <c r="E15" s="253"/>
      <c r="F15" s="50"/>
      <c r="G15" s="8"/>
      <c r="H15" s="8"/>
      <c r="I15" s="8"/>
    </row>
    <row r="16" spans="1:9" ht="18" customHeight="1" thickBot="1">
      <c r="A16" s="252">
        <v>8</v>
      </c>
      <c r="B16" s="155"/>
      <c r="C16" s="155"/>
      <c r="D16" s="155"/>
      <c r="E16" s="253"/>
      <c r="F16" s="50"/>
      <c r="G16" s="8"/>
      <c r="H16" s="8"/>
      <c r="I16" s="8"/>
    </row>
    <row r="17" spans="1:9" ht="18" customHeight="1" thickBot="1">
      <c r="A17" s="252">
        <v>9</v>
      </c>
      <c r="B17" s="155"/>
      <c r="C17" s="155"/>
      <c r="D17" s="155"/>
      <c r="E17" s="253"/>
      <c r="F17" s="50"/>
      <c r="G17" s="8"/>
      <c r="H17" s="8"/>
      <c r="I17" s="8"/>
    </row>
    <row r="18" spans="1:9" ht="18" customHeight="1" thickBot="1">
      <c r="A18" s="252">
        <v>10</v>
      </c>
      <c r="B18" s="155"/>
      <c r="C18" s="155"/>
      <c r="D18" s="155"/>
      <c r="E18" s="253"/>
      <c r="F18" s="50"/>
      <c r="G18" s="8"/>
      <c r="H18" s="8"/>
      <c r="I18" s="8"/>
    </row>
    <row r="19" spans="1:9" ht="18" customHeight="1" thickBot="1">
      <c r="A19" s="252">
        <v>11</v>
      </c>
      <c r="B19" s="155"/>
      <c r="C19" s="155"/>
      <c r="D19" s="155"/>
      <c r="E19" s="253"/>
      <c r="F19" s="50"/>
      <c r="G19" s="8"/>
      <c r="H19" s="8"/>
      <c r="I19" s="8"/>
    </row>
    <row r="20" spans="1:9" ht="18" customHeight="1" thickBot="1">
      <c r="A20" s="252">
        <v>12</v>
      </c>
      <c r="B20" s="155"/>
      <c r="C20" s="155"/>
      <c r="D20" s="155"/>
      <c r="E20" s="253"/>
      <c r="F20" s="50"/>
    </row>
    <row r="21" spans="1:9" ht="18" customHeight="1" thickBot="1">
      <c r="A21" s="252">
        <v>13</v>
      </c>
      <c r="B21" s="155"/>
      <c r="C21" s="155"/>
      <c r="D21" s="155"/>
      <c r="E21" s="253"/>
      <c r="F21" s="50"/>
    </row>
    <row r="22" spans="1:9" ht="18" customHeight="1" thickBot="1">
      <c r="A22" s="252">
        <v>14</v>
      </c>
      <c r="B22" s="155"/>
      <c r="C22" s="155"/>
      <c r="D22" s="155"/>
      <c r="E22" s="253"/>
      <c r="F22" s="50"/>
    </row>
    <row r="23" spans="1:9" ht="18" customHeight="1" thickBot="1">
      <c r="A23" s="252">
        <v>15</v>
      </c>
      <c r="B23" s="155"/>
      <c r="C23" s="155"/>
      <c r="D23" s="155"/>
      <c r="E23" s="253"/>
      <c r="F23" s="50"/>
    </row>
    <row r="24" spans="1:9" ht="18" customHeight="1" thickBot="1">
      <c r="A24" s="252">
        <v>16</v>
      </c>
      <c r="B24" s="155"/>
      <c r="C24" s="155"/>
      <c r="D24" s="155"/>
      <c r="E24" s="253"/>
      <c r="F24" s="50"/>
    </row>
    <row r="25" spans="1:9" ht="18" customHeight="1" thickBot="1">
      <c r="A25" s="252">
        <v>17</v>
      </c>
      <c r="B25" s="155"/>
      <c r="C25" s="155"/>
      <c r="D25" s="155"/>
      <c r="E25" s="253"/>
      <c r="F25" s="50"/>
    </row>
    <row r="26" spans="1:9" ht="18" customHeight="1" thickBot="1">
      <c r="A26" s="252">
        <v>18</v>
      </c>
      <c r="B26" s="155"/>
      <c r="C26" s="155"/>
      <c r="D26" s="155"/>
      <c r="E26" s="253"/>
      <c r="F26" s="50"/>
    </row>
    <row r="27" spans="1:9" ht="18" customHeight="1" thickBot="1">
      <c r="A27" s="252">
        <v>19</v>
      </c>
      <c r="B27" s="155"/>
      <c r="C27" s="155"/>
      <c r="D27" s="155"/>
      <c r="E27" s="253"/>
      <c r="F27" s="50"/>
    </row>
    <row r="28" spans="1:9" ht="18" customHeight="1" thickBot="1">
      <c r="A28" s="252">
        <v>20</v>
      </c>
      <c r="B28" s="155"/>
      <c r="C28" s="155"/>
      <c r="D28" s="155"/>
      <c r="E28" s="253"/>
      <c r="F28" s="50"/>
    </row>
    <row r="29" spans="1:9" ht="18" customHeight="1" thickBot="1">
      <c r="A29" s="252">
        <v>21</v>
      </c>
      <c r="B29" s="155"/>
      <c r="C29" s="155"/>
      <c r="D29" s="155"/>
      <c r="E29" s="253"/>
      <c r="F29" s="50"/>
    </row>
    <row r="30" spans="1:9" ht="18" customHeight="1" thickBot="1">
      <c r="A30" s="252">
        <v>22</v>
      </c>
      <c r="B30" s="155"/>
      <c r="C30" s="155"/>
      <c r="D30" s="155"/>
      <c r="E30" s="253"/>
      <c r="F30" s="50"/>
    </row>
    <row r="31" spans="1:9" ht="18" customHeight="1" thickBot="1">
      <c r="A31" s="252">
        <v>23</v>
      </c>
      <c r="B31" s="155"/>
      <c r="C31" s="155"/>
      <c r="D31" s="155"/>
      <c r="E31" s="253"/>
      <c r="F31" s="50"/>
    </row>
    <row r="32" spans="1:9" ht="18" customHeight="1" thickBot="1">
      <c r="A32" s="252">
        <v>24</v>
      </c>
      <c r="B32" s="155"/>
      <c r="C32" s="155"/>
      <c r="D32" s="155"/>
      <c r="E32" s="253"/>
      <c r="F32" s="50"/>
    </row>
    <row r="33" spans="1:7" ht="18" customHeight="1" thickBot="1">
      <c r="A33" s="252">
        <v>25</v>
      </c>
      <c r="B33" s="155"/>
      <c r="C33" s="155"/>
      <c r="D33" s="155"/>
      <c r="E33" s="253"/>
      <c r="F33" s="50"/>
    </row>
    <row r="34" spans="1:7" ht="32.25" customHeight="1" thickBot="1">
      <c r="A34" s="254" t="s">
        <v>61</v>
      </c>
      <c r="B34" s="156"/>
      <c r="C34" s="156"/>
      <c r="D34" s="156"/>
      <c r="E34" s="255"/>
      <c r="F34" s="26"/>
      <c r="G34" s="26"/>
    </row>
    <row r="35" spans="1:7" ht="20" customHeight="1">
      <c r="A35" s="378" t="s">
        <v>29</v>
      </c>
      <c r="B35" s="378"/>
      <c r="C35" s="381" t="s">
        <v>6</v>
      </c>
      <c r="D35" s="383" t="s">
        <v>112</v>
      </c>
      <c r="E35" s="256"/>
      <c r="F35" s="26"/>
      <c r="G35" s="26"/>
    </row>
    <row r="36" spans="1:7" ht="17" thickBot="1">
      <c r="A36" s="379"/>
      <c r="B36" s="379"/>
      <c r="C36" s="382"/>
      <c r="D36" s="384"/>
      <c r="E36" s="249"/>
      <c r="F36" s="26"/>
      <c r="G36" s="26"/>
    </row>
    <row r="37" spans="1:7" ht="18" customHeight="1" thickBot="1">
      <c r="A37" s="380"/>
      <c r="B37" s="380"/>
      <c r="C37" s="153">
        <f>C34+C6</f>
        <v>0</v>
      </c>
      <c r="D37" s="154">
        <f>D34+D6</f>
        <v>0</v>
      </c>
      <c r="E37" s="249"/>
      <c r="F37" s="26"/>
      <c r="G37" s="26"/>
    </row>
    <row r="38" spans="1:7" ht="17" thickBot="1">
      <c r="A38" s="257"/>
      <c r="B38" s="27"/>
      <c r="C38" s="28"/>
      <c r="D38" s="28"/>
      <c r="E38" s="249"/>
      <c r="F38" s="26"/>
      <c r="G38" s="26"/>
    </row>
    <row r="39" spans="1:7">
      <c r="A39" s="372" t="s">
        <v>15</v>
      </c>
      <c r="B39" s="372"/>
      <c r="C39" s="372"/>
      <c r="D39" s="372"/>
      <c r="E39" s="365"/>
    </row>
    <row r="40" spans="1:7" ht="55" customHeight="1">
      <c r="A40" s="373" t="s">
        <v>294</v>
      </c>
      <c r="B40" s="374"/>
      <c r="C40" s="374"/>
      <c r="D40" s="374"/>
      <c r="E40" s="374"/>
    </row>
    <row r="41" spans="1:7" ht="17" customHeight="1">
      <c r="A41" s="340" t="s">
        <v>245</v>
      </c>
      <c r="B41" s="375"/>
      <c r="C41" s="375"/>
      <c r="D41" s="375"/>
      <c r="E41" s="375"/>
    </row>
    <row r="42" spans="1:7" ht="17" customHeight="1">
      <c r="A42" s="340" t="s">
        <v>155</v>
      </c>
      <c r="B42" s="357"/>
      <c r="C42" s="357"/>
      <c r="D42" s="357"/>
      <c r="E42" s="357"/>
    </row>
    <row r="43" spans="1:7" ht="17" customHeight="1">
      <c r="A43" s="340" t="s">
        <v>216</v>
      </c>
      <c r="B43" s="357"/>
      <c r="C43" s="357"/>
      <c r="D43" s="357"/>
      <c r="E43" s="357"/>
    </row>
    <row r="44" spans="1:7" ht="16" customHeight="1">
      <c r="A44" s="340" t="s">
        <v>217</v>
      </c>
      <c r="B44" s="357"/>
      <c r="C44" s="357"/>
      <c r="D44" s="357"/>
      <c r="E44" s="357"/>
    </row>
    <row r="45" spans="1:7" ht="17" thickBot="1">
      <c r="A45" s="340" t="s">
        <v>218</v>
      </c>
      <c r="B45" s="357"/>
      <c r="C45" s="357"/>
      <c r="D45" s="357"/>
      <c r="E45" s="357"/>
    </row>
    <row r="46" spans="1:7">
      <c r="A46" s="372" t="s">
        <v>130</v>
      </c>
      <c r="B46" s="372"/>
      <c r="C46" s="372"/>
      <c r="D46" s="372"/>
      <c r="E46" s="365"/>
    </row>
    <row r="47" spans="1:7" ht="71" customHeight="1">
      <c r="A47" s="362"/>
      <c r="B47" s="362"/>
      <c r="C47" s="362"/>
      <c r="D47" s="362"/>
      <c r="E47" s="362"/>
    </row>
    <row r="48" spans="1:7">
      <c r="A48" s="164" t="str">
        <f>'Annual Escalation Rates'!A37</f>
        <v>0710020</v>
      </c>
    </row>
    <row r="49" spans="1:1">
      <c r="A49" s="20" t="str">
        <f>'Summary Schedule'!A54</f>
        <v>3.0.15.n</v>
      </c>
    </row>
  </sheetData>
  <sheetProtection algorithmName="SHA-512" hashValue="7On/+y509385aNribtSrco14hv/xz3FtIVB61bZG8A5H9eCJr9g0IYjPvJAOaThNwDsVQsoBhU6mIHJLo+tozg==" saltValue="UORfbF+GT68rcXpe7bD5Tw==" spinCount="100000" sheet="1" objects="1" scenarios="1"/>
  <mergeCells count="16">
    <mergeCell ref="A1:E1"/>
    <mergeCell ref="A2:E2"/>
    <mergeCell ref="A4:A6"/>
    <mergeCell ref="A7:A8"/>
    <mergeCell ref="A35:B37"/>
    <mergeCell ref="C35:C36"/>
    <mergeCell ref="D35:D36"/>
    <mergeCell ref="A44:E44"/>
    <mergeCell ref="A45:E45"/>
    <mergeCell ref="A46:E46"/>
    <mergeCell ref="A47:E47"/>
    <mergeCell ref="A39:E39"/>
    <mergeCell ref="A40:E40"/>
    <mergeCell ref="A41:E41"/>
    <mergeCell ref="A42:E42"/>
    <mergeCell ref="A43:E43"/>
  </mergeCells>
  <dataValidations count="1">
    <dataValidation type="whole" allowBlank="1" showInputMessage="1" showErrorMessage="1" error="Please enter a valid value " sqref="E36:E38 B6:E6" xr:uid="{00000000-0002-0000-0300-000000000000}">
      <formula1>0</formula1>
      <formula2>1000000000</formula2>
    </dataValidation>
  </dataValidations>
  <pageMargins left="0.75" right="0.75" top="1" bottom="1" header="0.5" footer="0.5"/>
  <pageSetup scale="55" orientation="portrait" horizontalDpi="4294967292" verticalDpi="4294967292"/>
  <ignoredErrors>
    <ignoredError sqref="C37:D37" unlockedFormula="1"/>
  </ignoredErrors>
  <drawing r:id="rId1"/>
  <extLst>
    <ext xmlns:x14="http://schemas.microsoft.com/office/spreadsheetml/2009/9/main" uri="{78C0D931-6437-407d-A8EE-F0AAD7539E65}">
      <x14:conditionalFormattings>
        <x14:conditionalFormatting xmlns:xm="http://schemas.microsoft.com/office/excel/2006/main">
          <x14:cfRule type="expression" priority="1" id="{A6514D22-0B99-8141-834B-AD4DD984C14D}">
            <xm:f>OR('Summary Schedule'!$C$4="Direct-Funded", 'Summary Schedule'!$C$4="UESC")</xm:f>
            <x14:dxf>
              <font>
                <color theme="0" tint="-0.24994659260841701"/>
              </font>
              <fill>
                <patternFill patternType="solid">
                  <fgColor theme="0" tint="-0.24994659260841701"/>
                  <bgColor theme="0" tint="-0.24994659260841701"/>
                </patternFill>
              </fill>
              <border>
                <left/>
                <right/>
                <top/>
                <bottom/>
                <vertical/>
                <horizontal/>
              </border>
            </x14:dxf>
          </x14:cfRule>
          <xm:sqref>A1:E49</xm:sqref>
        </x14:conditionalFormatting>
      </x14:conditionalFormattings>
    </ex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660066"/>
    <pageSetUpPr fitToPage="1"/>
  </sheetPr>
  <dimension ref="A1:G47"/>
  <sheetViews>
    <sheetView zoomScale="75" zoomScaleNormal="75" zoomScalePageLayoutView="150" workbookViewId="0">
      <selection sqref="A1:D1"/>
    </sheetView>
  </sheetViews>
  <sheetFormatPr baseColWidth="10" defaultColWidth="11" defaultRowHeight="16"/>
  <cols>
    <col min="1" max="1" width="23.1640625" style="1" customWidth="1"/>
    <col min="2" max="2" width="37.83203125" style="1" customWidth="1"/>
    <col min="3" max="3" width="52.1640625" style="1" customWidth="1"/>
    <col min="4" max="4" width="22.83203125" style="1" customWidth="1"/>
    <col min="5" max="5" width="14.6640625" style="1" bestFit="1" customWidth="1"/>
    <col min="6" max="6" width="12.83203125" style="1" bestFit="1" customWidth="1"/>
    <col min="7" max="7" width="14.6640625" style="1" bestFit="1" customWidth="1"/>
    <col min="8" max="16384" width="11" style="1"/>
  </cols>
  <sheetData>
    <row r="1" spans="1:7" ht="21">
      <c r="A1" s="367" t="s">
        <v>261</v>
      </c>
      <c r="B1" s="367"/>
      <c r="C1" s="367"/>
      <c r="D1" s="376"/>
    </row>
    <row r="2" spans="1:7" ht="21">
      <c r="A2" s="367" t="s">
        <v>113</v>
      </c>
      <c r="B2" s="367"/>
      <c r="C2" s="367"/>
      <c r="D2" s="357"/>
    </row>
    <row r="3" spans="1:7" ht="19.5" customHeight="1" thickBot="1">
      <c r="A3" s="237"/>
      <c r="B3" s="238"/>
      <c r="C3" s="245"/>
      <c r="D3" s="238"/>
    </row>
    <row r="4" spans="1:7" ht="15" customHeight="1" thickBot="1">
      <c r="A4" s="377" t="s">
        <v>115</v>
      </c>
      <c r="B4" s="194" t="s">
        <v>0</v>
      </c>
      <c r="C4" s="194" t="s">
        <v>2</v>
      </c>
      <c r="D4" s="249"/>
    </row>
    <row r="5" spans="1:7" ht="24" customHeight="1" thickBot="1">
      <c r="A5" s="377"/>
      <c r="B5" s="194" t="s">
        <v>290</v>
      </c>
      <c r="C5" s="194" t="s">
        <v>291</v>
      </c>
      <c r="D5" s="249"/>
    </row>
    <row r="6" spans="1:7" ht="17" thickBot="1">
      <c r="A6" s="377"/>
      <c r="B6" s="63"/>
      <c r="C6" s="63"/>
      <c r="D6" s="250"/>
    </row>
    <row r="7" spans="1:7" ht="17" thickBot="1">
      <c r="A7" s="377" t="s">
        <v>182</v>
      </c>
      <c r="B7" s="194" t="s">
        <v>3</v>
      </c>
      <c r="C7" s="194" t="s">
        <v>5</v>
      </c>
      <c r="D7" s="251" t="s">
        <v>114</v>
      </c>
    </row>
    <row r="8" spans="1:7" ht="30.75" customHeight="1" thickBot="1">
      <c r="A8" s="377"/>
      <c r="B8" s="194" t="s">
        <v>43</v>
      </c>
      <c r="C8" s="194" t="s">
        <v>111</v>
      </c>
      <c r="D8" s="251" t="s">
        <v>108</v>
      </c>
    </row>
    <row r="9" spans="1:7" ht="18" customHeight="1" thickBot="1">
      <c r="A9" s="252">
        <v>1</v>
      </c>
      <c r="B9" s="155"/>
      <c r="C9" s="155"/>
      <c r="D9" s="253"/>
      <c r="E9" s="8"/>
      <c r="G9" s="8"/>
    </row>
    <row r="10" spans="1:7" ht="18" customHeight="1" thickBot="1">
      <c r="A10" s="252">
        <v>2</v>
      </c>
      <c r="B10" s="155"/>
      <c r="C10" s="155"/>
      <c r="D10" s="253"/>
      <c r="E10" s="8"/>
      <c r="G10" s="8"/>
    </row>
    <row r="11" spans="1:7" ht="18" customHeight="1" thickBot="1">
      <c r="A11" s="252">
        <v>3</v>
      </c>
      <c r="B11" s="155"/>
      <c r="C11" s="155"/>
      <c r="D11" s="253"/>
      <c r="E11" s="8"/>
      <c r="G11" s="8"/>
    </row>
    <row r="12" spans="1:7" ht="18" customHeight="1" thickBot="1">
      <c r="A12" s="252">
        <v>4</v>
      </c>
      <c r="B12" s="155"/>
      <c r="C12" s="155"/>
      <c r="D12" s="253"/>
      <c r="E12" s="8"/>
      <c r="G12" s="8"/>
    </row>
    <row r="13" spans="1:7" ht="18" customHeight="1" thickBot="1">
      <c r="A13" s="252">
        <v>5</v>
      </c>
      <c r="B13" s="155"/>
      <c r="C13" s="155"/>
      <c r="D13" s="253"/>
      <c r="E13" s="8"/>
      <c r="G13" s="8"/>
    </row>
    <row r="14" spans="1:7" ht="18" customHeight="1" thickBot="1">
      <c r="A14" s="252">
        <v>6</v>
      </c>
      <c r="B14" s="155"/>
      <c r="C14" s="155"/>
      <c r="D14" s="253"/>
      <c r="E14" s="8"/>
      <c r="G14" s="8"/>
    </row>
    <row r="15" spans="1:7" ht="18" customHeight="1" thickBot="1">
      <c r="A15" s="252">
        <v>7</v>
      </c>
      <c r="B15" s="155"/>
      <c r="C15" s="155"/>
      <c r="D15" s="253"/>
      <c r="E15" s="8"/>
      <c r="G15" s="8"/>
    </row>
    <row r="16" spans="1:7" ht="18" customHeight="1" thickBot="1">
      <c r="A16" s="252">
        <v>8</v>
      </c>
      <c r="B16" s="155"/>
      <c r="C16" s="155"/>
      <c r="D16" s="253"/>
      <c r="E16" s="8"/>
      <c r="G16" s="8"/>
    </row>
    <row r="17" spans="1:7" ht="18" customHeight="1" thickBot="1">
      <c r="A17" s="252">
        <v>9</v>
      </c>
      <c r="B17" s="155"/>
      <c r="C17" s="155"/>
      <c r="D17" s="253"/>
      <c r="E17" s="8"/>
      <c r="G17" s="8"/>
    </row>
    <row r="18" spans="1:7" ht="18" customHeight="1" thickBot="1">
      <c r="A18" s="252">
        <v>10</v>
      </c>
      <c r="B18" s="155"/>
      <c r="C18" s="155"/>
      <c r="D18" s="253"/>
      <c r="E18" s="8"/>
      <c r="G18" s="8"/>
    </row>
    <row r="19" spans="1:7" ht="18" customHeight="1" thickBot="1">
      <c r="A19" s="252">
        <v>11</v>
      </c>
      <c r="B19" s="155"/>
      <c r="C19" s="155"/>
      <c r="D19" s="253"/>
      <c r="E19" s="8"/>
      <c r="G19" s="8"/>
    </row>
    <row r="20" spans="1:7" ht="18" customHeight="1" thickBot="1">
      <c r="A20" s="252">
        <v>12</v>
      </c>
      <c r="B20" s="155"/>
      <c r="C20" s="155"/>
      <c r="D20" s="253"/>
    </row>
    <row r="21" spans="1:7" ht="18" customHeight="1" thickBot="1">
      <c r="A21" s="252">
        <v>13</v>
      </c>
      <c r="B21" s="155"/>
      <c r="C21" s="155"/>
      <c r="D21" s="253"/>
    </row>
    <row r="22" spans="1:7" ht="18" customHeight="1" thickBot="1">
      <c r="A22" s="252">
        <v>14</v>
      </c>
      <c r="B22" s="155"/>
      <c r="C22" s="155"/>
      <c r="D22" s="253"/>
    </row>
    <row r="23" spans="1:7" ht="18" customHeight="1" thickBot="1">
      <c r="A23" s="252">
        <v>15</v>
      </c>
      <c r="B23" s="155"/>
      <c r="C23" s="155"/>
      <c r="D23" s="253"/>
    </row>
    <row r="24" spans="1:7" ht="18" customHeight="1" thickBot="1">
      <c r="A24" s="252">
        <v>16</v>
      </c>
      <c r="B24" s="155"/>
      <c r="C24" s="155"/>
      <c r="D24" s="253"/>
    </row>
    <row r="25" spans="1:7" ht="18" customHeight="1" thickBot="1">
      <c r="A25" s="252">
        <v>17</v>
      </c>
      <c r="B25" s="155"/>
      <c r="C25" s="155"/>
      <c r="D25" s="253"/>
    </row>
    <row r="26" spans="1:7" ht="18" customHeight="1" thickBot="1">
      <c r="A26" s="252">
        <v>18</v>
      </c>
      <c r="B26" s="155"/>
      <c r="C26" s="155"/>
      <c r="D26" s="253"/>
    </row>
    <row r="27" spans="1:7" ht="18" customHeight="1" thickBot="1">
      <c r="A27" s="252">
        <v>19</v>
      </c>
      <c r="B27" s="155"/>
      <c r="C27" s="155"/>
      <c r="D27" s="253"/>
    </row>
    <row r="28" spans="1:7" ht="18" customHeight="1" thickBot="1">
      <c r="A28" s="252">
        <v>20</v>
      </c>
      <c r="B28" s="155"/>
      <c r="C28" s="155"/>
      <c r="D28" s="253"/>
    </row>
    <row r="29" spans="1:7" ht="18" customHeight="1" thickBot="1">
      <c r="A29" s="252">
        <v>21</v>
      </c>
      <c r="B29" s="155"/>
      <c r="C29" s="155"/>
      <c r="D29" s="253"/>
    </row>
    <row r="30" spans="1:7" ht="18" customHeight="1" thickBot="1">
      <c r="A30" s="252">
        <v>22</v>
      </c>
      <c r="B30" s="155"/>
      <c r="C30" s="155"/>
      <c r="D30" s="253"/>
    </row>
    <row r="31" spans="1:7" ht="18" customHeight="1" thickBot="1">
      <c r="A31" s="252">
        <v>23</v>
      </c>
      <c r="B31" s="155"/>
      <c r="C31" s="155"/>
      <c r="D31" s="253"/>
    </row>
    <row r="32" spans="1:7" ht="18" customHeight="1" thickBot="1">
      <c r="A32" s="252">
        <v>24</v>
      </c>
      <c r="B32" s="155"/>
      <c r="C32" s="155"/>
      <c r="D32" s="253"/>
    </row>
    <row r="33" spans="1:5" ht="18" customHeight="1" thickBot="1">
      <c r="A33" s="252">
        <v>25</v>
      </c>
      <c r="B33" s="155"/>
      <c r="C33" s="155"/>
      <c r="D33" s="253"/>
    </row>
    <row r="34" spans="1:5" ht="32.25" customHeight="1" thickBot="1">
      <c r="A34" s="254" t="s">
        <v>61</v>
      </c>
      <c r="B34" s="156">
        <f>SUM(B9:B33)</f>
        <v>0</v>
      </c>
      <c r="C34" s="156">
        <f>SUM(C9:C33)</f>
        <v>0</v>
      </c>
      <c r="D34" s="255"/>
      <c r="E34" s="26"/>
    </row>
    <row r="35" spans="1:5" ht="20" customHeight="1">
      <c r="A35" s="378" t="s">
        <v>29</v>
      </c>
      <c r="B35" s="378"/>
      <c r="C35" s="383" t="s">
        <v>112</v>
      </c>
      <c r="D35" s="256"/>
      <c r="E35" s="26"/>
    </row>
    <row r="36" spans="1:5" ht="17" thickBot="1">
      <c r="A36" s="379"/>
      <c r="B36" s="379"/>
      <c r="C36" s="387"/>
      <c r="D36" s="249"/>
      <c r="E36" s="26"/>
    </row>
    <row r="37" spans="1:5" ht="18" customHeight="1" thickBot="1">
      <c r="A37" s="379"/>
      <c r="B37" s="379"/>
      <c r="C37" s="157">
        <f>C34+C6</f>
        <v>0</v>
      </c>
      <c r="D37" s="249"/>
      <c r="E37" s="26"/>
    </row>
    <row r="38" spans="1:5" ht="17" thickBot="1">
      <c r="A38" s="258"/>
      <c r="B38" s="2"/>
      <c r="C38" s="143"/>
      <c r="D38" s="249"/>
      <c r="E38" s="26"/>
    </row>
    <row r="39" spans="1:5">
      <c r="A39" s="372" t="s">
        <v>15</v>
      </c>
      <c r="B39" s="372"/>
      <c r="C39" s="372"/>
      <c r="D39" s="365"/>
    </row>
    <row r="40" spans="1:5" ht="53" customHeight="1">
      <c r="A40" s="373" t="s">
        <v>295</v>
      </c>
      <c r="B40" s="374"/>
      <c r="C40" s="374"/>
      <c r="D40" s="357"/>
    </row>
    <row r="41" spans="1:5" ht="16" customHeight="1">
      <c r="A41" s="388" t="s">
        <v>276</v>
      </c>
      <c r="B41" s="375"/>
      <c r="C41" s="375"/>
      <c r="D41" s="357"/>
    </row>
    <row r="42" spans="1:5" ht="16" customHeight="1">
      <c r="A42" s="388" t="s">
        <v>277</v>
      </c>
      <c r="B42" s="357"/>
      <c r="C42" s="357"/>
      <c r="D42" s="357"/>
    </row>
    <row r="43" spans="1:5" ht="17" customHeight="1">
      <c r="A43" s="388" t="s">
        <v>278</v>
      </c>
      <c r="B43" s="357"/>
      <c r="C43" s="357"/>
      <c r="D43" s="357"/>
    </row>
    <row r="44" spans="1:5">
      <c r="A44" s="385" t="s">
        <v>130</v>
      </c>
      <c r="B44" s="385"/>
      <c r="C44" s="385"/>
      <c r="D44" s="357"/>
    </row>
    <row r="45" spans="1:5" ht="71" customHeight="1">
      <c r="A45" s="386"/>
      <c r="B45" s="386"/>
      <c r="C45" s="386"/>
      <c r="D45" s="357"/>
    </row>
    <row r="46" spans="1:5">
      <c r="A46" s="164" t="str">
        <f>'Annual Escalation Rates'!A37</f>
        <v>0710020</v>
      </c>
    </row>
    <row r="47" spans="1:5">
      <c r="A47" s="20" t="str">
        <f>'Summary Schedule'!A54</f>
        <v>3.0.15.n</v>
      </c>
    </row>
  </sheetData>
  <sheetProtection algorithmName="SHA-512" hashValue="XjHK34c7JqrJnIMQS5nDLFmcrbZJxrpvZdLuxI0Hdho/vVg9+W8HKQi7Kby79Ugpa0cCohJ/g+tcFNgV9FNPJQ==" saltValue="G+fha+wm6/rHLSg6pfiGKg==" spinCount="100000" sheet="1" objects="1" scenarios="1"/>
  <mergeCells count="13">
    <mergeCell ref="A1:D1"/>
    <mergeCell ref="A2:D2"/>
    <mergeCell ref="A44:D44"/>
    <mergeCell ref="A45:D45"/>
    <mergeCell ref="A4:A6"/>
    <mergeCell ref="A7:A8"/>
    <mergeCell ref="A35:B37"/>
    <mergeCell ref="C35:C36"/>
    <mergeCell ref="A39:D39"/>
    <mergeCell ref="A40:D40"/>
    <mergeCell ref="A41:D41"/>
    <mergeCell ref="A42:D42"/>
    <mergeCell ref="A43:D43"/>
  </mergeCells>
  <dataValidations disablePrompts="1" count="1">
    <dataValidation type="whole" allowBlank="1" showInputMessage="1" showErrorMessage="1" error="Please enter a valid value " sqref="B6:D6 D36:D38" xr:uid="{00000000-0002-0000-0400-000000000000}">
      <formula1>0</formula1>
      <formula2>1000000000</formula2>
    </dataValidation>
  </dataValidations>
  <pageMargins left="0.75" right="0.75" top="1" bottom="1" header="0.5" footer="0.5"/>
  <pageSetup scale="55" orientation="portrait" horizontalDpi="4294967292" verticalDpi="4294967292"/>
  <ignoredErrors>
    <ignoredError sqref="B34:C34 C37" unlockedFormula="1"/>
  </ignoredErrors>
  <drawing r:id="rId1"/>
  <extLst>
    <ext xmlns:x14="http://schemas.microsoft.com/office/spreadsheetml/2009/9/main" uri="{78C0D931-6437-407d-A8EE-F0AAD7539E65}">
      <x14:conditionalFormattings>
        <x14:conditionalFormatting xmlns:xm="http://schemas.microsoft.com/office/excel/2006/main">
          <x14:cfRule type="expression" priority="1" id="{7204C53C-CDE3-2F44-8195-F160932CCFBB}">
            <xm:f>'Summary Schedule'!$C$4&lt;&gt;"UESC"</xm:f>
            <x14:dxf>
              <font>
                <color theme="0" tint="-0.24994659260841701"/>
              </font>
              <fill>
                <patternFill patternType="solid">
                  <fgColor auto="1"/>
                  <bgColor theme="0" tint="-0.24994659260841701"/>
                </patternFill>
              </fill>
              <border>
                <left/>
                <right/>
                <top/>
                <bottom/>
                <vertical/>
                <horizontal/>
              </border>
            </x14:dxf>
          </x14:cfRule>
          <xm:sqref>A1:D47</xm:sqref>
        </x14:conditionalFormatting>
      </x14:conditionalFormattings>
    </ex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R272"/>
  <sheetViews>
    <sheetView zoomScale="75" zoomScaleNormal="75" zoomScalePageLayoutView="150" workbookViewId="0">
      <selection sqref="A1:K1"/>
    </sheetView>
  </sheetViews>
  <sheetFormatPr baseColWidth="10" defaultColWidth="11" defaultRowHeight="16"/>
  <cols>
    <col min="1" max="2" width="31.6640625" style="11" customWidth="1"/>
    <col min="3" max="3" width="30.6640625" style="11" customWidth="1"/>
    <col min="4" max="4" width="12.1640625" style="11" customWidth="1"/>
    <col min="5" max="6" width="11" style="11"/>
    <col min="7" max="7" width="14.5" style="11" customWidth="1"/>
    <col min="8" max="8" width="20.6640625" style="11" customWidth="1"/>
    <col min="9" max="9" width="20" style="11" customWidth="1"/>
    <col min="10" max="10" width="11" style="11"/>
    <col min="11" max="11" width="21.1640625" style="11" customWidth="1"/>
    <col min="12" max="12" width="11" style="11"/>
    <col min="13" max="13" width="13.33203125" style="11" bestFit="1" customWidth="1"/>
    <col min="14" max="14" width="11.83203125" style="11" bestFit="1" customWidth="1"/>
    <col min="15" max="16384" width="11" style="11"/>
  </cols>
  <sheetData>
    <row r="1" spans="1:12" ht="21" customHeight="1">
      <c r="A1" s="389" t="s">
        <v>203</v>
      </c>
      <c r="B1" s="389"/>
      <c r="C1" s="389"/>
      <c r="D1" s="389"/>
      <c r="E1" s="389"/>
      <c r="F1" s="389"/>
      <c r="G1" s="389"/>
      <c r="H1" s="389"/>
      <c r="I1" s="389"/>
      <c r="J1" s="389"/>
      <c r="K1" s="389"/>
    </row>
    <row r="2" spans="1:12" ht="16.5" customHeight="1">
      <c r="A2" s="389" t="s">
        <v>7</v>
      </c>
      <c r="B2" s="389"/>
      <c r="C2" s="389"/>
      <c r="D2" s="389"/>
      <c r="E2" s="389"/>
      <c r="F2" s="389"/>
      <c r="G2" s="389"/>
      <c r="H2" s="389"/>
      <c r="I2" s="389"/>
      <c r="J2" s="389"/>
      <c r="K2" s="389"/>
    </row>
    <row r="3" spans="1:12" ht="20.25" customHeight="1" thickBot="1">
      <c r="A3" s="390"/>
      <c r="B3" s="390"/>
      <c r="C3" s="390"/>
      <c r="D3" s="390"/>
      <c r="E3" s="390"/>
      <c r="F3" s="390"/>
      <c r="G3" s="390"/>
      <c r="H3" s="390"/>
      <c r="I3" s="390"/>
      <c r="J3" s="390"/>
      <c r="K3" s="390"/>
    </row>
    <row r="4" spans="1:12" ht="15.75" customHeight="1">
      <c r="A4" s="399" t="s">
        <v>287</v>
      </c>
      <c r="B4" s="402" t="s">
        <v>8</v>
      </c>
      <c r="C4" s="401" t="s">
        <v>289</v>
      </c>
      <c r="D4" s="397" t="s">
        <v>9</v>
      </c>
      <c r="E4" s="397" t="s">
        <v>58</v>
      </c>
      <c r="F4" s="397" t="s">
        <v>251</v>
      </c>
      <c r="G4" s="397" t="str">
        <f>IF('Summary Schedule'!C4="UESC", "PA Expenses ($)", "M&amp;V Expense ($) ")</f>
        <v xml:space="preserve">M&amp;V Expense ($) </v>
      </c>
      <c r="H4" s="397" t="s">
        <v>88</v>
      </c>
      <c r="I4" s="397" t="s">
        <v>1</v>
      </c>
      <c r="J4" s="395" t="s">
        <v>89</v>
      </c>
      <c r="K4" s="404" t="s">
        <v>90</v>
      </c>
    </row>
    <row r="5" spans="1:12" ht="18" customHeight="1" thickBot="1">
      <c r="A5" s="399"/>
      <c r="B5" s="402"/>
      <c r="C5" s="401"/>
      <c r="D5" s="397"/>
      <c r="E5" s="397"/>
      <c r="F5" s="397"/>
      <c r="G5" s="397"/>
      <c r="H5" s="398"/>
      <c r="I5" s="397"/>
      <c r="J5" s="396"/>
      <c r="K5" s="405" t="s">
        <v>206</v>
      </c>
    </row>
    <row r="6" spans="1:12" ht="26.25" customHeight="1">
      <c r="A6" s="399"/>
      <c r="B6" s="402"/>
      <c r="C6" s="401"/>
      <c r="D6" s="397"/>
      <c r="E6" s="397"/>
      <c r="F6" s="397"/>
      <c r="G6" s="397"/>
      <c r="H6" s="391" t="str">
        <f>IF(OR('Summary Schedule'!C4="UESC",'Summary Schedule'!C4="Direct-Funded"),"Implementation Cost (Direct)","Cost of Goods and Services (Base Construction)")</f>
        <v>Cost of Goods and Services (Base Construction)</v>
      </c>
      <c r="I6" s="391" t="str">
        <f>IF(OR('Summary Schedule'!C4="UESC", 'Summary Schedule'!C4="Direct-Funded"),"Mark-up (Overhead &amp; Profit)", "Project Implementation Delivery Charge*")</f>
        <v>Project Implementation Delivery Charge*</v>
      </c>
      <c r="J6" s="393" t="s">
        <v>32</v>
      </c>
      <c r="K6" s="406" t="s">
        <v>248</v>
      </c>
    </row>
    <row r="7" spans="1:12" ht="48" customHeight="1" thickBot="1">
      <c r="A7" s="400"/>
      <c r="B7" s="403"/>
      <c r="C7" s="382"/>
      <c r="D7" s="398"/>
      <c r="E7" s="398"/>
      <c r="F7" s="398"/>
      <c r="G7" s="398"/>
      <c r="H7" s="392"/>
      <c r="I7" s="392"/>
      <c r="J7" s="394"/>
      <c r="K7" s="407" t="s">
        <v>243</v>
      </c>
    </row>
    <row r="8" spans="1:12" ht="47.25" customHeight="1" thickBot="1">
      <c r="A8" s="409" t="str">
        <f>IF('Summary Schedule'!C4="Direct-Funded","", "Project Development Price (PDP)-Technical Energy Audit and Project Proposal")</f>
        <v>Project Development Price (PDP)-Technical Energy Audit and Project Proposal</v>
      </c>
      <c r="B8" s="410"/>
      <c r="C8" s="410"/>
      <c r="D8" s="410"/>
      <c r="E8" s="410"/>
      <c r="F8" s="410"/>
      <c r="G8" s="410"/>
      <c r="H8" s="410"/>
      <c r="I8" s="410"/>
      <c r="J8" s="411"/>
      <c r="K8" s="212"/>
    </row>
    <row r="9" spans="1:12" ht="51" customHeight="1" thickBot="1">
      <c r="A9" s="259"/>
      <c r="B9" s="137"/>
      <c r="C9" s="137"/>
      <c r="D9" s="116"/>
      <c r="E9" s="117"/>
      <c r="F9" s="117"/>
      <c r="G9" s="115"/>
      <c r="H9" s="115"/>
      <c r="I9" s="146"/>
      <c r="J9" s="115"/>
      <c r="K9" s="260" t="str">
        <f>IF((H9+I9-J9)=0, "", (H9+I9-J9))</f>
        <v/>
      </c>
      <c r="L9" s="82"/>
    </row>
    <row r="10" spans="1:12" ht="42" customHeight="1" thickBot="1">
      <c r="A10" s="259"/>
      <c r="B10" s="137"/>
      <c r="C10" s="137"/>
      <c r="D10" s="116"/>
      <c r="E10" s="117"/>
      <c r="F10" s="117"/>
      <c r="G10" s="115"/>
      <c r="H10" s="115"/>
      <c r="I10" s="146"/>
      <c r="J10" s="115"/>
      <c r="K10" s="260" t="str">
        <f t="shared" ref="K10:K73" si="0">IF((H10+I10-J10)=0, "", (H10+I10-J10))</f>
        <v/>
      </c>
      <c r="L10" s="83"/>
    </row>
    <row r="11" spans="1:12" ht="29.25" customHeight="1" thickBot="1">
      <c r="A11" s="259"/>
      <c r="B11" s="137"/>
      <c r="C11" s="137"/>
      <c r="D11" s="116"/>
      <c r="E11" s="117"/>
      <c r="F11" s="117"/>
      <c r="G11" s="115"/>
      <c r="H11" s="115"/>
      <c r="I11" s="146"/>
      <c r="J11" s="115"/>
      <c r="K11" s="260" t="str">
        <f t="shared" si="0"/>
        <v/>
      </c>
      <c r="L11" s="83"/>
    </row>
    <row r="12" spans="1:12" ht="29.25" customHeight="1" thickBot="1">
      <c r="A12" s="259"/>
      <c r="B12" s="137"/>
      <c r="C12" s="137"/>
      <c r="D12" s="116"/>
      <c r="E12" s="117"/>
      <c r="F12" s="117"/>
      <c r="G12" s="115"/>
      <c r="H12" s="115"/>
      <c r="I12" s="146"/>
      <c r="J12" s="115"/>
      <c r="K12" s="260" t="str">
        <f t="shared" si="0"/>
        <v/>
      </c>
      <c r="L12" s="83"/>
    </row>
    <row r="13" spans="1:12" ht="29.25" customHeight="1" thickBot="1">
      <c r="A13" s="259"/>
      <c r="B13" s="137"/>
      <c r="C13" s="137"/>
      <c r="D13" s="116"/>
      <c r="E13" s="117"/>
      <c r="F13" s="117"/>
      <c r="G13" s="115"/>
      <c r="H13" s="115"/>
      <c r="I13" s="146"/>
      <c r="J13" s="115"/>
      <c r="K13" s="260" t="str">
        <f t="shared" si="0"/>
        <v/>
      </c>
      <c r="L13" s="83"/>
    </row>
    <row r="14" spans="1:12" ht="29.25" customHeight="1" thickBot="1">
      <c r="A14" s="259"/>
      <c r="B14" s="137"/>
      <c r="C14" s="137"/>
      <c r="D14" s="116"/>
      <c r="E14" s="117"/>
      <c r="F14" s="117"/>
      <c r="G14" s="115"/>
      <c r="H14" s="115"/>
      <c r="I14" s="146"/>
      <c r="J14" s="115"/>
      <c r="K14" s="260" t="str">
        <f t="shared" si="0"/>
        <v/>
      </c>
      <c r="L14" s="83"/>
    </row>
    <row r="15" spans="1:12" ht="29.25" customHeight="1" thickBot="1">
      <c r="A15" s="120"/>
      <c r="B15" s="118"/>
      <c r="C15" s="118"/>
      <c r="D15" s="116"/>
      <c r="E15" s="117"/>
      <c r="F15" s="117"/>
      <c r="G15" s="115"/>
      <c r="H15" s="115"/>
      <c r="I15" s="138"/>
      <c r="J15" s="115"/>
      <c r="K15" s="260" t="str">
        <f t="shared" si="0"/>
        <v/>
      </c>
      <c r="L15" s="83"/>
    </row>
    <row r="16" spans="1:12" ht="29.25" customHeight="1" thickBot="1">
      <c r="A16" s="120"/>
      <c r="B16" s="118"/>
      <c r="C16" s="118"/>
      <c r="D16" s="116"/>
      <c r="E16" s="117"/>
      <c r="F16" s="117"/>
      <c r="G16" s="115"/>
      <c r="H16" s="115"/>
      <c r="I16" s="138"/>
      <c r="J16" s="115"/>
      <c r="K16" s="260" t="str">
        <f t="shared" si="0"/>
        <v/>
      </c>
      <c r="L16" s="83"/>
    </row>
    <row r="17" spans="1:12" ht="29.25" customHeight="1" thickBot="1">
      <c r="A17" s="120"/>
      <c r="B17" s="118"/>
      <c r="C17" s="118"/>
      <c r="D17" s="116"/>
      <c r="E17" s="117"/>
      <c r="F17" s="117"/>
      <c r="G17" s="115"/>
      <c r="H17" s="115"/>
      <c r="I17" s="138"/>
      <c r="J17" s="115"/>
      <c r="K17" s="260" t="str">
        <f t="shared" si="0"/>
        <v/>
      </c>
      <c r="L17" s="83"/>
    </row>
    <row r="18" spans="1:12" ht="29.25" customHeight="1" thickBot="1">
      <c r="A18" s="120"/>
      <c r="B18" s="118"/>
      <c r="C18" s="118"/>
      <c r="D18" s="116"/>
      <c r="E18" s="117"/>
      <c r="F18" s="117"/>
      <c r="G18" s="115"/>
      <c r="H18" s="115"/>
      <c r="I18" s="138"/>
      <c r="J18" s="115"/>
      <c r="K18" s="260" t="str">
        <f t="shared" si="0"/>
        <v/>
      </c>
      <c r="L18" s="83"/>
    </row>
    <row r="19" spans="1:12" ht="29.25" customHeight="1" thickBot="1">
      <c r="A19" s="120"/>
      <c r="B19" s="118"/>
      <c r="C19" s="118"/>
      <c r="D19" s="116"/>
      <c r="E19" s="117"/>
      <c r="F19" s="117"/>
      <c r="G19" s="115"/>
      <c r="H19" s="115"/>
      <c r="I19" s="138"/>
      <c r="J19" s="115"/>
      <c r="K19" s="260" t="str">
        <f t="shared" si="0"/>
        <v/>
      </c>
      <c r="L19" s="83"/>
    </row>
    <row r="20" spans="1:12" ht="29.25" customHeight="1" thickBot="1">
      <c r="A20" s="120"/>
      <c r="B20" s="118"/>
      <c r="C20" s="118"/>
      <c r="D20" s="116"/>
      <c r="E20" s="117"/>
      <c r="F20" s="117"/>
      <c r="G20" s="115"/>
      <c r="H20" s="115"/>
      <c r="I20" s="138"/>
      <c r="J20" s="115"/>
      <c r="K20" s="260" t="str">
        <f t="shared" si="0"/>
        <v/>
      </c>
      <c r="L20" s="83"/>
    </row>
    <row r="21" spans="1:12" ht="29.25" customHeight="1" thickBot="1">
      <c r="A21" s="120"/>
      <c r="B21" s="118"/>
      <c r="C21" s="118"/>
      <c r="D21" s="116"/>
      <c r="E21" s="117"/>
      <c r="F21" s="117"/>
      <c r="G21" s="115"/>
      <c r="H21" s="115"/>
      <c r="I21" s="138"/>
      <c r="J21" s="115"/>
      <c r="K21" s="260" t="str">
        <f t="shared" si="0"/>
        <v/>
      </c>
      <c r="L21" s="82"/>
    </row>
    <row r="22" spans="1:12" ht="29.25" customHeight="1" thickBot="1">
      <c r="A22" s="120"/>
      <c r="B22" s="118"/>
      <c r="C22" s="118"/>
      <c r="D22" s="116"/>
      <c r="E22" s="117"/>
      <c r="F22" s="117"/>
      <c r="G22" s="115"/>
      <c r="H22" s="115"/>
      <c r="I22" s="138"/>
      <c r="J22" s="115"/>
      <c r="K22" s="260" t="str">
        <f t="shared" si="0"/>
        <v/>
      </c>
      <c r="L22" s="82"/>
    </row>
    <row r="23" spans="1:12" ht="29.25" customHeight="1" thickBot="1">
      <c r="A23" s="120"/>
      <c r="B23" s="118"/>
      <c r="C23" s="118"/>
      <c r="D23" s="116"/>
      <c r="E23" s="117"/>
      <c r="F23" s="117"/>
      <c r="G23" s="115"/>
      <c r="H23" s="115"/>
      <c r="I23" s="138"/>
      <c r="J23" s="115"/>
      <c r="K23" s="260" t="str">
        <f t="shared" si="0"/>
        <v/>
      </c>
      <c r="L23" s="82"/>
    </row>
    <row r="24" spans="1:12" ht="29.25" customHeight="1" thickBot="1">
      <c r="A24" s="120"/>
      <c r="B24" s="118"/>
      <c r="C24" s="118"/>
      <c r="D24" s="116"/>
      <c r="E24" s="117"/>
      <c r="F24" s="117"/>
      <c r="G24" s="115"/>
      <c r="H24" s="115"/>
      <c r="I24" s="138"/>
      <c r="J24" s="115"/>
      <c r="K24" s="260" t="str">
        <f t="shared" si="0"/>
        <v/>
      </c>
      <c r="L24" s="82"/>
    </row>
    <row r="25" spans="1:12" ht="29.25" customHeight="1" thickBot="1">
      <c r="A25" s="120"/>
      <c r="B25" s="118"/>
      <c r="C25" s="118"/>
      <c r="D25" s="116"/>
      <c r="E25" s="117"/>
      <c r="F25" s="117"/>
      <c r="G25" s="115"/>
      <c r="H25" s="115"/>
      <c r="I25" s="138"/>
      <c r="J25" s="115"/>
      <c r="K25" s="260" t="str">
        <f t="shared" si="0"/>
        <v/>
      </c>
      <c r="L25" s="82"/>
    </row>
    <row r="26" spans="1:12" ht="29.25" customHeight="1" thickBot="1">
      <c r="A26" s="120"/>
      <c r="B26" s="118"/>
      <c r="C26" s="118"/>
      <c r="D26" s="116"/>
      <c r="E26" s="117"/>
      <c r="F26" s="117"/>
      <c r="G26" s="115"/>
      <c r="H26" s="115"/>
      <c r="I26" s="138"/>
      <c r="J26" s="115"/>
      <c r="K26" s="260" t="str">
        <f t="shared" si="0"/>
        <v/>
      </c>
      <c r="L26" s="82"/>
    </row>
    <row r="27" spans="1:12" ht="29.25" customHeight="1" thickBot="1">
      <c r="A27" s="120"/>
      <c r="B27" s="118"/>
      <c r="C27" s="118"/>
      <c r="D27" s="116"/>
      <c r="E27" s="117"/>
      <c r="F27" s="117"/>
      <c r="G27" s="115"/>
      <c r="H27" s="115"/>
      <c r="I27" s="138"/>
      <c r="J27" s="115"/>
      <c r="K27" s="260" t="str">
        <f t="shared" si="0"/>
        <v/>
      </c>
      <c r="L27" s="82"/>
    </row>
    <row r="28" spans="1:12" ht="29.25" customHeight="1" thickBot="1">
      <c r="A28" s="120"/>
      <c r="B28" s="118"/>
      <c r="C28" s="118"/>
      <c r="D28" s="116"/>
      <c r="E28" s="117"/>
      <c r="F28" s="117"/>
      <c r="G28" s="115"/>
      <c r="H28" s="115"/>
      <c r="I28" s="138"/>
      <c r="J28" s="115"/>
      <c r="K28" s="260" t="str">
        <f t="shared" si="0"/>
        <v/>
      </c>
      <c r="L28" s="82"/>
    </row>
    <row r="29" spans="1:12" ht="29.25" customHeight="1" thickBot="1">
      <c r="A29" s="120"/>
      <c r="B29" s="118"/>
      <c r="C29" s="118"/>
      <c r="D29" s="116"/>
      <c r="E29" s="117"/>
      <c r="F29" s="117"/>
      <c r="G29" s="115"/>
      <c r="H29" s="115"/>
      <c r="I29" s="138"/>
      <c r="J29" s="115"/>
      <c r="K29" s="260" t="str">
        <f t="shared" si="0"/>
        <v/>
      </c>
      <c r="L29" s="82"/>
    </row>
    <row r="30" spans="1:12" ht="29.25" customHeight="1" thickBot="1">
      <c r="A30" s="120"/>
      <c r="B30" s="118"/>
      <c r="C30" s="118"/>
      <c r="D30" s="116"/>
      <c r="E30" s="117"/>
      <c r="F30" s="117"/>
      <c r="G30" s="115"/>
      <c r="H30" s="115"/>
      <c r="I30" s="138"/>
      <c r="J30" s="115"/>
      <c r="K30" s="260" t="str">
        <f t="shared" si="0"/>
        <v/>
      </c>
      <c r="L30" s="82"/>
    </row>
    <row r="31" spans="1:12" ht="29.25" customHeight="1" thickBot="1">
      <c r="A31" s="120"/>
      <c r="B31" s="118"/>
      <c r="C31" s="118"/>
      <c r="D31" s="116"/>
      <c r="E31" s="117"/>
      <c r="F31" s="117"/>
      <c r="G31" s="115"/>
      <c r="H31" s="115"/>
      <c r="I31" s="138"/>
      <c r="J31" s="115"/>
      <c r="K31" s="260" t="str">
        <f t="shared" si="0"/>
        <v/>
      </c>
      <c r="L31" s="82"/>
    </row>
    <row r="32" spans="1:12" ht="29.25" customHeight="1" thickBot="1">
      <c r="A32" s="120"/>
      <c r="B32" s="118"/>
      <c r="C32" s="118"/>
      <c r="D32" s="116"/>
      <c r="E32" s="117"/>
      <c r="F32" s="117"/>
      <c r="G32" s="115"/>
      <c r="H32" s="115"/>
      <c r="I32" s="138"/>
      <c r="J32" s="115"/>
      <c r="K32" s="260" t="str">
        <f t="shared" si="0"/>
        <v/>
      </c>
      <c r="L32" s="82"/>
    </row>
    <row r="33" spans="1:12" ht="29.25" customHeight="1" thickBot="1">
      <c r="A33" s="120"/>
      <c r="B33" s="118"/>
      <c r="C33" s="118"/>
      <c r="D33" s="116"/>
      <c r="E33" s="117"/>
      <c r="F33" s="117"/>
      <c r="G33" s="115"/>
      <c r="H33" s="115"/>
      <c r="I33" s="138"/>
      <c r="J33" s="115"/>
      <c r="K33" s="260" t="str">
        <f t="shared" si="0"/>
        <v/>
      </c>
      <c r="L33" s="82"/>
    </row>
    <row r="34" spans="1:12" ht="29.25" customHeight="1" thickBot="1">
      <c r="A34" s="120"/>
      <c r="B34" s="118"/>
      <c r="C34" s="118"/>
      <c r="D34" s="116"/>
      <c r="E34" s="117"/>
      <c r="F34" s="117"/>
      <c r="G34" s="115"/>
      <c r="H34" s="115"/>
      <c r="I34" s="138"/>
      <c r="J34" s="115"/>
      <c r="K34" s="260" t="str">
        <f t="shared" si="0"/>
        <v/>
      </c>
      <c r="L34" s="82"/>
    </row>
    <row r="35" spans="1:12" ht="29.25" customHeight="1" thickBot="1">
      <c r="A35" s="120"/>
      <c r="B35" s="118"/>
      <c r="C35" s="118"/>
      <c r="D35" s="116"/>
      <c r="E35" s="117"/>
      <c r="F35" s="117"/>
      <c r="G35" s="115"/>
      <c r="H35" s="115"/>
      <c r="I35" s="138"/>
      <c r="J35" s="115"/>
      <c r="K35" s="260" t="str">
        <f t="shared" si="0"/>
        <v/>
      </c>
      <c r="L35" s="82"/>
    </row>
    <row r="36" spans="1:12" ht="29.25" customHeight="1" thickBot="1">
      <c r="A36" s="120"/>
      <c r="B36" s="118"/>
      <c r="C36" s="118"/>
      <c r="D36" s="116"/>
      <c r="E36" s="117"/>
      <c r="F36" s="117"/>
      <c r="G36" s="115"/>
      <c r="H36" s="115"/>
      <c r="I36" s="138"/>
      <c r="J36" s="115"/>
      <c r="K36" s="260" t="str">
        <f t="shared" si="0"/>
        <v/>
      </c>
      <c r="L36" s="82"/>
    </row>
    <row r="37" spans="1:12" ht="29.25" customHeight="1" thickBot="1">
      <c r="A37" s="120"/>
      <c r="B37" s="118"/>
      <c r="C37" s="118"/>
      <c r="D37" s="116"/>
      <c r="E37" s="117"/>
      <c r="F37" s="117"/>
      <c r="G37" s="115"/>
      <c r="H37" s="115"/>
      <c r="I37" s="138"/>
      <c r="J37" s="115"/>
      <c r="K37" s="260" t="str">
        <f t="shared" si="0"/>
        <v/>
      </c>
      <c r="L37" s="82"/>
    </row>
    <row r="38" spans="1:12" ht="29.25" customHeight="1" thickBot="1">
      <c r="A38" s="120"/>
      <c r="B38" s="118"/>
      <c r="C38" s="118"/>
      <c r="D38" s="116"/>
      <c r="E38" s="117"/>
      <c r="F38" s="117"/>
      <c r="G38" s="115"/>
      <c r="H38" s="115"/>
      <c r="I38" s="138"/>
      <c r="J38" s="115"/>
      <c r="K38" s="260" t="str">
        <f t="shared" si="0"/>
        <v/>
      </c>
      <c r="L38" s="82"/>
    </row>
    <row r="39" spans="1:12" ht="29.25" customHeight="1" thickBot="1">
      <c r="A39" s="120"/>
      <c r="B39" s="118"/>
      <c r="C39" s="118"/>
      <c r="D39" s="116"/>
      <c r="E39" s="117"/>
      <c r="F39" s="117"/>
      <c r="G39" s="115"/>
      <c r="H39" s="115"/>
      <c r="I39" s="138"/>
      <c r="J39" s="115"/>
      <c r="K39" s="260" t="str">
        <f t="shared" si="0"/>
        <v/>
      </c>
      <c r="L39" s="82"/>
    </row>
    <row r="40" spans="1:12" ht="29.25" customHeight="1" thickBot="1">
      <c r="A40" s="120"/>
      <c r="B40" s="118"/>
      <c r="C40" s="118"/>
      <c r="D40" s="116"/>
      <c r="E40" s="117"/>
      <c r="F40" s="117"/>
      <c r="G40" s="115"/>
      <c r="H40" s="115"/>
      <c r="I40" s="138"/>
      <c r="J40" s="115"/>
      <c r="K40" s="260" t="str">
        <f t="shared" si="0"/>
        <v/>
      </c>
      <c r="L40" s="82"/>
    </row>
    <row r="41" spans="1:12" ht="29.25" customHeight="1" thickBot="1">
      <c r="A41" s="120"/>
      <c r="B41" s="118"/>
      <c r="C41" s="118"/>
      <c r="D41" s="116"/>
      <c r="E41" s="117"/>
      <c r="F41" s="117"/>
      <c r="G41" s="115"/>
      <c r="H41" s="115"/>
      <c r="I41" s="138"/>
      <c r="J41" s="115"/>
      <c r="K41" s="260" t="str">
        <f t="shared" si="0"/>
        <v/>
      </c>
      <c r="L41" s="82"/>
    </row>
    <row r="42" spans="1:12" ht="29.25" customHeight="1" thickBot="1">
      <c r="A42" s="120"/>
      <c r="B42" s="118"/>
      <c r="C42" s="118"/>
      <c r="D42" s="116"/>
      <c r="E42" s="117"/>
      <c r="F42" s="117"/>
      <c r="G42" s="115"/>
      <c r="H42" s="115"/>
      <c r="I42" s="138"/>
      <c r="J42" s="115"/>
      <c r="K42" s="260" t="str">
        <f t="shared" si="0"/>
        <v/>
      </c>
      <c r="L42" s="82"/>
    </row>
    <row r="43" spans="1:12" ht="29.25" customHeight="1" thickBot="1">
      <c r="A43" s="120"/>
      <c r="B43" s="118"/>
      <c r="C43" s="118"/>
      <c r="D43" s="116"/>
      <c r="E43" s="117"/>
      <c r="F43" s="117"/>
      <c r="G43" s="115"/>
      <c r="H43" s="115"/>
      <c r="I43" s="138"/>
      <c r="J43" s="115"/>
      <c r="K43" s="260" t="str">
        <f t="shared" si="0"/>
        <v/>
      </c>
      <c r="L43" s="82"/>
    </row>
    <row r="44" spans="1:12" ht="29.25" customHeight="1" thickBot="1">
      <c r="A44" s="120"/>
      <c r="B44" s="118"/>
      <c r="C44" s="118"/>
      <c r="D44" s="116"/>
      <c r="E44" s="117"/>
      <c r="F44" s="117"/>
      <c r="G44" s="115"/>
      <c r="H44" s="115"/>
      <c r="I44" s="138"/>
      <c r="J44" s="115"/>
      <c r="K44" s="260" t="str">
        <f t="shared" si="0"/>
        <v/>
      </c>
      <c r="L44" s="82"/>
    </row>
    <row r="45" spans="1:12" ht="29.25" customHeight="1" thickBot="1">
      <c r="A45" s="120"/>
      <c r="B45" s="118"/>
      <c r="C45" s="118"/>
      <c r="D45" s="116"/>
      <c r="E45" s="117"/>
      <c r="F45" s="117"/>
      <c r="G45" s="115"/>
      <c r="H45" s="115"/>
      <c r="I45" s="138"/>
      <c r="J45" s="115"/>
      <c r="K45" s="260" t="str">
        <f t="shared" si="0"/>
        <v/>
      </c>
      <c r="L45" s="82"/>
    </row>
    <row r="46" spans="1:12" ht="29.25" customHeight="1" thickBot="1">
      <c r="A46" s="120"/>
      <c r="B46" s="118"/>
      <c r="C46" s="118"/>
      <c r="D46" s="116"/>
      <c r="E46" s="117"/>
      <c r="F46" s="117"/>
      <c r="G46" s="115"/>
      <c r="H46" s="115"/>
      <c r="I46" s="138"/>
      <c r="J46" s="115"/>
      <c r="K46" s="260" t="str">
        <f t="shared" si="0"/>
        <v/>
      </c>
      <c r="L46" s="82"/>
    </row>
    <row r="47" spans="1:12" ht="29.25" customHeight="1" thickBot="1">
      <c r="A47" s="120"/>
      <c r="B47" s="118"/>
      <c r="C47" s="118"/>
      <c r="D47" s="116"/>
      <c r="E47" s="117"/>
      <c r="F47" s="117"/>
      <c r="G47" s="115"/>
      <c r="H47" s="115"/>
      <c r="I47" s="138"/>
      <c r="J47" s="115"/>
      <c r="K47" s="260" t="str">
        <f t="shared" si="0"/>
        <v/>
      </c>
      <c r="L47" s="82"/>
    </row>
    <row r="48" spans="1:12" ht="29.25" customHeight="1" thickBot="1">
      <c r="A48" s="120"/>
      <c r="B48" s="118"/>
      <c r="C48" s="118"/>
      <c r="D48" s="116"/>
      <c r="E48" s="117"/>
      <c r="F48" s="117"/>
      <c r="G48" s="115"/>
      <c r="H48" s="115"/>
      <c r="I48" s="138"/>
      <c r="J48" s="115"/>
      <c r="K48" s="260" t="str">
        <f t="shared" si="0"/>
        <v/>
      </c>
      <c r="L48" s="82"/>
    </row>
    <row r="49" spans="1:12" ht="29.25" customHeight="1" thickBot="1">
      <c r="A49" s="120"/>
      <c r="B49" s="118"/>
      <c r="C49" s="118"/>
      <c r="D49" s="116"/>
      <c r="E49" s="117"/>
      <c r="F49" s="117"/>
      <c r="G49" s="115"/>
      <c r="H49" s="115"/>
      <c r="I49" s="138"/>
      <c r="J49" s="115"/>
      <c r="K49" s="260" t="str">
        <f t="shared" si="0"/>
        <v/>
      </c>
      <c r="L49" s="82"/>
    </row>
    <row r="50" spans="1:12" ht="29.25" customHeight="1" thickBot="1">
      <c r="A50" s="120"/>
      <c r="B50" s="118"/>
      <c r="C50" s="118"/>
      <c r="D50" s="116"/>
      <c r="E50" s="117"/>
      <c r="F50" s="117"/>
      <c r="G50" s="115"/>
      <c r="H50" s="115"/>
      <c r="I50" s="138"/>
      <c r="J50" s="115"/>
      <c r="K50" s="260" t="str">
        <f t="shared" si="0"/>
        <v/>
      </c>
      <c r="L50" s="82"/>
    </row>
    <row r="51" spans="1:12" ht="29.25" customHeight="1" thickBot="1">
      <c r="A51" s="120"/>
      <c r="B51" s="118"/>
      <c r="C51" s="118"/>
      <c r="D51" s="116"/>
      <c r="E51" s="117"/>
      <c r="F51" s="117"/>
      <c r="G51" s="115"/>
      <c r="H51" s="115"/>
      <c r="I51" s="138"/>
      <c r="J51" s="115"/>
      <c r="K51" s="260" t="str">
        <f t="shared" si="0"/>
        <v/>
      </c>
      <c r="L51" s="82"/>
    </row>
    <row r="52" spans="1:12" ht="29.25" customHeight="1" thickBot="1">
      <c r="A52" s="120"/>
      <c r="B52" s="118"/>
      <c r="C52" s="118"/>
      <c r="D52" s="116"/>
      <c r="E52" s="117"/>
      <c r="F52" s="117"/>
      <c r="G52" s="115"/>
      <c r="H52" s="115"/>
      <c r="I52" s="138"/>
      <c r="J52" s="115"/>
      <c r="K52" s="260" t="str">
        <f t="shared" si="0"/>
        <v/>
      </c>
      <c r="L52" s="82"/>
    </row>
    <row r="53" spans="1:12" ht="29.25" customHeight="1" thickBot="1">
      <c r="A53" s="120"/>
      <c r="B53" s="118"/>
      <c r="C53" s="118"/>
      <c r="D53" s="116"/>
      <c r="E53" s="117"/>
      <c r="F53" s="117"/>
      <c r="G53" s="115"/>
      <c r="H53" s="115"/>
      <c r="I53" s="138"/>
      <c r="J53" s="115"/>
      <c r="K53" s="260" t="str">
        <f t="shared" si="0"/>
        <v/>
      </c>
      <c r="L53" s="82"/>
    </row>
    <row r="54" spans="1:12" ht="29.25" customHeight="1" thickBot="1">
      <c r="A54" s="120"/>
      <c r="B54" s="118"/>
      <c r="C54" s="118"/>
      <c r="D54" s="116"/>
      <c r="E54" s="117"/>
      <c r="F54" s="117"/>
      <c r="G54" s="115"/>
      <c r="H54" s="115"/>
      <c r="I54" s="138"/>
      <c r="J54" s="115"/>
      <c r="K54" s="260" t="str">
        <f t="shared" si="0"/>
        <v/>
      </c>
      <c r="L54" s="82"/>
    </row>
    <row r="55" spans="1:12" ht="29.25" customHeight="1" thickBot="1">
      <c r="A55" s="120"/>
      <c r="B55" s="118"/>
      <c r="C55" s="118"/>
      <c r="D55" s="116"/>
      <c r="E55" s="117"/>
      <c r="F55" s="117"/>
      <c r="G55" s="115"/>
      <c r="H55" s="115"/>
      <c r="I55" s="138"/>
      <c r="J55" s="115"/>
      <c r="K55" s="260" t="str">
        <f t="shared" si="0"/>
        <v/>
      </c>
      <c r="L55" s="82"/>
    </row>
    <row r="56" spans="1:12" ht="29.25" customHeight="1" thickBot="1">
      <c r="A56" s="120"/>
      <c r="B56" s="118"/>
      <c r="C56" s="118"/>
      <c r="D56" s="116"/>
      <c r="E56" s="117"/>
      <c r="F56" s="117"/>
      <c r="G56" s="115"/>
      <c r="H56" s="115"/>
      <c r="I56" s="138"/>
      <c r="J56" s="115"/>
      <c r="K56" s="260" t="str">
        <f t="shared" si="0"/>
        <v/>
      </c>
      <c r="L56" s="82"/>
    </row>
    <row r="57" spans="1:12" ht="29.25" customHeight="1" thickBot="1">
      <c r="A57" s="120"/>
      <c r="B57" s="118"/>
      <c r="C57" s="118"/>
      <c r="D57" s="116"/>
      <c r="E57" s="117"/>
      <c r="F57" s="117"/>
      <c r="G57" s="115"/>
      <c r="H57" s="115"/>
      <c r="I57" s="138"/>
      <c r="J57" s="115"/>
      <c r="K57" s="260" t="str">
        <f t="shared" si="0"/>
        <v/>
      </c>
      <c r="L57" s="82"/>
    </row>
    <row r="58" spans="1:12" ht="29.25" customHeight="1" thickBot="1">
      <c r="A58" s="120"/>
      <c r="B58" s="118"/>
      <c r="C58" s="118"/>
      <c r="D58" s="116"/>
      <c r="E58" s="117"/>
      <c r="F58" s="117"/>
      <c r="G58" s="115"/>
      <c r="H58" s="115"/>
      <c r="I58" s="138"/>
      <c r="J58" s="115"/>
      <c r="K58" s="260" t="str">
        <f t="shared" si="0"/>
        <v/>
      </c>
      <c r="L58" s="82"/>
    </row>
    <row r="59" spans="1:12" ht="29.25" customHeight="1" thickBot="1">
      <c r="A59" s="120"/>
      <c r="B59" s="118"/>
      <c r="C59" s="118"/>
      <c r="D59" s="116"/>
      <c r="E59" s="117"/>
      <c r="F59" s="117"/>
      <c r="G59" s="115"/>
      <c r="H59" s="115"/>
      <c r="I59" s="138"/>
      <c r="J59" s="115"/>
      <c r="K59" s="260" t="str">
        <f t="shared" si="0"/>
        <v/>
      </c>
      <c r="L59" s="82"/>
    </row>
    <row r="60" spans="1:12" ht="29.25" customHeight="1" thickBot="1">
      <c r="A60" s="120"/>
      <c r="B60" s="118"/>
      <c r="C60" s="118"/>
      <c r="D60" s="116"/>
      <c r="E60" s="117"/>
      <c r="F60" s="117"/>
      <c r="G60" s="115"/>
      <c r="H60" s="115"/>
      <c r="I60" s="138"/>
      <c r="J60" s="115"/>
      <c r="K60" s="260" t="str">
        <f t="shared" si="0"/>
        <v/>
      </c>
      <c r="L60" s="82"/>
    </row>
    <row r="61" spans="1:12" ht="29.25" customHeight="1" thickBot="1">
      <c r="A61" s="120"/>
      <c r="B61" s="118"/>
      <c r="C61" s="118"/>
      <c r="D61" s="116"/>
      <c r="E61" s="117"/>
      <c r="F61" s="117"/>
      <c r="G61" s="115"/>
      <c r="H61" s="115"/>
      <c r="I61" s="138"/>
      <c r="J61" s="115"/>
      <c r="K61" s="260" t="str">
        <f t="shared" si="0"/>
        <v/>
      </c>
      <c r="L61" s="82"/>
    </row>
    <row r="62" spans="1:12" ht="29.25" customHeight="1" thickBot="1">
      <c r="A62" s="120"/>
      <c r="B62" s="118"/>
      <c r="C62" s="118"/>
      <c r="D62" s="116"/>
      <c r="E62" s="117"/>
      <c r="F62" s="117"/>
      <c r="G62" s="115"/>
      <c r="H62" s="115"/>
      <c r="I62" s="138"/>
      <c r="J62" s="115"/>
      <c r="K62" s="260" t="str">
        <f t="shared" si="0"/>
        <v/>
      </c>
      <c r="L62" s="82"/>
    </row>
    <row r="63" spans="1:12" ht="29.25" customHeight="1" thickBot="1">
      <c r="A63" s="120"/>
      <c r="B63" s="118"/>
      <c r="C63" s="118"/>
      <c r="D63" s="116"/>
      <c r="E63" s="117"/>
      <c r="F63" s="117"/>
      <c r="G63" s="115"/>
      <c r="H63" s="115"/>
      <c r="I63" s="138"/>
      <c r="J63" s="115"/>
      <c r="K63" s="260" t="str">
        <f t="shared" si="0"/>
        <v/>
      </c>
      <c r="L63" s="82"/>
    </row>
    <row r="64" spans="1:12" ht="29.25" customHeight="1" thickBot="1">
      <c r="A64" s="120"/>
      <c r="B64" s="118"/>
      <c r="C64" s="118"/>
      <c r="D64" s="116"/>
      <c r="E64" s="117"/>
      <c r="F64" s="117"/>
      <c r="G64" s="115"/>
      <c r="H64" s="115"/>
      <c r="I64" s="138"/>
      <c r="J64" s="115"/>
      <c r="K64" s="260" t="str">
        <f t="shared" si="0"/>
        <v/>
      </c>
      <c r="L64" s="82"/>
    </row>
    <row r="65" spans="1:12" ht="29.25" customHeight="1" thickBot="1">
      <c r="A65" s="120"/>
      <c r="B65" s="118"/>
      <c r="C65" s="118"/>
      <c r="D65" s="116"/>
      <c r="E65" s="117"/>
      <c r="F65" s="117"/>
      <c r="G65" s="115"/>
      <c r="H65" s="115"/>
      <c r="I65" s="138"/>
      <c r="J65" s="115"/>
      <c r="K65" s="260" t="str">
        <f t="shared" si="0"/>
        <v/>
      </c>
      <c r="L65" s="82"/>
    </row>
    <row r="66" spans="1:12" ht="29.25" customHeight="1" thickBot="1">
      <c r="A66" s="120"/>
      <c r="B66" s="118"/>
      <c r="C66" s="118"/>
      <c r="D66" s="116"/>
      <c r="E66" s="117"/>
      <c r="F66" s="117"/>
      <c r="G66" s="115"/>
      <c r="H66" s="115"/>
      <c r="I66" s="138"/>
      <c r="J66" s="115"/>
      <c r="K66" s="260" t="str">
        <f t="shared" si="0"/>
        <v/>
      </c>
      <c r="L66" s="82"/>
    </row>
    <row r="67" spans="1:12" ht="29.25" customHeight="1" thickBot="1">
      <c r="A67" s="120"/>
      <c r="B67" s="118"/>
      <c r="C67" s="118"/>
      <c r="D67" s="116"/>
      <c r="E67" s="117"/>
      <c r="F67" s="117"/>
      <c r="G67" s="115"/>
      <c r="H67" s="115"/>
      <c r="I67" s="138"/>
      <c r="J67" s="115"/>
      <c r="K67" s="260" t="str">
        <f t="shared" si="0"/>
        <v/>
      </c>
      <c r="L67" s="82"/>
    </row>
    <row r="68" spans="1:12" ht="29.25" customHeight="1" thickBot="1">
      <c r="A68" s="120"/>
      <c r="B68" s="118"/>
      <c r="C68" s="118"/>
      <c r="D68" s="116"/>
      <c r="E68" s="117"/>
      <c r="F68" s="117"/>
      <c r="G68" s="115"/>
      <c r="H68" s="115"/>
      <c r="I68" s="138"/>
      <c r="J68" s="115"/>
      <c r="K68" s="260" t="str">
        <f t="shared" si="0"/>
        <v/>
      </c>
      <c r="L68" s="82"/>
    </row>
    <row r="69" spans="1:12" ht="29.25" customHeight="1" thickBot="1">
      <c r="A69" s="120"/>
      <c r="B69" s="118"/>
      <c r="C69" s="118"/>
      <c r="D69" s="116"/>
      <c r="E69" s="117"/>
      <c r="F69" s="117"/>
      <c r="G69" s="115"/>
      <c r="H69" s="115"/>
      <c r="I69" s="138"/>
      <c r="J69" s="115"/>
      <c r="K69" s="260" t="str">
        <f t="shared" si="0"/>
        <v/>
      </c>
      <c r="L69" s="82"/>
    </row>
    <row r="70" spans="1:12" ht="29.25" customHeight="1" thickBot="1">
      <c r="A70" s="120"/>
      <c r="B70" s="118"/>
      <c r="C70" s="118"/>
      <c r="D70" s="116"/>
      <c r="E70" s="117"/>
      <c r="F70" s="117"/>
      <c r="G70" s="115"/>
      <c r="H70" s="115"/>
      <c r="I70" s="138"/>
      <c r="J70" s="115"/>
      <c r="K70" s="260" t="str">
        <f t="shared" si="0"/>
        <v/>
      </c>
      <c r="L70" s="82"/>
    </row>
    <row r="71" spans="1:12" ht="29.25" customHeight="1" thickBot="1">
      <c r="A71" s="120"/>
      <c r="B71" s="118"/>
      <c r="C71" s="118"/>
      <c r="D71" s="116"/>
      <c r="E71" s="117"/>
      <c r="F71" s="117"/>
      <c r="G71" s="115"/>
      <c r="H71" s="115"/>
      <c r="I71" s="138"/>
      <c r="J71" s="115"/>
      <c r="K71" s="260" t="str">
        <f t="shared" si="0"/>
        <v/>
      </c>
      <c r="L71" s="82"/>
    </row>
    <row r="72" spans="1:12" ht="29.25" customHeight="1" thickBot="1">
      <c r="A72" s="120"/>
      <c r="B72" s="118"/>
      <c r="C72" s="118"/>
      <c r="D72" s="116"/>
      <c r="E72" s="117"/>
      <c r="F72" s="117"/>
      <c r="G72" s="115"/>
      <c r="H72" s="115"/>
      <c r="I72" s="138"/>
      <c r="J72" s="115"/>
      <c r="K72" s="260" t="str">
        <f t="shared" si="0"/>
        <v/>
      </c>
      <c r="L72" s="82"/>
    </row>
    <row r="73" spans="1:12" ht="29.25" customHeight="1" thickBot="1">
      <c r="A73" s="120"/>
      <c r="B73" s="118"/>
      <c r="C73" s="118"/>
      <c r="D73" s="116"/>
      <c r="E73" s="117"/>
      <c r="F73" s="117"/>
      <c r="G73" s="115"/>
      <c r="H73" s="115"/>
      <c r="I73" s="138"/>
      <c r="J73" s="115"/>
      <c r="K73" s="260" t="str">
        <f t="shared" si="0"/>
        <v/>
      </c>
      <c r="L73" s="82"/>
    </row>
    <row r="74" spans="1:12" ht="29.25" customHeight="1" thickBot="1">
      <c r="A74" s="120"/>
      <c r="B74" s="118"/>
      <c r="C74" s="118"/>
      <c r="D74" s="116"/>
      <c r="E74" s="117"/>
      <c r="F74" s="117"/>
      <c r="G74" s="115"/>
      <c r="H74" s="115"/>
      <c r="I74" s="138"/>
      <c r="J74" s="115"/>
      <c r="K74" s="260" t="str">
        <f t="shared" ref="K74:K137" si="1">IF((H74+I74-J74)=0, "", (H74+I74-J74))</f>
        <v/>
      </c>
      <c r="L74" s="82"/>
    </row>
    <row r="75" spans="1:12" ht="29.25" customHeight="1" thickBot="1">
      <c r="A75" s="120"/>
      <c r="B75" s="118"/>
      <c r="C75" s="118"/>
      <c r="D75" s="116"/>
      <c r="E75" s="117"/>
      <c r="F75" s="117"/>
      <c r="G75" s="115"/>
      <c r="H75" s="115"/>
      <c r="I75" s="138"/>
      <c r="J75" s="115"/>
      <c r="K75" s="260" t="str">
        <f t="shared" si="1"/>
        <v/>
      </c>
      <c r="L75" s="82"/>
    </row>
    <row r="76" spans="1:12" ht="29.25" customHeight="1" thickBot="1">
      <c r="A76" s="120"/>
      <c r="B76" s="118"/>
      <c r="C76" s="118"/>
      <c r="D76" s="116"/>
      <c r="E76" s="117"/>
      <c r="F76" s="117"/>
      <c r="G76" s="115"/>
      <c r="H76" s="115"/>
      <c r="I76" s="138"/>
      <c r="J76" s="115"/>
      <c r="K76" s="260" t="str">
        <f t="shared" si="1"/>
        <v/>
      </c>
      <c r="L76" s="82"/>
    </row>
    <row r="77" spans="1:12" ht="29.25" customHeight="1" thickBot="1">
      <c r="A77" s="120"/>
      <c r="B77" s="118"/>
      <c r="C77" s="118"/>
      <c r="D77" s="116"/>
      <c r="E77" s="117"/>
      <c r="F77" s="117"/>
      <c r="G77" s="115"/>
      <c r="H77" s="115"/>
      <c r="I77" s="138"/>
      <c r="J77" s="115"/>
      <c r="K77" s="260" t="str">
        <f t="shared" si="1"/>
        <v/>
      </c>
      <c r="L77" s="82"/>
    </row>
    <row r="78" spans="1:12" ht="29.25" customHeight="1" thickBot="1">
      <c r="A78" s="120"/>
      <c r="B78" s="118"/>
      <c r="C78" s="118"/>
      <c r="D78" s="116"/>
      <c r="E78" s="117"/>
      <c r="F78" s="117"/>
      <c r="G78" s="115"/>
      <c r="H78" s="115"/>
      <c r="I78" s="138"/>
      <c r="J78" s="115"/>
      <c r="K78" s="260" t="str">
        <f t="shared" si="1"/>
        <v/>
      </c>
      <c r="L78" s="82"/>
    </row>
    <row r="79" spans="1:12" ht="29.25" customHeight="1" thickBot="1">
      <c r="A79" s="120"/>
      <c r="B79" s="118"/>
      <c r="C79" s="118"/>
      <c r="D79" s="116"/>
      <c r="E79" s="117"/>
      <c r="F79" s="117"/>
      <c r="G79" s="115"/>
      <c r="H79" s="115"/>
      <c r="I79" s="138"/>
      <c r="J79" s="115"/>
      <c r="K79" s="260" t="str">
        <f t="shared" si="1"/>
        <v/>
      </c>
      <c r="L79" s="82"/>
    </row>
    <row r="80" spans="1:12" ht="29.25" customHeight="1" thickBot="1">
      <c r="A80" s="120"/>
      <c r="B80" s="118"/>
      <c r="C80" s="118"/>
      <c r="D80" s="116"/>
      <c r="E80" s="117"/>
      <c r="F80" s="117"/>
      <c r="G80" s="115"/>
      <c r="H80" s="115"/>
      <c r="I80" s="138"/>
      <c r="J80" s="115"/>
      <c r="K80" s="260" t="str">
        <f t="shared" si="1"/>
        <v/>
      </c>
      <c r="L80" s="82"/>
    </row>
    <row r="81" spans="1:12" ht="29.25" customHeight="1" thickBot="1">
      <c r="A81" s="120"/>
      <c r="B81" s="118"/>
      <c r="C81" s="118"/>
      <c r="D81" s="116"/>
      <c r="E81" s="117"/>
      <c r="F81" s="117"/>
      <c r="G81" s="115"/>
      <c r="H81" s="115"/>
      <c r="I81" s="138"/>
      <c r="J81" s="115"/>
      <c r="K81" s="260" t="str">
        <f t="shared" si="1"/>
        <v/>
      </c>
      <c r="L81" s="82"/>
    </row>
    <row r="82" spans="1:12" ht="29.25" customHeight="1" thickBot="1">
      <c r="A82" s="120"/>
      <c r="B82" s="118"/>
      <c r="C82" s="118"/>
      <c r="D82" s="116"/>
      <c r="E82" s="117"/>
      <c r="F82" s="117"/>
      <c r="G82" s="115"/>
      <c r="H82" s="115"/>
      <c r="I82" s="138"/>
      <c r="J82" s="115"/>
      <c r="K82" s="260" t="str">
        <f t="shared" si="1"/>
        <v/>
      </c>
      <c r="L82" s="82"/>
    </row>
    <row r="83" spans="1:12" ht="29.25" customHeight="1" thickBot="1">
      <c r="A83" s="120"/>
      <c r="B83" s="118"/>
      <c r="C83" s="118"/>
      <c r="D83" s="116"/>
      <c r="E83" s="117"/>
      <c r="F83" s="117"/>
      <c r="G83" s="115"/>
      <c r="H83" s="115"/>
      <c r="I83" s="138"/>
      <c r="J83" s="115"/>
      <c r="K83" s="260" t="str">
        <f t="shared" si="1"/>
        <v/>
      </c>
      <c r="L83" s="82"/>
    </row>
    <row r="84" spans="1:12" ht="29.25" customHeight="1" thickBot="1">
      <c r="A84" s="120"/>
      <c r="B84" s="118"/>
      <c r="C84" s="118"/>
      <c r="D84" s="116"/>
      <c r="E84" s="117"/>
      <c r="F84" s="117"/>
      <c r="G84" s="115"/>
      <c r="H84" s="115"/>
      <c r="I84" s="138"/>
      <c r="J84" s="115"/>
      <c r="K84" s="260" t="str">
        <f t="shared" si="1"/>
        <v/>
      </c>
      <c r="L84" s="82"/>
    </row>
    <row r="85" spans="1:12" ht="29.25" customHeight="1" thickBot="1">
      <c r="A85" s="120"/>
      <c r="B85" s="118"/>
      <c r="C85" s="118"/>
      <c r="D85" s="116"/>
      <c r="E85" s="117"/>
      <c r="F85" s="117"/>
      <c r="G85" s="115"/>
      <c r="H85" s="115"/>
      <c r="I85" s="138"/>
      <c r="J85" s="115"/>
      <c r="K85" s="260" t="str">
        <f t="shared" si="1"/>
        <v/>
      </c>
      <c r="L85" s="82"/>
    </row>
    <row r="86" spans="1:12" ht="29.25" customHeight="1" thickBot="1">
      <c r="A86" s="120"/>
      <c r="B86" s="118"/>
      <c r="C86" s="118"/>
      <c r="D86" s="116"/>
      <c r="E86" s="117"/>
      <c r="F86" s="117"/>
      <c r="G86" s="115"/>
      <c r="H86" s="115"/>
      <c r="I86" s="138"/>
      <c r="J86" s="115"/>
      <c r="K86" s="260" t="str">
        <f t="shared" si="1"/>
        <v/>
      </c>
      <c r="L86" s="82"/>
    </row>
    <row r="87" spans="1:12" ht="29.25" customHeight="1" thickBot="1">
      <c r="A87" s="120"/>
      <c r="B87" s="118"/>
      <c r="C87" s="118"/>
      <c r="D87" s="116"/>
      <c r="E87" s="117"/>
      <c r="F87" s="117"/>
      <c r="G87" s="115"/>
      <c r="H87" s="115"/>
      <c r="I87" s="138"/>
      <c r="J87" s="115"/>
      <c r="K87" s="260" t="str">
        <f t="shared" si="1"/>
        <v/>
      </c>
      <c r="L87" s="82"/>
    </row>
    <row r="88" spans="1:12" ht="29.25" customHeight="1" thickBot="1">
      <c r="A88" s="120"/>
      <c r="B88" s="118"/>
      <c r="C88" s="118"/>
      <c r="D88" s="116"/>
      <c r="E88" s="117"/>
      <c r="F88" s="117"/>
      <c r="G88" s="115"/>
      <c r="H88" s="115"/>
      <c r="I88" s="138"/>
      <c r="J88" s="115"/>
      <c r="K88" s="260" t="str">
        <f t="shared" si="1"/>
        <v/>
      </c>
      <c r="L88" s="82"/>
    </row>
    <row r="89" spans="1:12" ht="29.25" customHeight="1" thickBot="1">
      <c r="A89" s="120"/>
      <c r="B89" s="118"/>
      <c r="C89" s="118"/>
      <c r="D89" s="116"/>
      <c r="E89" s="117"/>
      <c r="F89" s="117"/>
      <c r="G89" s="115"/>
      <c r="H89" s="115"/>
      <c r="I89" s="138"/>
      <c r="J89" s="115"/>
      <c r="K89" s="260" t="str">
        <f t="shared" si="1"/>
        <v/>
      </c>
      <c r="L89" s="82"/>
    </row>
    <row r="90" spans="1:12" ht="29.25" customHeight="1" thickBot="1">
      <c r="A90" s="120"/>
      <c r="B90" s="118"/>
      <c r="C90" s="118"/>
      <c r="D90" s="116"/>
      <c r="E90" s="117"/>
      <c r="F90" s="117"/>
      <c r="G90" s="115"/>
      <c r="H90" s="115"/>
      <c r="I90" s="138"/>
      <c r="J90" s="115"/>
      <c r="K90" s="260" t="str">
        <f t="shared" si="1"/>
        <v/>
      </c>
      <c r="L90" s="82"/>
    </row>
    <row r="91" spans="1:12" ht="29.25" customHeight="1" thickBot="1">
      <c r="A91" s="120"/>
      <c r="B91" s="118"/>
      <c r="C91" s="118"/>
      <c r="D91" s="116"/>
      <c r="E91" s="117"/>
      <c r="F91" s="117"/>
      <c r="G91" s="115"/>
      <c r="H91" s="115"/>
      <c r="I91" s="138"/>
      <c r="J91" s="115"/>
      <c r="K91" s="260" t="str">
        <f t="shared" si="1"/>
        <v/>
      </c>
      <c r="L91" s="82"/>
    </row>
    <row r="92" spans="1:12" ht="29.25" customHeight="1" thickBot="1">
      <c r="A92" s="120"/>
      <c r="B92" s="118"/>
      <c r="C92" s="118"/>
      <c r="D92" s="116"/>
      <c r="E92" s="117"/>
      <c r="F92" s="117"/>
      <c r="G92" s="115"/>
      <c r="H92" s="115"/>
      <c r="I92" s="138"/>
      <c r="J92" s="115"/>
      <c r="K92" s="260" t="str">
        <f t="shared" si="1"/>
        <v/>
      </c>
      <c r="L92" s="82"/>
    </row>
    <row r="93" spans="1:12" ht="29.25" customHeight="1" thickBot="1">
      <c r="A93" s="120"/>
      <c r="B93" s="118"/>
      <c r="C93" s="118"/>
      <c r="D93" s="116"/>
      <c r="E93" s="117"/>
      <c r="F93" s="117"/>
      <c r="G93" s="115"/>
      <c r="H93" s="115"/>
      <c r="I93" s="138"/>
      <c r="J93" s="115"/>
      <c r="K93" s="260" t="str">
        <f t="shared" si="1"/>
        <v/>
      </c>
      <c r="L93" s="82"/>
    </row>
    <row r="94" spans="1:12" ht="29.25" customHeight="1" thickBot="1">
      <c r="A94" s="120"/>
      <c r="B94" s="118"/>
      <c r="C94" s="118"/>
      <c r="D94" s="116"/>
      <c r="E94" s="117"/>
      <c r="F94" s="117"/>
      <c r="G94" s="115"/>
      <c r="H94" s="115"/>
      <c r="I94" s="138"/>
      <c r="J94" s="115"/>
      <c r="K94" s="260" t="str">
        <f t="shared" si="1"/>
        <v/>
      </c>
      <c r="L94" s="82"/>
    </row>
    <row r="95" spans="1:12" ht="29.25" customHeight="1" thickBot="1">
      <c r="A95" s="120"/>
      <c r="B95" s="118"/>
      <c r="C95" s="118"/>
      <c r="D95" s="116"/>
      <c r="E95" s="117"/>
      <c r="F95" s="117"/>
      <c r="G95" s="115"/>
      <c r="H95" s="115"/>
      <c r="I95" s="138"/>
      <c r="J95" s="115"/>
      <c r="K95" s="260" t="str">
        <f t="shared" si="1"/>
        <v/>
      </c>
      <c r="L95" s="82"/>
    </row>
    <row r="96" spans="1:12" ht="29.25" customHeight="1" thickBot="1">
      <c r="A96" s="120"/>
      <c r="B96" s="118"/>
      <c r="C96" s="118"/>
      <c r="D96" s="116"/>
      <c r="E96" s="117"/>
      <c r="F96" s="117"/>
      <c r="G96" s="115"/>
      <c r="H96" s="115"/>
      <c r="I96" s="138"/>
      <c r="J96" s="115"/>
      <c r="K96" s="260" t="str">
        <f t="shared" si="1"/>
        <v/>
      </c>
      <c r="L96" s="82"/>
    </row>
    <row r="97" spans="1:12" ht="29.25" customHeight="1" thickBot="1">
      <c r="A97" s="120"/>
      <c r="B97" s="118"/>
      <c r="C97" s="118"/>
      <c r="D97" s="116"/>
      <c r="E97" s="117"/>
      <c r="F97" s="117"/>
      <c r="G97" s="115"/>
      <c r="H97" s="115"/>
      <c r="I97" s="138"/>
      <c r="J97" s="115"/>
      <c r="K97" s="260" t="str">
        <f t="shared" si="1"/>
        <v/>
      </c>
      <c r="L97" s="82"/>
    </row>
    <row r="98" spans="1:12" ht="29.25" customHeight="1" thickBot="1">
      <c r="A98" s="120"/>
      <c r="B98" s="118"/>
      <c r="C98" s="118"/>
      <c r="D98" s="116"/>
      <c r="E98" s="117"/>
      <c r="F98" s="117"/>
      <c r="G98" s="115"/>
      <c r="H98" s="115"/>
      <c r="I98" s="138"/>
      <c r="J98" s="115"/>
      <c r="K98" s="260" t="str">
        <f t="shared" si="1"/>
        <v/>
      </c>
      <c r="L98" s="82"/>
    </row>
    <row r="99" spans="1:12" ht="29.25" customHeight="1" thickBot="1">
      <c r="A99" s="120"/>
      <c r="B99" s="118"/>
      <c r="C99" s="118"/>
      <c r="D99" s="116"/>
      <c r="E99" s="117"/>
      <c r="F99" s="117"/>
      <c r="G99" s="115"/>
      <c r="H99" s="115"/>
      <c r="I99" s="138"/>
      <c r="J99" s="115"/>
      <c r="K99" s="260" t="str">
        <f t="shared" si="1"/>
        <v/>
      </c>
      <c r="L99" s="82"/>
    </row>
    <row r="100" spans="1:12" ht="29.25" customHeight="1" thickBot="1">
      <c r="A100" s="120"/>
      <c r="B100" s="118"/>
      <c r="C100" s="118"/>
      <c r="D100" s="116"/>
      <c r="E100" s="117"/>
      <c r="F100" s="117"/>
      <c r="G100" s="115"/>
      <c r="H100" s="115"/>
      <c r="I100" s="138"/>
      <c r="J100" s="115"/>
      <c r="K100" s="260" t="str">
        <f t="shared" si="1"/>
        <v/>
      </c>
      <c r="L100" s="82"/>
    </row>
    <row r="101" spans="1:12" ht="29.25" customHeight="1" thickBot="1">
      <c r="A101" s="120"/>
      <c r="B101" s="118"/>
      <c r="C101" s="118"/>
      <c r="D101" s="116"/>
      <c r="E101" s="117"/>
      <c r="F101" s="117"/>
      <c r="G101" s="115"/>
      <c r="H101" s="115"/>
      <c r="I101" s="138"/>
      <c r="J101" s="115"/>
      <c r="K101" s="260" t="str">
        <f t="shared" si="1"/>
        <v/>
      </c>
      <c r="L101" s="82"/>
    </row>
    <row r="102" spans="1:12" ht="29.25" customHeight="1" thickBot="1">
      <c r="A102" s="120"/>
      <c r="B102" s="118"/>
      <c r="C102" s="118"/>
      <c r="D102" s="116"/>
      <c r="E102" s="117"/>
      <c r="F102" s="117"/>
      <c r="G102" s="115"/>
      <c r="H102" s="115"/>
      <c r="I102" s="138"/>
      <c r="J102" s="115"/>
      <c r="K102" s="260" t="str">
        <f t="shared" si="1"/>
        <v/>
      </c>
      <c r="L102" s="82"/>
    </row>
    <row r="103" spans="1:12" ht="29.25" customHeight="1" thickBot="1">
      <c r="A103" s="120"/>
      <c r="B103" s="118"/>
      <c r="C103" s="118"/>
      <c r="D103" s="116"/>
      <c r="E103" s="117"/>
      <c r="F103" s="117"/>
      <c r="G103" s="115"/>
      <c r="H103" s="115"/>
      <c r="I103" s="138"/>
      <c r="J103" s="115"/>
      <c r="K103" s="260" t="str">
        <f t="shared" si="1"/>
        <v/>
      </c>
      <c r="L103" s="82"/>
    </row>
    <row r="104" spans="1:12" ht="29.25" customHeight="1" thickBot="1">
      <c r="A104" s="120"/>
      <c r="B104" s="118"/>
      <c r="C104" s="118"/>
      <c r="D104" s="116"/>
      <c r="E104" s="117"/>
      <c r="F104" s="117"/>
      <c r="G104" s="115"/>
      <c r="H104" s="115"/>
      <c r="I104" s="138"/>
      <c r="J104" s="115"/>
      <c r="K104" s="260" t="str">
        <f t="shared" si="1"/>
        <v/>
      </c>
      <c r="L104" s="82"/>
    </row>
    <row r="105" spans="1:12" ht="29.25" customHeight="1" thickBot="1">
      <c r="A105" s="120"/>
      <c r="B105" s="118"/>
      <c r="C105" s="118"/>
      <c r="D105" s="116"/>
      <c r="E105" s="117"/>
      <c r="F105" s="117"/>
      <c r="G105" s="115"/>
      <c r="H105" s="115"/>
      <c r="I105" s="138"/>
      <c r="J105" s="115"/>
      <c r="K105" s="260" t="str">
        <f t="shared" si="1"/>
        <v/>
      </c>
      <c r="L105" s="82"/>
    </row>
    <row r="106" spans="1:12" ht="29.25" customHeight="1" thickBot="1">
      <c r="A106" s="120"/>
      <c r="B106" s="118"/>
      <c r="C106" s="118"/>
      <c r="D106" s="116"/>
      <c r="E106" s="117"/>
      <c r="F106" s="117"/>
      <c r="G106" s="115"/>
      <c r="H106" s="115"/>
      <c r="I106" s="138"/>
      <c r="J106" s="115"/>
      <c r="K106" s="260" t="str">
        <f t="shared" si="1"/>
        <v/>
      </c>
      <c r="L106" s="82"/>
    </row>
    <row r="107" spans="1:12" ht="29.25" customHeight="1" thickBot="1">
      <c r="A107" s="120"/>
      <c r="B107" s="118"/>
      <c r="C107" s="118"/>
      <c r="D107" s="116"/>
      <c r="E107" s="117"/>
      <c r="F107" s="117"/>
      <c r="G107" s="115"/>
      <c r="H107" s="115"/>
      <c r="I107" s="138"/>
      <c r="J107" s="115"/>
      <c r="K107" s="260" t="str">
        <f t="shared" si="1"/>
        <v/>
      </c>
      <c r="L107" s="82"/>
    </row>
    <row r="108" spans="1:12" ht="29.25" customHeight="1" thickBot="1">
      <c r="A108" s="120"/>
      <c r="B108" s="118"/>
      <c r="C108" s="118"/>
      <c r="D108" s="116"/>
      <c r="E108" s="117"/>
      <c r="F108" s="117"/>
      <c r="G108" s="115"/>
      <c r="H108" s="115"/>
      <c r="I108" s="138"/>
      <c r="J108" s="115"/>
      <c r="K108" s="260" t="str">
        <f t="shared" si="1"/>
        <v/>
      </c>
      <c r="L108" s="82"/>
    </row>
    <row r="109" spans="1:12" ht="29.25" customHeight="1" thickBot="1">
      <c r="A109" s="120"/>
      <c r="B109" s="118"/>
      <c r="C109" s="118"/>
      <c r="D109" s="116"/>
      <c r="E109" s="117"/>
      <c r="F109" s="117"/>
      <c r="G109" s="115"/>
      <c r="H109" s="115"/>
      <c r="I109" s="138"/>
      <c r="J109" s="115"/>
      <c r="K109" s="260" t="str">
        <f t="shared" si="1"/>
        <v/>
      </c>
      <c r="L109" s="82"/>
    </row>
    <row r="110" spans="1:12" ht="29.25" customHeight="1" thickBot="1">
      <c r="A110" s="120"/>
      <c r="B110" s="118"/>
      <c r="C110" s="118"/>
      <c r="D110" s="116"/>
      <c r="E110" s="117"/>
      <c r="F110" s="117"/>
      <c r="G110" s="115"/>
      <c r="H110" s="115"/>
      <c r="I110" s="138"/>
      <c r="J110" s="115"/>
      <c r="K110" s="260" t="str">
        <f t="shared" si="1"/>
        <v/>
      </c>
      <c r="L110" s="82"/>
    </row>
    <row r="111" spans="1:12" ht="29.25" customHeight="1" thickBot="1">
      <c r="A111" s="120"/>
      <c r="B111" s="118"/>
      <c r="C111" s="118"/>
      <c r="D111" s="116"/>
      <c r="E111" s="117"/>
      <c r="F111" s="117"/>
      <c r="G111" s="115"/>
      <c r="H111" s="115"/>
      <c r="I111" s="138"/>
      <c r="J111" s="115"/>
      <c r="K111" s="260" t="str">
        <f t="shared" si="1"/>
        <v/>
      </c>
      <c r="L111" s="82"/>
    </row>
    <row r="112" spans="1:12" ht="29.25" customHeight="1" thickBot="1">
      <c r="A112" s="120"/>
      <c r="B112" s="118"/>
      <c r="C112" s="118"/>
      <c r="D112" s="116"/>
      <c r="E112" s="117"/>
      <c r="F112" s="117"/>
      <c r="G112" s="115"/>
      <c r="H112" s="115"/>
      <c r="I112" s="138"/>
      <c r="J112" s="115"/>
      <c r="K112" s="260" t="str">
        <f t="shared" si="1"/>
        <v/>
      </c>
      <c r="L112" s="82"/>
    </row>
    <row r="113" spans="1:12" ht="29.25" customHeight="1" thickBot="1">
      <c r="A113" s="120"/>
      <c r="B113" s="118"/>
      <c r="C113" s="118"/>
      <c r="D113" s="116"/>
      <c r="E113" s="117"/>
      <c r="F113" s="117"/>
      <c r="G113" s="115"/>
      <c r="H113" s="115"/>
      <c r="I113" s="138"/>
      <c r="J113" s="115"/>
      <c r="K113" s="260" t="str">
        <f t="shared" si="1"/>
        <v/>
      </c>
      <c r="L113" s="82"/>
    </row>
    <row r="114" spans="1:12" ht="29.25" customHeight="1" thickBot="1">
      <c r="A114" s="120"/>
      <c r="B114" s="118"/>
      <c r="C114" s="118"/>
      <c r="D114" s="116"/>
      <c r="E114" s="117"/>
      <c r="F114" s="117"/>
      <c r="G114" s="115"/>
      <c r="H114" s="115"/>
      <c r="I114" s="138"/>
      <c r="J114" s="115"/>
      <c r="K114" s="260" t="str">
        <f t="shared" si="1"/>
        <v/>
      </c>
      <c r="L114" s="82"/>
    </row>
    <row r="115" spans="1:12" ht="29.25" customHeight="1" thickBot="1">
      <c r="A115" s="120"/>
      <c r="B115" s="118"/>
      <c r="C115" s="118"/>
      <c r="D115" s="116"/>
      <c r="E115" s="117"/>
      <c r="F115" s="117"/>
      <c r="G115" s="115"/>
      <c r="H115" s="115"/>
      <c r="I115" s="138"/>
      <c r="J115" s="115"/>
      <c r="K115" s="260" t="str">
        <f t="shared" si="1"/>
        <v/>
      </c>
      <c r="L115" s="82"/>
    </row>
    <row r="116" spans="1:12" ht="29.25" customHeight="1" thickBot="1">
      <c r="A116" s="120"/>
      <c r="B116" s="118"/>
      <c r="C116" s="118"/>
      <c r="D116" s="116"/>
      <c r="E116" s="117"/>
      <c r="F116" s="117"/>
      <c r="G116" s="115"/>
      <c r="H116" s="115"/>
      <c r="I116" s="138"/>
      <c r="J116" s="115"/>
      <c r="K116" s="260" t="str">
        <f t="shared" si="1"/>
        <v/>
      </c>
      <c r="L116" s="82"/>
    </row>
    <row r="117" spans="1:12" ht="29.25" customHeight="1" thickBot="1">
      <c r="A117" s="120"/>
      <c r="B117" s="118"/>
      <c r="C117" s="118"/>
      <c r="D117" s="116"/>
      <c r="E117" s="117"/>
      <c r="F117" s="117"/>
      <c r="G117" s="115"/>
      <c r="H117" s="115"/>
      <c r="I117" s="138"/>
      <c r="J117" s="115"/>
      <c r="K117" s="260" t="str">
        <f t="shared" si="1"/>
        <v/>
      </c>
      <c r="L117" s="82"/>
    </row>
    <row r="118" spans="1:12" ht="29.25" customHeight="1" thickBot="1">
      <c r="A118" s="120"/>
      <c r="B118" s="118"/>
      <c r="C118" s="118"/>
      <c r="D118" s="116"/>
      <c r="E118" s="117"/>
      <c r="F118" s="117"/>
      <c r="G118" s="115"/>
      <c r="H118" s="115"/>
      <c r="I118" s="138"/>
      <c r="J118" s="115"/>
      <c r="K118" s="260" t="str">
        <f t="shared" si="1"/>
        <v/>
      </c>
      <c r="L118" s="82"/>
    </row>
    <row r="119" spans="1:12" ht="29.25" customHeight="1" thickBot="1">
      <c r="A119" s="120"/>
      <c r="B119" s="118"/>
      <c r="C119" s="118"/>
      <c r="D119" s="116"/>
      <c r="E119" s="117"/>
      <c r="F119" s="117"/>
      <c r="G119" s="115"/>
      <c r="H119" s="115"/>
      <c r="I119" s="138"/>
      <c r="J119" s="115"/>
      <c r="K119" s="260" t="str">
        <f t="shared" si="1"/>
        <v/>
      </c>
      <c r="L119" s="82"/>
    </row>
    <row r="120" spans="1:12" ht="29.25" customHeight="1" thickBot="1">
      <c r="A120" s="120"/>
      <c r="B120" s="118"/>
      <c r="C120" s="118"/>
      <c r="D120" s="116"/>
      <c r="E120" s="117"/>
      <c r="F120" s="117"/>
      <c r="G120" s="115"/>
      <c r="H120" s="115"/>
      <c r="I120" s="138"/>
      <c r="J120" s="115"/>
      <c r="K120" s="260" t="str">
        <f t="shared" si="1"/>
        <v/>
      </c>
      <c r="L120" s="82"/>
    </row>
    <row r="121" spans="1:12" ht="29.25" customHeight="1" thickBot="1">
      <c r="A121" s="120"/>
      <c r="B121" s="118"/>
      <c r="C121" s="118"/>
      <c r="D121" s="116"/>
      <c r="E121" s="117"/>
      <c r="F121" s="117"/>
      <c r="G121" s="115"/>
      <c r="H121" s="115"/>
      <c r="I121" s="138"/>
      <c r="J121" s="115"/>
      <c r="K121" s="260" t="str">
        <f t="shared" si="1"/>
        <v/>
      </c>
      <c r="L121" s="82"/>
    </row>
    <row r="122" spans="1:12" ht="29.25" customHeight="1" thickBot="1">
      <c r="A122" s="120"/>
      <c r="B122" s="118"/>
      <c r="C122" s="118"/>
      <c r="D122" s="116"/>
      <c r="E122" s="117"/>
      <c r="F122" s="117"/>
      <c r="G122" s="115"/>
      <c r="H122" s="115"/>
      <c r="I122" s="138"/>
      <c r="J122" s="115"/>
      <c r="K122" s="260" t="str">
        <f t="shared" si="1"/>
        <v/>
      </c>
      <c r="L122" s="82"/>
    </row>
    <row r="123" spans="1:12" ht="29.25" customHeight="1" thickBot="1">
      <c r="A123" s="120"/>
      <c r="B123" s="118"/>
      <c r="C123" s="118"/>
      <c r="D123" s="116"/>
      <c r="E123" s="117"/>
      <c r="F123" s="117"/>
      <c r="G123" s="115"/>
      <c r="H123" s="115"/>
      <c r="I123" s="138"/>
      <c r="J123" s="115"/>
      <c r="K123" s="260" t="str">
        <f t="shared" si="1"/>
        <v/>
      </c>
      <c r="L123" s="82"/>
    </row>
    <row r="124" spans="1:12" ht="29.25" customHeight="1" thickBot="1">
      <c r="A124" s="120"/>
      <c r="B124" s="118"/>
      <c r="C124" s="118"/>
      <c r="D124" s="116"/>
      <c r="E124" s="117"/>
      <c r="F124" s="117"/>
      <c r="G124" s="115"/>
      <c r="H124" s="115"/>
      <c r="I124" s="138"/>
      <c r="J124" s="115"/>
      <c r="K124" s="260" t="str">
        <f t="shared" si="1"/>
        <v/>
      </c>
      <c r="L124" s="82"/>
    </row>
    <row r="125" spans="1:12" ht="29.25" customHeight="1" thickBot="1">
      <c r="A125" s="120"/>
      <c r="B125" s="118"/>
      <c r="C125" s="118"/>
      <c r="D125" s="116"/>
      <c r="E125" s="117"/>
      <c r="F125" s="117"/>
      <c r="G125" s="115"/>
      <c r="H125" s="115"/>
      <c r="I125" s="138"/>
      <c r="J125" s="115"/>
      <c r="K125" s="260" t="str">
        <f t="shared" si="1"/>
        <v/>
      </c>
      <c r="L125" s="82"/>
    </row>
    <row r="126" spans="1:12" ht="29.25" customHeight="1" thickBot="1">
      <c r="A126" s="120"/>
      <c r="B126" s="118"/>
      <c r="C126" s="118"/>
      <c r="D126" s="116"/>
      <c r="E126" s="117"/>
      <c r="F126" s="117"/>
      <c r="G126" s="115"/>
      <c r="H126" s="115"/>
      <c r="I126" s="138"/>
      <c r="J126" s="115"/>
      <c r="K126" s="260" t="str">
        <f t="shared" si="1"/>
        <v/>
      </c>
      <c r="L126" s="82"/>
    </row>
    <row r="127" spans="1:12" ht="29.25" customHeight="1" thickBot="1">
      <c r="A127" s="120"/>
      <c r="B127" s="118"/>
      <c r="C127" s="118"/>
      <c r="D127" s="116"/>
      <c r="E127" s="117"/>
      <c r="F127" s="117"/>
      <c r="G127" s="115"/>
      <c r="H127" s="115"/>
      <c r="I127" s="138"/>
      <c r="J127" s="115"/>
      <c r="K127" s="260" t="str">
        <f t="shared" si="1"/>
        <v/>
      </c>
      <c r="L127" s="82"/>
    </row>
    <row r="128" spans="1:12" ht="29.25" customHeight="1" thickBot="1">
      <c r="A128" s="120"/>
      <c r="B128" s="118"/>
      <c r="C128" s="118"/>
      <c r="D128" s="116"/>
      <c r="E128" s="117"/>
      <c r="F128" s="117"/>
      <c r="G128" s="115"/>
      <c r="H128" s="115"/>
      <c r="I128" s="138"/>
      <c r="J128" s="115"/>
      <c r="K128" s="260" t="str">
        <f t="shared" si="1"/>
        <v/>
      </c>
      <c r="L128" s="82"/>
    </row>
    <row r="129" spans="1:12" ht="29.25" customHeight="1" thickBot="1">
      <c r="A129" s="120"/>
      <c r="B129" s="118"/>
      <c r="C129" s="118"/>
      <c r="D129" s="116"/>
      <c r="E129" s="117"/>
      <c r="F129" s="117"/>
      <c r="G129" s="115"/>
      <c r="H129" s="115"/>
      <c r="I129" s="138"/>
      <c r="J129" s="115"/>
      <c r="K129" s="260" t="str">
        <f t="shared" si="1"/>
        <v/>
      </c>
      <c r="L129" s="82"/>
    </row>
    <row r="130" spans="1:12" ht="29.25" customHeight="1" thickBot="1">
      <c r="A130" s="120"/>
      <c r="B130" s="118"/>
      <c r="C130" s="118"/>
      <c r="D130" s="116"/>
      <c r="E130" s="117"/>
      <c r="F130" s="117"/>
      <c r="G130" s="115"/>
      <c r="H130" s="115"/>
      <c r="I130" s="138"/>
      <c r="J130" s="115"/>
      <c r="K130" s="260" t="str">
        <f t="shared" si="1"/>
        <v/>
      </c>
      <c r="L130" s="82"/>
    </row>
    <row r="131" spans="1:12" ht="29.25" customHeight="1" thickBot="1">
      <c r="A131" s="120"/>
      <c r="B131" s="118"/>
      <c r="C131" s="118"/>
      <c r="D131" s="116"/>
      <c r="E131" s="117"/>
      <c r="F131" s="117"/>
      <c r="G131" s="115"/>
      <c r="H131" s="115"/>
      <c r="I131" s="138"/>
      <c r="J131" s="115"/>
      <c r="K131" s="260" t="str">
        <f t="shared" si="1"/>
        <v/>
      </c>
      <c r="L131" s="82"/>
    </row>
    <row r="132" spans="1:12" ht="29.25" customHeight="1" thickBot="1">
      <c r="A132" s="120"/>
      <c r="B132" s="118"/>
      <c r="C132" s="118"/>
      <c r="D132" s="116"/>
      <c r="E132" s="117"/>
      <c r="F132" s="117"/>
      <c r="G132" s="115"/>
      <c r="H132" s="115"/>
      <c r="I132" s="138"/>
      <c r="J132" s="115"/>
      <c r="K132" s="260" t="str">
        <f t="shared" si="1"/>
        <v/>
      </c>
      <c r="L132" s="82"/>
    </row>
    <row r="133" spans="1:12" ht="29.25" customHeight="1" thickBot="1">
      <c r="A133" s="120"/>
      <c r="B133" s="118"/>
      <c r="C133" s="118"/>
      <c r="D133" s="116"/>
      <c r="E133" s="117"/>
      <c r="F133" s="117"/>
      <c r="G133" s="115"/>
      <c r="H133" s="115"/>
      <c r="I133" s="138"/>
      <c r="J133" s="115"/>
      <c r="K133" s="260" t="str">
        <f t="shared" si="1"/>
        <v/>
      </c>
      <c r="L133" s="82"/>
    </row>
    <row r="134" spans="1:12" ht="29.25" customHeight="1" thickBot="1">
      <c r="A134" s="120"/>
      <c r="B134" s="118"/>
      <c r="C134" s="118"/>
      <c r="D134" s="116"/>
      <c r="E134" s="117"/>
      <c r="F134" s="117"/>
      <c r="G134" s="115"/>
      <c r="H134" s="115"/>
      <c r="I134" s="138"/>
      <c r="J134" s="115"/>
      <c r="K134" s="260" t="str">
        <f t="shared" si="1"/>
        <v/>
      </c>
      <c r="L134" s="82"/>
    </row>
    <row r="135" spans="1:12" ht="29.25" customHeight="1" thickBot="1">
      <c r="A135" s="120"/>
      <c r="B135" s="118"/>
      <c r="C135" s="118"/>
      <c r="D135" s="116"/>
      <c r="E135" s="117"/>
      <c r="F135" s="117"/>
      <c r="G135" s="115"/>
      <c r="H135" s="115"/>
      <c r="I135" s="138"/>
      <c r="J135" s="115"/>
      <c r="K135" s="260" t="str">
        <f t="shared" si="1"/>
        <v/>
      </c>
      <c r="L135" s="82"/>
    </row>
    <row r="136" spans="1:12" ht="29.25" customHeight="1" thickBot="1">
      <c r="A136" s="120"/>
      <c r="B136" s="118"/>
      <c r="C136" s="118"/>
      <c r="D136" s="116"/>
      <c r="E136" s="117"/>
      <c r="F136" s="117"/>
      <c r="G136" s="115"/>
      <c r="H136" s="115"/>
      <c r="I136" s="138"/>
      <c r="J136" s="115"/>
      <c r="K136" s="260" t="str">
        <f t="shared" si="1"/>
        <v/>
      </c>
      <c r="L136" s="82"/>
    </row>
    <row r="137" spans="1:12" ht="29.25" customHeight="1" thickBot="1">
      <c r="A137" s="120"/>
      <c r="B137" s="118"/>
      <c r="C137" s="118"/>
      <c r="D137" s="116"/>
      <c r="E137" s="117"/>
      <c r="F137" s="117"/>
      <c r="G137" s="115"/>
      <c r="H137" s="115"/>
      <c r="I137" s="138"/>
      <c r="J137" s="115"/>
      <c r="K137" s="260" t="str">
        <f t="shared" si="1"/>
        <v/>
      </c>
      <c r="L137" s="82"/>
    </row>
    <row r="138" spans="1:12" ht="29.25" customHeight="1" thickBot="1">
      <c r="A138" s="120"/>
      <c r="B138" s="118"/>
      <c r="C138" s="118"/>
      <c r="D138" s="116"/>
      <c r="E138" s="117"/>
      <c r="F138" s="117"/>
      <c r="G138" s="115"/>
      <c r="H138" s="115"/>
      <c r="I138" s="138"/>
      <c r="J138" s="115"/>
      <c r="K138" s="260" t="str">
        <f t="shared" ref="K138:K201" si="2">IF((H138+I138-J138)=0, "", (H138+I138-J138))</f>
        <v/>
      </c>
      <c r="L138" s="82"/>
    </row>
    <row r="139" spans="1:12" ht="29.25" customHeight="1" thickBot="1">
      <c r="A139" s="120"/>
      <c r="B139" s="118"/>
      <c r="C139" s="118"/>
      <c r="D139" s="116"/>
      <c r="E139" s="117"/>
      <c r="F139" s="117"/>
      <c r="G139" s="115"/>
      <c r="H139" s="115"/>
      <c r="I139" s="138"/>
      <c r="J139" s="115"/>
      <c r="K139" s="260" t="str">
        <f t="shared" si="2"/>
        <v/>
      </c>
      <c r="L139" s="82"/>
    </row>
    <row r="140" spans="1:12" ht="29.25" customHeight="1" thickBot="1">
      <c r="A140" s="120"/>
      <c r="B140" s="118"/>
      <c r="C140" s="118"/>
      <c r="D140" s="116"/>
      <c r="E140" s="117"/>
      <c r="F140" s="117"/>
      <c r="G140" s="115"/>
      <c r="H140" s="115"/>
      <c r="I140" s="138"/>
      <c r="J140" s="115"/>
      <c r="K140" s="260" t="str">
        <f t="shared" si="2"/>
        <v/>
      </c>
      <c r="L140" s="82"/>
    </row>
    <row r="141" spans="1:12" ht="29.25" customHeight="1" thickBot="1">
      <c r="A141" s="120"/>
      <c r="B141" s="118"/>
      <c r="C141" s="118"/>
      <c r="D141" s="116"/>
      <c r="E141" s="117"/>
      <c r="F141" s="117"/>
      <c r="G141" s="115"/>
      <c r="H141" s="115"/>
      <c r="I141" s="138"/>
      <c r="J141" s="115"/>
      <c r="K141" s="260" t="str">
        <f t="shared" si="2"/>
        <v/>
      </c>
      <c r="L141" s="82"/>
    </row>
    <row r="142" spans="1:12" ht="29.25" customHeight="1" thickBot="1">
      <c r="A142" s="120"/>
      <c r="B142" s="118"/>
      <c r="C142" s="118"/>
      <c r="D142" s="116"/>
      <c r="E142" s="117"/>
      <c r="F142" s="117"/>
      <c r="G142" s="115"/>
      <c r="H142" s="115"/>
      <c r="I142" s="138"/>
      <c r="J142" s="115"/>
      <c r="K142" s="260" t="str">
        <f t="shared" si="2"/>
        <v/>
      </c>
      <c r="L142" s="82"/>
    </row>
    <row r="143" spans="1:12" ht="29.25" customHeight="1" thickBot="1">
      <c r="A143" s="120"/>
      <c r="B143" s="118"/>
      <c r="C143" s="118"/>
      <c r="D143" s="116"/>
      <c r="E143" s="117"/>
      <c r="F143" s="117"/>
      <c r="G143" s="115"/>
      <c r="H143" s="115"/>
      <c r="I143" s="138"/>
      <c r="J143" s="115"/>
      <c r="K143" s="260" t="str">
        <f t="shared" si="2"/>
        <v/>
      </c>
      <c r="L143" s="82"/>
    </row>
    <row r="144" spans="1:12" ht="29.25" customHeight="1" thickBot="1">
      <c r="A144" s="120"/>
      <c r="B144" s="118"/>
      <c r="C144" s="118"/>
      <c r="D144" s="116"/>
      <c r="E144" s="117"/>
      <c r="F144" s="117"/>
      <c r="G144" s="115"/>
      <c r="H144" s="115"/>
      <c r="I144" s="138"/>
      <c r="J144" s="115"/>
      <c r="K144" s="260" t="str">
        <f t="shared" si="2"/>
        <v/>
      </c>
      <c r="L144" s="82"/>
    </row>
    <row r="145" spans="1:12" ht="29.25" customHeight="1" thickBot="1">
      <c r="A145" s="120"/>
      <c r="B145" s="118"/>
      <c r="C145" s="118"/>
      <c r="D145" s="116"/>
      <c r="E145" s="117"/>
      <c r="F145" s="117"/>
      <c r="G145" s="115"/>
      <c r="H145" s="115"/>
      <c r="I145" s="138"/>
      <c r="J145" s="115"/>
      <c r="K145" s="260" t="str">
        <f t="shared" si="2"/>
        <v/>
      </c>
      <c r="L145" s="82"/>
    </row>
    <row r="146" spans="1:12" ht="29.25" customHeight="1" thickBot="1">
      <c r="A146" s="120"/>
      <c r="B146" s="118"/>
      <c r="C146" s="118"/>
      <c r="D146" s="116"/>
      <c r="E146" s="117"/>
      <c r="F146" s="117"/>
      <c r="G146" s="115"/>
      <c r="H146" s="115"/>
      <c r="I146" s="138"/>
      <c r="J146" s="115"/>
      <c r="K146" s="260" t="str">
        <f t="shared" si="2"/>
        <v/>
      </c>
      <c r="L146" s="82"/>
    </row>
    <row r="147" spans="1:12" ht="29.25" customHeight="1" thickBot="1">
      <c r="A147" s="120"/>
      <c r="B147" s="118"/>
      <c r="C147" s="118"/>
      <c r="D147" s="116"/>
      <c r="E147" s="117"/>
      <c r="F147" s="117"/>
      <c r="G147" s="115"/>
      <c r="H147" s="115"/>
      <c r="I147" s="138"/>
      <c r="J147" s="115"/>
      <c r="K147" s="260" t="str">
        <f t="shared" si="2"/>
        <v/>
      </c>
      <c r="L147" s="82"/>
    </row>
    <row r="148" spans="1:12" ht="29.25" customHeight="1" thickBot="1">
      <c r="A148" s="120"/>
      <c r="B148" s="118"/>
      <c r="C148" s="118"/>
      <c r="D148" s="116"/>
      <c r="E148" s="117"/>
      <c r="F148" s="117"/>
      <c r="G148" s="115"/>
      <c r="H148" s="115"/>
      <c r="I148" s="138"/>
      <c r="J148" s="115"/>
      <c r="K148" s="260" t="str">
        <f t="shared" si="2"/>
        <v/>
      </c>
      <c r="L148" s="82"/>
    </row>
    <row r="149" spans="1:12" ht="29.25" customHeight="1" thickBot="1">
      <c r="A149" s="120"/>
      <c r="B149" s="118"/>
      <c r="C149" s="118"/>
      <c r="D149" s="116"/>
      <c r="E149" s="117"/>
      <c r="F149" s="117"/>
      <c r="G149" s="115"/>
      <c r="H149" s="115"/>
      <c r="I149" s="138"/>
      <c r="J149" s="115"/>
      <c r="K149" s="260" t="str">
        <f t="shared" si="2"/>
        <v/>
      </c>
      <c r="L149" s="82"/>
    </row>
    <row r="150" spans="1:12" ht="29.25" customHeight="1" thickBot="1">
      <c r="A150" s="120"/>
      <c r="B150" s="118"/>
      <c r="C150" s="118"/>
      <c r="D150" s="116"/>
      <c r="E150" s="117"/>
      <c r="F150" s="117"/>
      <c r="G150" s="115"/>
      <c r="H150" s="115"/>
      <c r="I150" s="138"/>
      <c r="J150" s="115"/>
      <c r="K150" s="260" t="str">
        <f t="shared" si="2"/>
        <v/>
      </c>
      <c r="L150" s="82"/>
    </row>
    <row r="151" spans="1:12" ht="29.25" customHeight="1" thickBot="1">
      <c r="A151" s="120"/>
      <c r="B151" s="118"/>
      <c r="C151" s="118"/>
      <c r="D151" s="116"/>
      <c r="E151" s="117"/>
      <c r="F151" s="117"/>
      <c r="G151" s="115"/>
      <c r="H151" s="115"/>
      <c r="I151" s="138"/>
      <c r="J151" s="115"/>
      <c r="K151" s="260" t="str">
        <f t="shared" si="2"/>
        <v/>
      </c>
      <c r="L151" s="82"/>
    </row>
    <row r="152" spans="1:12" ht="29.25" customHeight="1" thickBot="1">
      <c r="A152" s="120"/>
      <c r="B152" s="118"/>
      <c r="C152" s="118"/>
      <c r="D152" s="116"/>
      <c r="E152" s="117"/>
      <c r="F152" s="117"/>
      <c r="G152" s="115"/>
      <c r="H152" s="115"/>
      <c r="I152" s="138"/>
      <c r="J152" s="115"/>
      <c r="K152" s="260" t="str">
        <f t="shared" si="2"/>
        <v/>
      </c>
      <c r="L152" s="82"/>
    </row>
    <row r="153" spans="1:12" ht="29.25" customHeight="1" thickBot="1">
      <c r="A153" s="120"/>
      <c r="B153" s="118"/>
      <c r="C153" s="118"/>
      <c r="D153" s="116"/>
      <c r="E153" s="117"/>
      <c r="F153" s="117"/>
      <c r="G153" s="115"/>
      <c r="H153" s="115"/>
      <c r="I153" s="138"/>
      <c r="J153" s="115"/>
      <c r="K153" s="260" t="str">
        <f t="shared" si="2"/>
        <v/>
      </c>
      <c r="L153" s="82"/>
    </row>
    <row r="154" spans="1:12" ht="29.25" customHeight="1" thickBot="1">
      <c r="A154" s="120"/>
      <c r="B154" s="118"/>
      <c r="C154" s="118"/>
      <c r="D154" s="116"/>
      <c r="E154" s="117"/>
      <c r="F154" s="117"/>
      <c r="G154" s="115"/>
      <c r="H154" s="115"/>
      <c r="I154" s="138"/>
      <c r="J154" s="115"/>
      <c r="K154" s="260" t="str">
        <f t="shared" si="2"/>
        <v/>
      </c>
      <c r="L154" s="82"/>
    </row>
    <row r="155" spans="1:12" ht="29.25" customHeight="1" thickBot="1">
      <c r="A155" s="120"/>
      <c r="B155" s="118"/>
      <c r="C155" s="118"/>
      <c r="D155" s="116"/>
      <c r="E155" s="117"/>
      <c r="F155" s="117"/>
      <c r="G155" s="115"/>
      <c r="H155" s="115"/>
      <c r="I155" s="138"/>
      <c r="J155" s="115"/>
      <c r="K155" s="260" t="str">
        <f t="shared" si="2"/>
        <v/>
      </c>
      <c r="L155" s="82"/>
    </row>
    <row r="156" spans="1:12" ht="29.25" customHeight="1" thickBot="1">
      <c r="A156" s="120"/>
      <c r="B156" s="118"/>
      <c r="C156" s="118"/>
      <c r="D156" s="116"/>
      <c r="E156" s="117"/>
      <c r="F156" s="117"/>
      <c r="G156" s="115"/>
      <c r="H156" s="115"/>
      <c r="I156" s="138"/>
      <c r="J156" s="115"/>
      <c r="K156" s="260" t="str">
        <f t="shared" si="2"/>
        <v/>
      </c>
      <c r="L156" s="82"/>
    </row>
    <row r="157" spans="1:12" ht="29.25" customHeight="1" thickBot="1">
      <c r="A157" s="120"/>
      <c r="B157" s="118"/>
      <c r="C157" s="118"/>
      <c r="D157" s="116"/>
      <c r="E157" s="117"/>
      <c r="F157" s="117"/>
      <c r="G157" s="115"/>
      <c r="H157" s="115"/>
      <c r="I157" s="138"/>
      <c r="J157" s="115"/>
      <c r="K157" s="260" t="str">
        <f t="shared" si="2"/>
        <v/>
      </c>
      <c r="L157" s="82"/>
    </row>
    <row r="158" spans="1:12" ht="29.25" customHeight="1" thickBot="1">
      <c r="A158" s="120"/>
      <c r="B158" s="118"/>
      <c r="C158" s="118"/>
      <c r="D158" s="116"/>
      <c r="E158" s="117"/>
      <c r="F158" s="117"/>
      <c r="G158" s="115"/>
      <c r="H158" s="115"/>
      <c r="I158" s="138"/>
      <c r="J158" s="115"/>
      <c r="K158" s="260" t="str">
        <f t="shared" si="2"/>
        <v/>
      </c>
      <c r="L158" s="82"/>
    </row>
    <row r="159" spans="1:12" ht="29.25" customHeight="1" thickBot="1">
      <c r="A159" s="120"/>
      <c r="B159" s="118"/>
      <c r="C159" s="118"/>
      <c r="D159" s="116"/>
      <c r="E159" s="117"/>
      <c r="F159" s="117"/>
      <c r="G159" s="115"/>
      <c r="H159" s="115"/>
      <c r="I159" s="138"/>
      <c r="J159" s="115"/>
      <c r="K159" s="260" t="str">
        <f t="shared" si="2"/>
        <v/>
      </c>
      <c r="L159" s="82"/>
    </row>
    <row r="160" spans="1:12" ht="29.25" customHeight="1" thickBot="1">
      <c r="A160" s="120"/>
      <c r="B160" s="118"/>
      <c r="C160" s="118"/>
      <c r="D160" s="116"/>
      <c r="E160" s="117"/>
      <c r="F160" s="117"/>
      <c r="G160" s="115"/>
      <c r="H160" s="115"/>
      <c r="I160" s="138"/>
      <c r="J160" s="115"/>
      <c r="K160" s="260" t="str">
        <f t="shared" si="2"/>
        <v/>
      </c>
      <c r="L160" s="82"/>
    </row>
    <row r="161" spans="1:12" ht="29.25" customHeight="1" thickBot="1">
      <c r="A161" s="120"/>
      <c r="B161" s="118"/>
      <c r="C161" s="118"/>
      <c r="D161" s="116"/>
      <c r="E161" s="117"/>
      <c r="F161" s="117"/>
      <c r="G161" s="115"/>
      <c r="H161" s="115"/>
      <c r="I161" s="138"/>
      <c r="J161" s="115"/>
      <c r="K161" s="260" t="str">
        <f t="shared" si="2"/>
        <v/>
      </c>
      <c r="L161" s="82"/>
    </row>
    <row r="162" spans="1:12" ht="29.25" customHeight="1" thickBot="1">
      <c r="A162" s="120"/>
      <c r="B162" s="118"/>
      <c r="C162" s="118"/>
      <c r="D162" s="116"/>
      <c r="E162" s="117"/>
      <c r="F162" s="117"/>
      <c r="G162" s="115"/>
      <c r="H162" s="115"/>
      <c r="I162" s="138"/>
      <c r="J162" s="115"/>
      <c r="K162" s="260" t="str">
        <f t="shared" si="2"/>
        <v/>
      </c>
      <c r="L162" s="82"/>
    </row>
    <row r="163" spans="1:12" ht="29.25" customHeight="1" thickBot="1">
      <c r="A163" s="120"/>
      <c r="B163" s="118"/>
      <c r="C163" s="118"/>
      <c r="D163" s="116"/>
      <c r="E163" s="117"/>
      <c r="F163" s="117"/>
      <c r="G163" s="115"/>
      <c r="H163" s="115"/>
      <c r="I163" s="138"/>
      <c r="J163" s="115"/>
      <c r="K163" s="260" t="str">
        <f t="shared" si="2"/>
        <v/>
      </c>
      <c r="L163" s="82"/>
    </row>
    <row r="164" spans="1:12" ht="29.25" customHeight="1" thickBot="1">
      <c r="A164" s="120"/>
      <c r="B164" s="118"/>
      <c r="C164" s="118"/>
      <c r="D164" s="116"/>
      <c r="E164" s="117"/>
      <c r="F164" s="117"/>
      <c r="G164" s="115"/>
      <c r="H164" s="115"/>
      <c r="I164" s="138"/>
      <c r="J164" s="115"/>
      <c r="K164" s="260" t="str">
        <f t="shared" si="2"/>
        <v/>
      </c>
      <c r="L164" s="82"/>
    </row>
    <row r="165" spans="1:12" ht="29.25" customHeight="1" thickBot="1">
      <c r="A165" s="120"/>
      <c r="B165" s="118"/>
      <c r="C165" s="118"/>
      <c r="D165" s="116"/>
      <c r="E165" s="117"/>
      <c r="F165" s="117"/>
      <c r="G165" s="115"/>
      <c r="H165" s="115"/>
      <c r="I165" s="138"/>
      <c r="J165" s="115"/>
      <c r="K165" s="260" t="str">
        <f t="shared" si="2"/>
        <v/>
      </c>
      <c r="L165" s="82"/>
    </row>
    <row r="166" spans="1:12" ht="29.25" customHeight="1" thickBot="1">
      <c r="A166" s="120"/>
      <c r="B166" s="118"/>
      <c r="C166" s="118"/>
      <c r="D166" s="116"/>
      <c r="E166" s="117"/>
      <c r="F166" s="117"/>
      <c r="G166" s="115"/>
      <c r="H166" s="115"/>
      <c r="I166" s="138"/>
      <c r="J166" s="115"/>
      <c r="K166" s="260" t="str">
        <f t="shared" si="2"/>
        <v/>
      </c>
      <c r="L166" s="82"/>
    </row>
    <row r="167" spans="1:12" ht="29.25" customHeight="1" thickBot="1">
      <c r="A167" s="120"/>
      <c r="B167" s="118"/>
      <c r="C167" s="118"/>
      <c r="D167" s="116"/>
      <c r="E167" s="117"/>
      <c r="F167" s="117"/>
      <c r="G167" s="115"/>
      <c r="H167" s="115"/>
      <c r="I167" s="138"/>
      <c r="J167" s="115"/>
      <c r="K167" s="260" t="str">
        <f t="shared" si="2"/>
        <v/>
      </c>
      <c r="L167" s="82"/>
    </row>
    <row r="168" spans="1:12" ht="29.25" customHeight="1" thickBot="1">
      <c r="A168" s="120"/>
      <c r="B168" s="118"/>
      <c r="C168" s="118"/>
      <c r="D168" s="116"/>
      <c r="E168" s="117"/>
      <c r="F168" s="117"/>
      <c r="G168" s="115"/>
      <c r="H168" s="115"/>
      <c r="I168" s="138"/>
      <c r="J168" s="115"/>
      <c r="K168" s="260" t="str">
        <f t="shared" si="2"/>
        <v/>
      </c>
      <c r="L168" s="82"/>
    </row>
    <row r="169" spans="1:12" ht="29.25" customHeight="1" thickBot="1">
      <c r="A169" s="120"/>
      <c r="B169" s="118"/>
      <c r="C169" s="118"/>
      <c r="D169" s="116"/>
      <c r="E169" s="117"/>
      <c r="F169" s="117"/>
      <c r="G169" s="115"/>
      <c r="H169" s="115"/>
      <c r="I169" s="138"/>
      <c r="J169" s="115"/>
      <c r="K169" s="260" t="str">
        <f t="shared" si="2"/>
        <v/>
      </c>
      <c r="L169" s="82"/>
    </row>
    <row r="170" spans="1:12" ht="29.25" customHeight="1" thickBot="1">
      <c r="A170" s="120"/>
      <c r="B170" s="118"/>
      <c r="C170" s="118"/>
      <c r="D170" s="116"/>
      <c r="E170" s="117"/>
      <c r="F170" s="117"/>
      <c r="G170" s="115"/>
      <c r="H170" s="115"/>
      <c r="I170" s="138"/>
      <c r="J170" s="115"/>
      <c r="K170" s="260" t="str">
        <f t="shared" si="2"/>
        <v/>
      </c>
      <c r="L170" s="82"/>
    </row>
    <row r="171" spans="1:12" ht="29.25" customHeight="1" thickBot="1">
      <c r="A171" s="120"/>
      <c r="B171" s="118"/>
      <c r="C171" s="118"/>
      <c r="D171" s="116"/>
      <c r="E171" s="117"/>
      <c r="F171" s="117"/>
      <c r="G171" s="115"/>
      <c r="H171" s="115"/>
      <c r="I171" s="138"/>
      <c r="J171" s="115"/>
      <c r="K171" s="260" t="str">
        <f t="shared" si="2"/>
        <v/>
      </c>
      <c r="L171" s="82"/>
    </row>
    <row r="172" spans="1:12" ht="29.25" customHeight="1" thickBot="1">
      <c r="A172" s="120"/>
      <c r="B172" s="118"/>
      <c r="C172" s="118"/>
      <c r="D172" s="116"/>
      <c r="E172" s="117"/>
      <c r="F172" s="117"/>
      <c r="G172" s="115"/>
      <c r="H172" s="115"/>
      <c r="I172" s="138"/>
      <c r="J172" s="115"/>
      <c r="K172" s="260" t="str">
        <f t="shared" si="2"/>
        <v/>
      </c>
      <c r="L172" s="82"/>
    </row>
    <row r="173" spans="1:12" ht="29.25" customHeight="1" thickBot="1">
      <c r="A173" s="120"/>
      <c r="B173" s="118"/>
      <c r="C173" s="118"/>
      <c r="D173" s="116"/>
      <c r="E173" s="117"/>
      <c r="F173" s="117"/>
      <c r="G173" s="115"/>
      <c r="H173" s="115"/>
      <c r="I173" s="138"/>
      <c r="J173" s="115"/>
      <c r="K173" s="260" t="str">
        <f t="shared" si="2"/>
        <v/>
      </c>
      <c r="L173" s="82"/>
    </row>
    <row r="174" spans="1:12" ht="29.25" customHeight="1" thickBot="1">
      <c r="A174" s="120"/>
      <c r="B174" s="118"/>
      <c r="C174" s="118"/>
      <c r="D174" s="116"/>
      <c r="E174" s="117"/>
      <c r="F174" s="117"/>
      <c r="G174" s="115"/>
      <c r="H174" s="115"/>
      <c r="I174" s="138"/>
      <c r="J174" s="115"/>
      <c r="K174" s="260" t="str">
        <f t="shared" si="2"/>
        <v/>
      </c>
      <c r="L174" s="82"/>
    </row>
    <row r="175" spans="1:12" ht="29.25" customHeight="1" thickBot="1">
      <c r="A175" s="120"/>
      <c r="B175" s="118"/>
      <c r="C175" s="118"/>
      <c r="D175" s="116"/>
      <c r="E175" s="117"/>
      <c r="F175" s="117"/>
      <c r="G175" s="115"/>
      <c r="H175" s="115"/>
      <c r="I175" s="138"/>
      <c r="J175" s="115"/>
      <c r="K175" s="260" t="str">
        <f t="shared" si="2"/>
        <v/>
      </c>
      <c r="L175" s="82"/>
    </row>
    <row r="176" spans="1:12" ht="29.25" customHeight="1" thickBot="1">
      <c r="A176" s="120"/>
      <c r="B176" s="118"/>
      <c r="C176" s="118"/>
      <c r="D176" s="116"/>
      <c r="E176" s="117"/>
      <c r="F176" s="117"/>
      <c r="G176" s="115"/>
      <c r="H176" s="115"/>
      <c r="I176" s="138"/>
      <c r="J176" s="115"/>
      <c r="K176" s="260" t="str">
        <f t="shared" si="2"/>
        <v/>
      </c>
      <c r="L176" s="82"/>
    </row>
    <row r="177" spans="1:12" ht="29.25" customHeight="1" thickBot="1">
      <c r="A177" s="120"/>
      <c r="B177" s="118"/>
      <c r="C177" s="118"/>
      <c r="D177" s="116"/>
      <c r="E177" s="117"/>
      <c r="F177" s="117"/>
      <c r="G177" s="115"/>
      <c r="H177" s="115"/>
      <c r="I177" s="138"/>
      <c r="J177" s="115"/>
      <c r="K177" s="260" t="str">
        <f t="shared" si="2"/>
        <v/>
      </c>
      <c r="L177" s="82"/>
    </row>
    <row r="178" spans="1:12" ht="29.25" customHeight="1" thickBot="1">
      <c r="A178" s="120"/>
      <c r="B178" s="118"/>
      <c r="C178" s="118"/>
      <c r="D178" s="116"/>
      <c r="E178" s="117"/>
      <c r="F178" s="117"/>
      <c r="G178" s="115"/>
      <c r="H178" s="115"/>
      <c r="I178" s="138"/>
      <c r="J178" s="115"/>
      <c r="K178" s="260" t="str">
        <f t="shared" si="2"/>
        <v/>
      </c>
      <c r="L178" s="82"/>
    </row>
    <row r="179" spans="1:12" ht="29.25" customHeight="1" thickBot="1">
      <c r="A179" s="120"/>
      <c r="B179" s="118"/>
      <c r="C179" s="118"/>
      <c r="D179" s="116"/>
      <c r="E179" s="117"/>
      <c r="F179" s="117"/>
      <c r="G179" s="115"/>
      <c r="H179" s="115"/>
      <c r="I179" s="138"/>
      <c r="J179" s="115"/>
      <c r="K179" s="260" t="str">
        <f t="shared" si="2"/>
        <v/>
      </c>
      <c r="L179" s="82"/>
    </row>
    <row r="180" spans="1:12" ht="29.25" customHeight="1" thickBot="1">
      <c r="A180" s="120"/>
      <c r="B180" s="118"/>
      <c r="C180" s="118"/>
      <c r="D180" s="116"/>
      <c r="E180" s="117"/>
      <c r="F180" s="117"/>
      <c r="G180" s="115"/>
      <c r="H180" s="115"/>
      <c r="I180" s="138"/>
      <c r="J180" s="115"/>
      <c r="K180" s="260" t="str">
        <f t="shared" si="2"/>
        <v/>
      </c>
      <c r="L180" s="82"/>
    </row>
    <row r="181" spans="1:12" ht="29.25" customHeight="1" thickBot="1">
      <c r="A181" s="120"/>
      <c r="B181" s="118"/>
      <c r="C181" s="118"/>
      <c r="D181" s="116"/>
      <c r="E181" s="117"/>
      <c r="F181" s="117"/>
      <c r="G181" s="115"/>
      <c r="H181" s="115"/>
      <c r="I181" s="138"/>
      <c r="J181" s="115"/>
      <c r="K181" s="260" t="str">
        <f t="shared" si="2"/>
        <v/>
      </c>
      <c r="L181" s="82"/>
    </row>
    <row r="182" spans="1:12" ht="29.25" customHeight="1" thickBot="1">
      <c r="A182" s="120"/>
      <c r="B182" s="118"/>
      <c r="C182" s="118"/>
      <c r="D182" s="116"/>
      <c r="E182" s="117"/>
      <c r="F182" s="117"/>
      <c r="G182" s="115"/>
      <c r="H182" s="115"/>
      <c r="I182" s="138"/>
      <c r="J182" s="115"/>
      <c r="K182" s="260" t="str">
        <f t="shared" si="2"/>
        <v/>
      </c>
      <c r="L182" s="82"/>
    </row>
    <row r="183" spans="1:12" ht="29.25" customHeight="1" thickBot="1">
      <c r="A183" s="120"/>
      <c r="B183" s="118"/>
      <c r="C183" s="118"/>
      <c r="D183" s="116"/>
      <c r="E183" s="117"/>
      <c r="F183" s="117"/>
      <c r="G183" s="115"/>
      <c r="H183" s="115"/>
      <c r="I183" s="138"/>
      <c r="J183" s="115"/>
      <c r="K183" s="260" t="str">
        <f t="shared" si="2"/>
        <v/>
      </c>
      <c r="L183" s="82"/>
    </row>
    <row r="184" spans="1:12" ht="29.25" customHeight="1" thickBot="1">
      <c r="A184" s="120"/>
      <c r="B184" s="118"/>
      <c r="C184" s="118"/>
      <c r="D184" s="116"/>
      <c r="E184" s="117"/>
      <c r="F184" s="117"/>
      <c r="G184" s="115"/>
      <c r="H184" s="115"/>
      <c r="I184" s="138"/>
      <c r="J184" s="115"/>
      <c r="K184" s="260" t="str">
        <f t="shared" si="2"/>
        <v/>
      </c>
      <c r="L184" s="82"/>
    </row>
    <row r="185" spans="1:12" ht="29.25" customHeight="1" thickBot="1">
      <c r="A185" s="120"/>
      <c r="B185" s="118"/>
      <c r="C185" s="118"/>
      <c r="D185" s="116"/>
      <c r="E185" s="117"/>
      <c r="F185" s="117"/>
      <c r="G185" s="115"/>
      <c r="H185" s="115"/>
      <c r="I185" s="138"/>
      <c r="J185" s="115"/>
      <c r="K185" s="260" t="str">
        <f t="shared" si="2"/>
        <v/>
      </c>
      <c r="L185" s="82"/>
    </row>
    <row r="186" spans="1:12" ht="29.25" customHeight="1" thickBot="1">
      <c r="A186" s="120"/>
      <c r="B186" s="118"/>
      <c r="C186" s="118"/>
      <c r="D186" s="116"/>
      <c r="E186" s="117"/>
      <c r="F186" s="117"/>
      <c r="G186" s="115"/>
      <c r="H186" s="115"/>
      <c r="I186" s="138"/>
      <c r="J186" s="115"/>
      <c r="K186" s="260" t="str">
        <f t="shared" si="2"/>
        <v/>
      </c>
      <c r="L186" s="82"/>
    </row>
    <row r="187" spans="1:12" ht="29.25" customHeight="1" thickBot="1">
      <c r="A187" s="120"/>
      <c r="B187" s="118"/>
      <c r="C187" s="118"/>
      <c r="D187" s="116"/>
      <c r="E187" s="117"/>
      <c r="F187" s="117"/>
      <c r="G187" s="115"/>
      <c r="H187" s="115"/>
      <c r="I187" s="138"/>
      <c r="J187" s="115"/>
      <c r="K187" s="260" t="str">
        <f t="shared" si="2"/>
        <v/>
      </c>
      <c r="L187" s="82"/>
    </row>
    <row r="188" spans="1:12" ht="29.25" customHeight="1" thickBot="1">
      <c r="A188" s="120"/>
      <c r="B188" s="118"/>
      <c r="C188" s="118"/>
      <c r="D188" s="116"/>
      <c r="E188" s="117"/>
      <c r="F188" s="117"/>
      <c r="G188" s="115"/>
      <c r="H188" s="115"/>
      <c r="I188" s="138"/>
      <c r="J188" s="115"/>
      <c r="K188" s="260" t="str">
        <f t="shared" si="2"/>
        <v/>
      </c>
      <c r="L188" s="82"/>
    </row>
    <row r="189" spans="1:12" ht="29.25" customHeight="1" thickBot="1">
      <c r="A189" s="120"/>
      <c r="B189" s="118"/>
      <c r="C189" s="118"/>
      <c r="D189" s="116"/>
      <c r="E189" s="117"/>
      <c r="F189" s="117"/>
      <c r="G189" s="115"/>
      <c r="H189" s="115"/>
      <c r="I189" s="138"/>
      <c r="J189" s="115"/>
      <c r="K189" s="260" t="str">
        <f t="shared" si="2"/>
        <v/>
      </c>
      <c r="L189" s="82"/>
    </row>
    <row r="190" spans="1:12" ht="29.25" customHeight="1" thickBot="1">
      <c r="A190" s="120"/>
      <c r="B190" s="118"/>
      <c r="C190" s="118"/>
      <c r="D190" s="116"/>
      <c r="E190" s="117"/>
      <c r="F190" s="117"/>
      <c r="G190" s="115"/>
      <c r="H190" s="115"/>
      <c r="I190" s="138"/>
      <c r="J190" s="115"/>
      <c r="K190" s="260" t="str">
        <f t="shared" si="2"/>
        <v/>
      </c>
      <c r="L190" s="82"/>
    </row>
    <row r="191" spans="1:12" ht="29.25" customHeight="1" thickBot="1">
      <c r="A191" s="120"/>
      <c r="B191" s="118"/>
      <c r="C191" s="118"/>
      <c r="D191" s="116"/>
      <c r="E191" s="117"/>
      <c r="F191" s="117"/>
      <c r="G191" s="115"/>
      <c r="H191" s="115"/>
      <c r="I191" s="138"/>
      <c r="J191" s="115"/>
      <c r="K191" s="260" t="str">
        <f t="shared" si="2"/>
        <v/>
      </c>
      <c r="L191" s="82"/>
    </row>
    <row r="192" spans="1:12" ht="29.25" customHeight="1" thickBot="1">
      <c r="A192" s="120"/>
      <c r="B192" s="118"/>
      <c r="C192" s="118"/>
      <c r="D192" s="116"/>
      <c r="E192" s="117"/>
      <c r="F192" s="117"/>
      <c r="G192" s="115"/>
      <c r="H192" s="115"/>
      <c r="I192" s="138"/>
      <c r="J192" s="115"/>
      <c r="K192" s="260" t="str">
        <f t="shared" si="2"/>
        <v/>
      </c>
      <c r="L192" s="82"/>
    </row>
    <row r="193" spans="1:12" ht="29.25" customHeight="1" thickBot="1">
      <c r="A193" s="120"/>
      <c r="B193" s="118"/>
      <c r="C193" s="118"/>
      <c r="D193" s="116"/>
      <c r="E193" s="117"/>
      <c r="F193" s="117"/>
      <c r="G193" s="115"/>
      <c r="H193" s="115"/>
      <c r="I193" s="138"/>
      <c r="J193" s="115"/>
      <c r="K193" s="260" t="str">
        <f t="shared" si="2"/>
        <v/>
      </c>
      <c r="L193" s="82"/>
    </row>
    <row r="194" spans="1:12" ht="29.25" customHeight="1" thickBot="1">
      <c r="A194" s="120"/>
      <c r="B194" s="118"/>
      <c r="C194" s="118"/>
      <c r="D194" s="116"/>
      <c r="E194" s="117"/>
      <c r="F194" s="117"/>
      <c r="G194" s="115"/>
      <c r="H194" s="115"/>
      <c r="I194" s="138"/>
      <c r="J194" s="115"/>
      <c r="K194" s="260" t="str">
        <f t="shared" si="2"/>
        <v/>
      </c>
      <c r="L194" s="82"/>
    </row>
    <row r="195" spans="1:12" ht="29.25" customHeight="1" thickBot="1">
      <c r="A195" s="120"/>
      <c r="B195" s="118"/>
      <c r="C195" s="118"/>
      <c r="D195" s="116"/>
      <c r="E195" s="117"/>
      <c r="F195" s="117"/>
      <c r="G195" s="115"/>
      <c r="H195" s="115"/>
      <c r="I195" s="138"/>
      <c r="J195" s="115"/>
      <c r="K195" s="260" t="str">
        <f t="shared" si="2"/>
        <v/>
      </c>
      <c r="L195" s="82"/>
    </row>
    <row r="196" spans="1:12" ht="29.25" customHeight="1" thickBot="1">
      <c r="A196" s="120"/>
      <c r="B196" s="118"/>
      <c r="C196" s="118"/>
      <c r="D196" s="116"/>
      <c r="E196" s="117"/>
      <c r="F196" s="117"/>
      <c r="G196" s="115"/>
      <c r="H196" s="115"/>
      <c r="I196" s="138"/>
      <c r="J196" s="115"/>
      <c r="K196" s="260" t="str">
        <f t="shared" si="2"/>
        <v/>
      </c>
      <c r="L196" s="82"/>
    </row>
    <row r="197" spans="1:12" ht="29.25" customHeight="1" thickBot="1">
      <c r="A197" s="120"/>
      <c r="B197" s="118"/>
      <c r="C197" s="118"/>
      <c r="D197" s="116"/>
      <c r="E197" s="117"/>
      <c r="F197" s="117"/>
      <c r="G197" s="115"/>
      <c r="H197" s="115"/>
      <c r="I197" s="138"/>
      <c r="J197" s="115"/>
      <c r="K197" s="260" t="str">
        <f t="shared" si="2"/>
        <v/>
      </c>
      <c r="L197" s="82"/>
    </row>
    <row r="198" spans="1:12" ht="29.25" customHeight="1" thickBot="1">
      <c r="A198" s="120"/>
      <c r="B198" s="118"/>
      <c r="C198" s="118"/>
      <c r="D198" s="116"/>
      <c r="E198" s="117"/>
      <c r="F198" s="117"/>
      <c r="G198" s="115"/>
      <c r="H198" s="115"/>
      <c r="I198" s="138"/>
      <c r="J198" s="115"/>
      <c r="K198" s="260" t="str">
        <f t="shared" si="2"/>
        <v/>
      </c>
      <c r="L198" s="82"/>
    </row>
    <row r="199" spans="1:12" ht="29.25" customHeight="1" thickBot="1">
      <c r="A199" s="120"/>
      <c r="B199" s="118"/>
      <c r="C199" s="118"/>
      <c r="D199" s="116"/>
      <c r="E199" s="117"/>
      <c r="F199" s="117"/>
      <c r="G199" s="115"/>
      <c r="H199" s="115"/>
      <c r="I199" s="138"/>
      <c r="J199" s="115"/>
      <c r="K199" s="260" t="str">
        <f t="shared" si="2"/>
        <v/>
      </c>
      <c r="L199" s="82"/>
    </row>
    <row r="200" spans="1:12" ht="29.25" customHeight="1" thickBot="1">
      <c r="A200" s="120"/>
      <c r="B200" s="118"/>
      <c r="C200" s="118"/>
      <c r="D200" s="116"/>
      <c r="E200" s="117"/>
      <c r="F200" s="117"/>
      <c r="G200" s="115"/>
      <c r="H200" s="115"/>
      <c r="I200" s="138"/>
      <c r="J200" s="115"/>
      <c r="K200" s="260" t="str">
        <f t="shared" si="2"/>
        <v/>
      </c>
      <c r="L200" s="82"/>
    </row>
    <row r="201" spans="1:12" ht="29.25" customHeight="1" thickBot="1">
      <c r="A201" s="120"/>
      <c r="B201" s="118"/>
      <c r="C201" s="118"/>
      <c r="D201" s="116"/>
      <c r="E201" s="117"/>
      <c r="F201" s="117"/>
      <c r="G201" s="115"/>
      <c r="H201" s="115"/>
      <c r="I201" s="138"/>
      <c r="J201" s="115"/>
      <c r="K201" s="260" t="str">
        <f t="shared" si="2"/>
        <v/>
      </c>
      <c r="L201" s="82"/>
    </row>
    <row r="202" spans="1:12" ht="29.25" customHeight="1" thickBot="1">
      <c r="A202" s="120"/>
      <c r="B202" s="118"/>
      <c r="C202" s="118"/>
      <c r="D202" s="116"/>
      <c r="E202" s="117"/>
      <c r="F202" s="117"/>
      <c r="G202" s="115"/>
      <c r="H202" s="115"/>
      <c r="I202" s="138"/>
      <c r="J202" s="115"/>
      <c r="K202" s="260" t="str">
        <f t="shared" ref="K202:K258" si="3">IF((H202+I202-J202)=0, "", (H202+I202-J202))</f>
        <v/>
      </c>
      <c r="L202" s="82"/>
    </row>
    <row r="203" spans="1:12" ht="29.25" customHeight="1" thickBot="1">
      <c r="A203" s="120"/>
      <c r="B203" s="118"/>
      <c r="C203" s="118"/>
      <c r="D203" s="116"/>
      <c r="E203" s="117"/>
      <c r="F203" s="117"/>
      <c r="G203" s="115"/>
      <c r="H203" s="115"/>
      <c r="I203" s="138"/>
      <c r="J203" s="115"/>
      <c r="K203" s="260" t="str">
        <f t="shared" si="3"/>
        <v/>
      </c>
      <c r="L203" s="82"/>
    </row>
    <row r="204" spans="1:12" ht="29.25" customHeight="1" thickBot="1">
      <c r="A204" s="120"/>
      <c r="B204" s="118"/>
      <c r="C204" s="118"/>
      <c r="D204" s="116"/>
      <c r="E204" s="117"/>
      <c r="F204" s="117"/>
      <c r="G204" s="115"/>
      <c r="H204" s="115"/>
      <c r="I204" s="138"/>
      <c r="J204" s="115"/>
      <c r="K204" s="260" t="str">
        <f t="shared" si="3"/>
        <v/>
      </c>
      <c r="L204" s="82"/>
    </row>
    <row r="205" spans="1:12" ht="29.25" customHeight="1" thickBot="1">
      <c r="A205" s="120"/>
      <c r="B205" s="118"/>
      <c r="C205" s="118"/>
      <c r="D205" s="116"/>
      <c r="E205" s="117"/>
      <c r="F205" s="117"/>
      <c r="G205" s="115"/>
      <c r="H205" s="115"/>
      <c r="I205" s="138"/>
      <c r="J205" s="115"/>
      <c r="K205" s="260" t="str">
        <f t="shared" si="3"/>
        <v/>
      </c>
      <c r="L205" s="82"/>
    </row>
    <row r="206" spans="1:12" ht="29.25" customHeight="1" thickBot="1">
      <c r="A206" s="120"/>
      <c r="B206" s="118"/>
      <c r="C206" s="118"/>
      <c r="D206" s="116"/>
      <c r="E206" s="117"/>
      <c r="F206" s="117"/>
      <c r="G206" s="115"/>
      <c r="H206" s="115"/>
      <c r="I206" s="138"/>
      <c r="J206" s="115"/>
      <c r="K206" s="260" t="str">
        <f t="shared" si="3"/>
        <v/>
      </c>
      <c r="L206" s="82"/>
    </row>
    <row r="207" spans="1:12" ht="29.25" customHeight="1" thickBot="1">
      <c r="A207" s="120"/>
      <c r="B207" s="118"/>
      <c r="C207" s="118"/>
      <c r="D207" s="116"/>
      <c r="E207" s="117"/>
      <c r="F207" s="117"/>
      <c r="G207" s="115"/>
      <c r="H207" s="115"/>
      <c r="I207" s="138"/>
      <c r="J207" s="115"/>
      <c r="K207" s="260" t="str">
        <f t="shared" si="3"/>
        <v/>
      </c>
      <c r="L207" s="82"/>
    </row>
    <row r="208" spans="1:12" ht="29.25" customHeight="1" thickBot="1">
      <c r="A208" s="120"/>
      <c r="B208" s="118"/>
      <c r="C208" s="118"/>
      <c r="D208" s="116"/>
      <c r="E208" s="117"/>
      <c r="F208" s="117"/>
      <c r="G208" s="115"/>
      <c r="H208" s="115"/>
      <c r="I208" s="138"/>
      <c r="J208" s="115"/>
      <c r="K208" s="260" t="str">
        <f t="shared" si="3"/>
        <v/>
      </c>
      <c r="L208" s="82"/>
    </row>
    <row r="209" spans="1:12" ht="29.25" customHeight="1" thickBot="1">
      <c r="A209" s="120"/>
      <c r="B209" s="118"/>
      <c r="C209" s="118"/>
      <c r="D209" s="116"/>
      <c r="E209" s="117"/>
      <c r="F209" s="117"/>
      <c r="G209" s="115"/>
      <c r="H209" s="115"/>
      <c r="I209" s="138"/>
      <c r="J209" s="115"/>
      <c r="K209" s="260" t="str">
        <f t="shared" si="3"/>
        <v/>
      </c>
      <c r="L209" s="82"/>
    </row>
    <row r="210" spans="1:12" ht="29.25" customHeight="1" thickBot="1">
      <c r="A210" s="120"/>
      <c r="B210" s="118"/>
      <c r="C210" s="118"/>
      <c r="D210" s="116"/>
      <c r="E210" s="117"/>
      <c r="F210" s="117"/>
      <c r="G210" s="115"/>
      <c r="H210" s="115"/>
      <c r="I210" s="138"/>
      <c r="J210" s="115"/>
      <c r="K210" s="260" t="str">
        <f t="shared" si="3"/>
        <v/>
      </c>
      <c r="L210" s="82"/>
    </row>
    <row r="211" spans="1:12" ht="29.25" customHeight="1" thickBot="1">
      <c r="A211" s="120"/>
      <c r="B211" s="118"/>
      <c r="C211" s="118"/>
      <c r="D211" s="116"/>
      <c r="E211" s="117"/>
      <c r="F211" s="117"/>
      <c r="G211" s="115"/>
      <c r="H211" s="115"/>
      <c r="I211" s="138"/>
      <c r="J211" s="115"/>
      <c r="K211" s="260" t="str">
        <f t="shared" si="3"/>
        <v/>
      </c>
      <c r="L211" s="82"/>
    </row>
    <row r="212" spans="1:12" ht="29.25" customHeight="1" thickBot="1">
      <c r="A212" s="120"/>
      <c r="B212" s="118"/>
      <c r="C212" s="118"/>
      <c r="D212" s="116"/>
      <c r="E212" s="117"/>
      <c r="F212" s="117"/>
      <c r="G212" s="115"/>
      <c r="H212" s="115"/>
      <c r="I212" s="138"/>
      <c r="J212" s="115"/>
      <c r="K212" s="260" t="str">
        <f t="shared" si="3"/>
        <v/>
      </c>
      <c r="L212" s="82"/>
    </row>
    <row r="213" spans="1:12" ht="29.25" customHeight="1" thickBot="1">
      <c r="A213" s="120"/>
      <c r="B213" s="118"/>
      <c r="C213" s="118"/>
      <c r="D213" s="116"/>
      <c r="E213" s="117"/>
      <c r="F213" s="117"/>
      <c r="G213" s="115"/>
      <c r="H213" s="115"/>
      <c r="I213" s="138"/>
      <c r="J213" s="115"/>
      <c r="K213" s="260" t="str">
        <f t="shared" si="3"/>
        <v/>
      </c>
      <c r="L213" s="82"/>
    </row>
    <row r="214" spans="1:12" ht="29.25" customHeight="1" thickBot="1">
      <c r="A214" s="120"/>
      <c r="B214" s="118"/>
      <c r="C214" s="118"/>
      <c r="D214" s="116"/>
      <c r="E214" s="117"/>
      <c r="F214" s="117"/>
      <c r="G214" s="115"/>
      <c r="H214" s="115"/>
      <c r="I214" s="138"/>
      <c r="J214" s="115"/>
      <c r="K214" s="260" t="str">
        <f t="shared" si="3"/>
        <v/>
      </c>
      <c r="L214" s="82"/>
    </row>
    <row r="215" spans="1:12" ht="29.25" customHeight="1" thickBot="1">
      <c r="A215" s="120"/>
      <c r="B215" s="118"/>
      <c r="C215" s="118"/>
      <c r="D215" s="116"/>
      <c r="E215" s="117"/>
      <c r="F215" s="117"/>
      <c r="G215" s="115"/>
      <c r="H215" s="115"/>
      <c r="I215" s="138"/>
      <c r="J215" s="115"/>
      <c r="K215" s="260" t="str">
        <f t="shared" si="3"/>
        <v/>
      </c>
      <c r="L215" s="82"/>
    </row>
    <row r="216" spans="1:12" ht="29.25" customHeight="1" thickBot="1">
      <c r="A216" s="120"/>
      <c r="B216" s="118"/>
      <c r="C216" s="118"/>
      <c r="D216" s="116"/>
      <c r="E216" s="117"/>
      <c r="F216" s="117"/>
      <c r="G216" s="115"/>
      <c r="H216" s="115"/>
      <c r="I216" s="138"/>
      <c r="J216" s="115"/>
      <c r="K216" s="260" t="str">
        <f t="shared" si="3"/>
        <v/>
      </c>
      <c r="L216" s="82"/>
    </row>
    <row r="217" spans="1:12" ht="29.25" customHeight="1" thickBot="1">
      <c r="A217" s="120"/>
      <c r="B217" s="118"/>
      <c r="C217" s="118"/>
      <c r="D217" s="116"/>
      <c r="E217" s="117"/>
      <c r="F217" s="117"/>
      <c r="G217" s="115"/>
      <c r="H217" s="115"/>
      <c r="I217" s="138"/>
      <c r="J217" s="115"/>
      <c r="K217" s="260" t="str">
        <f t="shared" si="3"/>
        <v/>
      </c>
      <c r="L217" s="82"/>
    </row>
    <row r="218" spans="1:12" ht="29.25" customHeight="1" thickBot="1">
      <c r="A218" s="120"/>
      <c r="B218" s="118"/>
      <c r="C218" s="118"/>
      <c r="D218" s="116"/>
      <c r="E218" s="117"/>
      <c r="F218" s="117"/>
      <c r="G218" s="115"/>
      <c r="H218" s="115"/>
      <c r="I218" s="138"/>
      <c r="J218" s="115"/>
      <c r="K218" s="260" t="str">
        <f t="shared" si="3"/>
        <v/>
      </c>
      <c r="L218" s="82"/>
    </row>
    <row r="219" spans="1:12" ht="29.25" customHeight="1" thickBot="1">
      <c r="A219" s="120"/>
      <c r="B219" s="118"/>
      <c r="C219" s="118"/>
      <c r="D219" s="116"/>
      <c r="E219" s="117"/>
      <c r="F219" s="117"/>
      <c r="G219" s="115"/>
      <c r="H219" s="115"/>
      <c r="I219" s="138"/>
      <c r="J219" s="115"/>
      <c r="K219" s="260" t="str">
        <f t="shared" si="3"/>
        <v/>
      </c>
      <c r="L219" s="82"/>
    </row>
    <row r="220" spans="1:12" ht="29.25" customHeight="1" thickBot="1">
      <c r="A220" s="120"/>
      <c r="B220" s="118"/>
      <c r="C220" s="118"/>
      <c r="D220" s="116"/>
      <c r="E220" s="117"/>
      <c r="F220" s="117"/>
      <c r="G220" s="115"/>
      <c r="H220" s="115"/>
      <c r="I220" s="138"/>
      <c r="J220" s="115"/>
      <c r="K220" s="260" t="str">
        <f t="shared" si="3"/>
        <v/>
      </c>
      <c r="L220" s="82"/>
    </row>
    <row r="221" spans="1:12" ht="29.25" customHeight="1" thickBot="1">
      <c r="A221" s="120"/>
      <c r="B221" s="118"/>
      <c r="C221" s="118"/>
      <c r="D221" s="116"/>
      <c r="E221" s="117"/>
      <c r="F221" s="117"/>
      <c r="G221" s="115"/>
      <c r="H221" s="115"/>
      <c r="I221" s="138"/>
      <c r="J221" s="115"/>
      <c r="K221" s="260" t="str">
        <f t="shared" si="3"/>
        <v/>
      </c>
      <c r="L221" s="82"/>
    </row>
    <row r="222" spans="1:12" ht="29.25" customHeight="1" thickBot="1">
      <c r="A222" s="120"/>
      <c r="B222" s="118"/>
      <c r="C222" s="118"/>
      <c r="D222" s="116"/>
      <c r="E222" s="117"/>
      <c r="F222" s="117"/>
      <c r="G222" s="115"/>
      <c r="H222" s="115"/>
      <c r="I222" s="138"/>
      <c r="J222" s="115"/>
      <c r="K222" s="260" t="str">
        <f t="shared" si="3"/>
        <v/>
      </c>
      <c r="L222" s="82"/>
    </row>
    <row r="223" spans="1:12" ht="29.25" customHeight="1" thickBot="1">
      <c r="A223" s="120"/>
      <c r="B223" s="118"/>
      <c r="C223" s="118"/>
      <c r="D223" s="116"/>
      <c r="E223" s="117"/>
      <c r="F223" s="117"/>
      <c r="G223" s="115"/>
      <c r="H223" s="115"/>
      <c r="I223" s="138"/>
      <c r="J223" s="115"/>
      <c r="K223" s="260" t="str">
        <f t="shared" si="3"/>
        <v/>
      </c>
      <c r="L223" s="82"/>
    </row>
    <row r="224" spans="1:12" ht="29.25" customHeight="1" thickBot="1">
      <c r="A224" s="120"/>
      <c r="B224" s="118"/>
      <c r="C224" s="118"/>
      <c r="D224" s="116"/>
      <c r="E224" s="117"/>
      <c r="F224" s="117"/>
      <c r="G224" s="115"/>
      <c r="H224" s="115"/>
      <c r="I224" s="138"/>
      <c r="J224" s="115"/>
      <c r="K224" s="260" t="str">
        <f t="shared" si="3"/>
        <v/>
      </c>
      <c r="L224" s="82"/>
    </row>
    <row r="225" spans="1:12" ht="29.25" customHeight="1" thickBot="1">
      <c r="A225" s="120"/>
      <c r="B225" s="118"/>
      <c r="C225" s="118"/>
      <c r="D225" s="116"/>
      <c r="E225" s="117"/>
      <c r="F225" s="117"/>
      <c r="G225" s="115"/>
      <c r="H225" s="115"/>
      <c r="I225" s="138"/>
      <c r="J225" s="115"/>
      <c r="K225" s="260" t="str">
        <f t="shared" si="3"/>
        <v/>
      </c>
      <c r="L225" s="82"/>
    </row>
    <row r="226" spans="1:12" ht="29.25" customHeight="1" thickBot="1">
      <c r="A226" s="120"/>
      <c r="B226" s="118"/>
      <c r="C226" s="118"/>
      <c r="D226" s="116"/>
      <c r="E226" s="117"/>
      <c r="F226" s="117"/>
      <c r="G226" s="115"/>
      <c r="H226" s="115"/>
      <c r="I226" s="138"/>
      <c r="J226" s="115"/>
      <c r="K226" s="260" t="str">
        <f t="shared" si="3"/>
        <v/>
      </c>
      <c r="L226" s="82"/>
    </row>
    <row r="227" spans="1:12" ht="29.25" customHeight="1" thickBot="1">
      <c r="A227" s="120"/>
      <c r="B227" s="118"/>
      <c r="C227" s="118"/>
      <c r="D227" s="116"/>
      <c r="E227" s="117"/>
      <c r="F227" s="117"/>
      <c r="G227" s="115"/>
      <c r="H227" s="115"/>
      <c r="I227" s="138"/>
      <c r="J227" s="115"/>
      <c r="K227" s="260" t="str">
        <f t="shared" si="3"/>
        <v/>
      </c>
      <c r="L227" s="82"/>
    </row>
    <row r="228" spans="1:12" ht="29.25" customHeight="1" thickBot="1">
      <c r="A228" s="120"/>
      <c r="B228" s="118"/>
      <c r="C228" s="118"/>
      <c r="D228" s="116"/>
      <c r="E228" s="117"/>
      <c r="F228" s="117"/>
      <c r="G228" s="115"/>
      <c r="H228" s="115"/>
      <c r="I228" s="138"/>
      <c r="J228" s="115"/>
      <c r="K228" s="260" t="str">
        <f t="shared" si="3"/>
        <v/>
      </c>
      <c r="L228" s="82"/>
    </row>
    <row r="229" spans="1:12" ht="29.25" customHeight="1" thickBot="1">
      <c r="A229" s="120"/>
      <c r="B229" s="118"/>
      <c r="C229" s="118"/>
      <c r="D229" s="116"/>
      <c r="E229" s="117"/>
      <c r="F229" s="117"/>
      <c r="G229" s="115"/>
      <c r="H229" s="115"/>
      <c r="I229" s="138"/>
      <c r="J229" s="115"/>
      <c r="K229" s="260" t="str">
        <f t="shared" si="3"/>
        <v/>
      </c>
      <c r="L229" s="82"/>
    </row>
    <row r="230" spans="1:12" ht="29.25" customHeight="1" thickBot="1">
      <c r="A230" s="120"/>
      <c r="B230" s="118"/>
      <c r="C230" s="118"/>
      <c r="D230" s="116"/>
      <c r="E230" s="117"/>
      <c r="F230" s="117"/>
      <c r="G230" s="115"/>
      <c r="H230" s="115"/>
      <c r="I230" s="138"/>
      <c r="J230" s="115"/>
      <c r="K230" s="260" t="str">
        <f t="shared" si="3"/>
        <v/>
      </c>
      <c r="L230" s="82"/>
    </row>
    <row r="231" spans="1:12" ht="29.25" customHeight="1" thickBot="1">
      <c r="A231" s="120"/>
      <c r="B231" s="118"/>
      <c r="C231" s="118"/>
      <c r="D231" s="116"/>
      <c r="E231" s="117"/>
      <c r="F231" s="117"/>
      <c r="G231" s="115"/>
      <c r="H231" s="115"/>
      <c r="I231" s="138"/>
      <c r="J231" s="115"/>
      <c r="K231" s="260" t="str">
        <f t="shared" si="3"/>
        <v/>
      </c>
      <c r="L231" s="82"/>
    </row>
    <row r="232" spans="1:12" ht="29.25" customHeight="1" thickBot="1">
      <c r="A232" s="120"/>
      <c r="B232" s="118"/>
      <c r="C232" s="118"/>
      <c r="D232" s="116"/>
      <c r="E232" s="117"/>
      <c r="F232" s="117"/>
      <c r="G232" s="115"/>
      <c r="H232" s="115"/>
      <c r="I232" s="138"/>
      <c r="J232" s="115"/>
      <c r="K232" s="260" t="str">
        <f t="shared" si="3"/>
        <v/>
      </c>
      <c r="L232" s="82"/>
    </row>
    <row r="233" spans="1:12" ht="29.25" customHeight="1" thickBot="1">
      <c r="A233" s="120"/>
      <c r="B233" s="118"/>
      <c r="C233" s="118"/>
      <c r="D233" s="116"/>
      <c r="E233" s="117"/>
      <c r="F233" s="117"/>
      <c r="G233" s="115"/>
      <c r="H233" s="115"/>
      <c r="I233" s="138"/>
      <c r="J233" s="115"/>
      <c r="K233" s="260" t="str">
        <f t="shared" si="3"/>
        <v/>
      </c>
      <c r="L233" s="82"/>
    </row>
    <row r="234" spans="1:12" ht="29.25" customHeight="1" thickBot="1">
      <c r="A234" s="120"/>
      <c r="B234" s="118"/>
      <c r="C234" s="118"/>
      <c r="D234" s="116"/>
      <c r="E234" s="117"/>
      <c r="F234" s="117"/>
      <c r="G234" s="115"/>
      <c r="H234" s="115"/>
      <c r="I234" s="138"/>
      <c r="J234" s="115"/>
      <c r="K234" s="260" t="str">
        <f t="shared" si="3"/>
        <v/>
      </c>
      <c r="L234" s="82"/>
    </row>
    <row r="235" spans="1:12" ht="29.25" customHeight="1" thickBot="1">
      <c r="A235" s="120"/>
      <c r="B235" s="118"/>
      <c r="C235" s="118"/>
      <c r="D235" s="116"/>
      <c r="E235" s="117"/>
      <c r="F235" s="117"/>
      <c r="G235" s="115"/>
      <c r="H235" s="115"/>
      <c r="I235" s="138"/>
      <c r="J235" s="115"/>
      <c r="K235" s="260" t="str">
        <f t="shared" si="3"/>
        <v/>
      </c>
      <c r="L235" s="82"/>
    </row>
    <row r="236" spans="1:12" ht="29.25" customHeight="1" thickBot="1">
      <c r="A236" s="120"/>
      <c r="B236" s="118"/>
      <c r="C236" s="118"/>
      <c r="D236" s="116"/>
      <c r="E236" s="117"/>
      <c r="F236" s="117"/>
      <c r="G236" s="115"/>
      <c r="H236" s="115"/>
      <c r="I236" s="138"/>
      <c r="J236" s="115"/>
      <c r="K236" s="260" t="str">
        <f t="shared" si="3"/>
        <v/>
      </c>
      <c r="L236" s="82"/>
    </row>
    <row r="237" spans="1:12" ht="29.25" customHeight="1" thickBot="1">
      <c r="A237" s="120"/>
      <c r="B237" s="118"/>
      <c r="C237" s="118"/>
      <c r="D237" s="116"/>
      <c r="E237" s="117"/>
      <c r="F237" s="117"/>
      <c r="G237" s="115"/>
      <c r="H237" s="115"/>
      <c r="I237" s="138"/>
      <c r="J237" s="115"/>
      <c r="K237" s="260" t="str">
        <f t="shared" si="3"/>
        <v/>
      </c>
      <c r="L237" s="82"/>
    </row>
    <row r="238" spans="1:12" ht="29.25" customHeight="1" thickBot="1">
      <c r="A238" s="120"/>
      <c r="B238" s="118"/>
      <c r="C238" s="118"/>
      <c r="D238" s="116"/>
      <c r="E238" s="117"/>
      <c r="F238" s="117"/>
      <c r="G238" s="115"/>
      <c r="H238" s="115"/>
      <c r="I238" s="138"/>
      <c r="J238" s="115"/>
      <c r="K238" s="260" t="str">
        <f t="shared" si="3"/>
        <v/>
      </c>
      <c r="L238" s="82"/>
    </row>
    <row r="239" spans="1:12" ht="29.25" customHeight="1" thickBot="1">
      <c r="A239" s="120"/>
      <c r="B239" s="118"/>
      <c r="C239" s="118"/>
      <c r="D239" s="116"/>
      <c r="E239" s="117"/>
      <c r="F239" s="117"/>
      <c r="G239" s="115"/>
      <c r="H239" s="115"/>
      <c r="I239" s="138"/>
      <c r="J239" s="115"/>
      <c r="K239" s="260" t="str">
        <f t="shared" si="3"/>
        <v/>
      </c>
      <c r="L239" s="82"/>
    </row>
    <row r="240" spans="1:12" ht="29.25" customHeight="1" thickBot="1">
      <c r="A240" s="120"/>
      <c r="B240" s="118"/>
      <c r="C240" s="118"/>
      <c r="D240" s="116"/>
      <c r="E240" s="117"/>
      <c r="F240" s="117"/>
      <c r="G240" s="115"/>
      <c r="H240" s="115"/>
      <c r="I240" s="138"/>
      <c r="J240" s="115"/>
      <c r="K240" s="260" t="str">
        <f t="shared" si="3"/>
        <v/>
      </c>
      <c r="L240" s="82"/>
    </row>
    <row r="241" spans="1:12" ht="29.25" customHeight="1" thickBot="1">
      <c r="A241" s="120"/>
      <c r="B241" s="118"/>
      <c r="C241" s="118"/>
      <c r="D241" s="116"/>
      <c r="E241" s="117"/>
      <c r="F241" s="117"/>
      <c r="G241" s="115"/>
      <c r="H241" s="115"/>
      <c r="I241" s="138"/>
      <c r="J241" s="115"/>
      <c r="K241" s="260" t="str">
        <f t="shared" si="3"/>
        <v/>
      </c>
      <c r="L241" s="82"/>
    </row>
    <row r="242" spans="1:12" ht="29.25" customHeight="1" thickBot="1">
      <c r="A242" s="120"/>
      <c r="B242" s="118"/>
      <c r="C242" s="118"/>
      <c r="D242" s="116"/>
      <c r="E242" s="117"/>
      <c r="F242" s="117"/>
      <c r="G242" s="115"/>
      <c r="H242" s="115"/>
      <c r="I242" s="138"/>
      <c r="J242" s="115"/>
      <c r="K242" s="260" t="str">
        <f t="shared" si="3"/>
        <v/>
      </c>
      <c r="L242" s="82"/>
    </row>
    <row r="243" spans="1:12" ht="29.25" customHeight="1" thickBot="1">
      <c r="A243" s="120"/>
      <c r="B243" s="118"/>
      <c r="C243" s="118"/>
      <c r="D243" s="116"/>
      <c r="E243" s="117"/>
      <c r="F243" s="117"/>
      <c r="G243" s="115"/>
      <c r="H243" s="115"/>
      <c r="I243" s="138"/>
      <c r="J243" s="115"/>
      <c r="K243" s="260" t="str">
        <f t="shared" si="3"/>
        <v/>
      </c>
      <c r="L243" s="82"/>
    </row>
    <row r="244" spans="1:12" ht="29.25" customHeight="1" thickBot="1">
      <c r="A244" s="120"/>
      <c r="B244" s="118"/>
      <c r="C244" s="118"/>
      <c r="D244" s="116"/>
      <c r="E244" s="117"/>
      <c r="F244" s="117"/>
      <c r="G244" s="115"/>
      <c r="H244" s="115"/>
      <c r="I244" s="138"/>
      <c r="J244" s="115"/>
      <c r="K244" s="260" t="str">
        <f t="shared" si="3"/>
        <v/>
      </c>
      <c r="L244" s="82"/>
    </row>
    <row r="245" spans="1:12" ht="29.25" customHeight="1" thickBot="1">
      <c r="A245" s="120"/>
      <c r="B245" s="118"/>
      <c r="C245" s="118"/>
      <c r="D245" s="116"/>
      <c r="E245" s="117"/>
      <c r="F245" s="117"/>
      <c r="G245" s="115"/>
      <c r="H245" s="115"/>
      <c r="I245" s="138"/>
      <c r="J245" s="115"/>
      <c r="K245" s="260" t="str">
        <f t="shared" si="3"/>
        <v/>
      </c>
      <c r="L245" s="82"/>
    </row>
    <row r="246" spans="1:12" ht="29.25" customHeight="1" thickBot="1">
      <c r="A246" s="120"/>
      <c r="B246" s="118"/>
      <c r="C246" s="118"/>
      <c r="D246" s="116"/>
      <c r="E246" s="117"/>
      <c r="F246" s="117"/>
      <c r="G246" s="115"/>
      <c r="H246" s="115"/>
      <c r="I246" s="138"/>
      <c r="J246" s="115"/>
      <c r="K246" s="260" t="str">
        <f t="shared" si="3"/>
        <v/>
      </c>
      <c r="L246" s="82"/>
    </row>
    <row r="247" spans="1:12" ht="29.25" customHeight="1" thickBot="1">
      <c r="A247" s="120"/>
      <c r="B247" s="118"/>
      <c r="C247" s="118"/>
      <c r="D247" s="116"/>
      <c r="E247" s="117"/>
      <c r="F247" s="117"/>
      <c r="G247" s="115"/>
      <c r="H247" s="115"/>
      <c r="I247" s="138"/>
      <c r="J247" s="115"/>
      <c r="K247" s="260" t="str">
        <f t="shared" si="3"/>
        <v/>
      </c>
      <c r="L247" s="82"/>
    </row>
    <row r="248" spans="1:12" ht="29.25" customHeight="1" thickBot="1">
      <c r="A248" s="120"/>
      <c r="B248" s="118"/>
      <c r="C248" s="118"/>
      <c r="D248" s="116"/>
      <c r="E248" s="117"/>
      <c r="F248" s="117"/>
      <c r="G248" s="115"/>
      <c r="H248" s="115"/>
      <c r="I248" s="138"/>
      <c r="J248" s="115"/>
      <c r="K248" s="260" t="str">
        <f t="shared" si="3"/>
        <v/>
      </c>
      <c r="L248" s="82"/>
    </row>
    <row r="249" spans="1:12" ht="29.25" customHeight="1" thickBot="1">
      <c r="A249" s="120"/>
      <c r="B249" s="118"/>
      <c r="C249" s="118"/>
      <c r="D249" s="116"/>
      <c r="E249" s="117"/>
      <c r="F249" s="117"/>
      <c r="G249" s="115"/>
      <c r="H249" s="115"/>
      <c r="I249" s="138"/>
      <c r="J249" s="115"/>
      <c r="K249" s="260" t="str">
        <f t="shared" si="3"/>
        <v/>
      </c>
      <c r="L249" s="82"/>
    </row>
    <row r="250" spans="1:12" ht="29.25" customHeight="1" thickBot="1">
      <c r="A250" s="120"/>
      <c r="B250" s="118"/>
      <c r="C250" s="118"/>
      <c r="D250" s="116"/>
      <c r="E250" s="117"/>
      <c r="F250" s="117"/>
      <c r="G250" s="115"/>
      <c r="H250" s="115"/>
      <c r="I250" s="138"/>
      <c r="J250" s="115"/>
      <c r="K250" s="260" t="str">
        <f t="shared" si="3"/>
        <v/>
      </c>
      <c r="L250" s="82"/>
    </row>
    <row r="251" spans="1:12" ht="29.25" customHeight="1" thickBot="1">
      <c r="A251" s="120"/>
      <c r="B251" s="118"/>
      <c r="C251" s="118"/>
      <c r="D251" s="116"/>
      <c r="E251" s="117"/>
      <c r="F251" s="117"/>
      <c r="G251" s="115"/>
      <c r="H251" s="115"/>
      <c r="I251" s="138"/>
      <c r="J251" s="115"/>
      <c r="K251" s="260" t="str">
        <f t="shared" si="3"/>
        <v/>
      </c>
      <c r="L251" s="82"/>
    </row>
    <row r="252" spans="1:12" ht="29.25" customHeight="1" thickBot="1">
      <c r="A252" s="120"/>
      <c r="B252" s="118"/>
      <c r="C252" s="118"/>
      <c r="D252" s="116"/>
      <c r="E252" s="117"/>
      <c r="F252" s="117"/>
      <c r="G252" s="115"/>
      <c r="H252" s="115"/>
      <c r="I252" s="138"/>
      <c r="J252" s="115"/>
      <c r="K252" s="260" t="str">
        <f t="shared" si="3"/>
        <v/>
      </c>
      <c r="L252" s="82"/>
    </row>
    <row r="253" spans="1:12" ht="29.25" customHeight="1" thickBot="1">
      <c r="A253" s="120"/>
      <c r="B253" s="118"/>
      <c r="C253" s="118"/>
      <c r="D253" s="116"/>
      <c r="E253" s="117"/>
      <c r="F253" s="117"/>
      <c r="G253" s="115"/>
      <c r="H253" s="115"/>
      <c r="I253" s="138"/>
      <c r="J253" s="115"/>
      <c r="K253" s="260" t="str">
        <f t="shared" si="3"/>
        <v/>
      </c>
      <c r="L253" s="82"/>
    </row>
    <row r="254" spans="1:12" ht="29.25" customHeight="1" thickBot="1">
      <c r="A254" s="120"/>
      <c r="B254" s="118"/>
      <c r="C254" s="116"/>
      <c r="D254" s="119"/>
      <c r="E254" s="117"/>
      <c r="F254" s="117"/>
      <c r="G254" s="115"/>
      <c r="H254" s="115"/>
      <c r="I254" s="138"/>
      <c r="J254" s="115"/>
      <c r="K254" s="260" t="str">
        <f t="shared" si="3"/>
        <v/>
      </c>
      <c r="L254" s="82"/>
    </row>
    <row r="255" spans="1:12" ht="29.25" customHeight="1" thickBot="1">
      <c r="A255" s="120"/>
      <c r="B255" s="118"/>
      <c r="C255" s="118"/>
      <c r="D255" s="116"/>
      <c r="E255" s="117"/>
      <c r="F255" s="117"/>
      <c r="G255" s="115"/>
      <c r="H255" s="115"/>
      <c r="I255" s="138"/>
      <c r="J255" s="115"/>
      <c r="K255" s="260" t="str">
        <f t="shared" si="3"/>
        <v/>
      </c>
      <c r="L255" s="82"/>
    </row>
    <row r="256" spans="1:12" ht="29.25" customHeight="1" thickBot="1">
      <c r="A256" s="120"/>
      <c r="B256" s="118"/>
      <c r="C256" s="118"/>
      <c r="D256" s="116"/>
      <c r="E256" s="117"/>
      <c r="F256" s="117"/>
      <c r="G256" s="115"/>
      <c r="H256" s="115"/>
      <c r="I256" s="138"/>
      <c r="J256" s="115"/>
      <c r="K256" s="260" t="str">
        <f t="shared" si="3"/>
        <v/>
      </c>
      <c r="L256" s="82"/>
    </row>
    <row r="257" spans="1:18" ht="29.25" customHeight="1" thickBot="1">
      <c r="A257" s="120"/>
      <c r="B257" s="118"/>
      <c r="C257" s="116"/>
      <c r="D257" s="119"/>
      <c r="E257" s="117"/>
      <c r="F257" s="117"/>
      <c r="G257" s="115"/>
      <c r="H257" s="115"/>
      <c r="I257" s="138"/>
      <c r="J257" s="115"/>
      <c r="K257" s="260" t="str">
        <f t="shared" si="3"/>
        <v/>
      </c>
      <c r="L257" s="82"/>
      <c r="R257" s="182"/>
    </row>
    <row r="258" spans="1:18" ht="29.25" customHeight="1" thickBot="1">
      <c r="A258" s="120"/>
      <c r="B258" s="118"/>
      <c r="C258" s="118"/>
      <c r="D258" s="120"/>
      <c r="E258" s="117"/>
      <c r="F258" s="117"/>
      <c r="G258" s="115"/>
      <c r="H258" s="115"/>
      <c r="I258" s="138"/>
      <c r="J258" s="115"/>
      <c r="K258" s="260" t="str">
        <f t="shared" si="3"/>
        <v/>
      </c>
      <c r="L258" s="82"/>
    </row>
    <row r="259" spans="1:18" ht="19" thickBot="1">
      <c r="A259" s="347" t="s">
        <v>62</v>
      </c>
      <c r="B259" s="347"/>
      <c r="C259" s="347"/>
      <c r="D259" s="347"/>
      <c r="E259" s="408"/>
      <c r="F259" s="193"/>
      <c r="G259" s="158">
        <f>SUM(,G9:G258)</f>
        <v>0</v>
      </c>
      <c r="H259" s="158">
        <f t="shared" ref="H259:J259" si="4">SUM(,H9:H258)</f>
        <v>0</v>
      </c>
      <c r="I259" s="158">
        <f t="shared" si="4"/>
        <v>0</v>
      </c>
      <c r="J259" s="158">
        <f t="shared" si="4"/>
        <v>0</v>
      </c>
      <c r="K259" s="260">
        <f>SUM(K9:K258)+K8</f>
        <v>0</v>
      </c>
      <c r="L259" s="98"/>
      <c r="M259" s="53"/>
      <c r="N259" s="53"/>
    </row>
    <row r="260" spans="1:18" ht="35" customHeight="1" thickBot="1">
      <c r="A260" s="261"/>
      <c r="B260" s="99"/>
      <c r="C260" s="100"/>
      <c r="D260" s="100"/>
      <c r="E260" s="100"/>
      <c r="F260" s="100"/>
      <c r="G260" s="101"/>
      <c r="H260" s="101"/>
      <c r="I260" s="101"/>
      <c r="J260" s="102"/>
      <c r="K260" s="262"/>
    </row>
    <row r="261" spans="1:18" ht="31" customHeight="1">
      <c r="A261" s="370" t="s">
        <v>93</v>
      </c>
      <c r="B261" s="370"/>
      <c r="C261" s="370"/>
      <c r="D261" s="370"/>
      <c r="E261" s="370"/>
      <c r="F261" s="370"/>
      <c r="G261" s="370"/>
      <c r="H261" s="370"/>
      <c r="I261" s="370"/>
      <c r="J261" s="370"/>
      <c r="K261" s="370"/>
    </row>
    <row r="262" spans="1:18" s="23" customFormat="1" ht="27" customHeight="1">
      <c r="A262" s="338" t="str">
        <f>IF('Summary Schedule'!C4="Direct-Funded",CONCATENATE("(1)  For the following ECMs, enter under ECM Size the total installed capacity of new equipment in the units specified;","chillers and packaged units in tons (e.g., for a chiller - 250 tons), VFDs in hp, boilers and furnaces in input Btu/hr, BAS/EMCS in number of points, transformers in kVA, generators in kW.","For lighting ECMs, specify baseline kW treated."),"(1)  This schedule is not to be altered or changed in any way.")</f>
        <v>(1)  This schedule is not to be altered or changed in any way.</v>
      </c>
      <c r="B262" s="338"/>
      <c r="C262" s="338"/>
      <c r="D262" s="338"/>
      <c r="E262" s="338"/>
      <c r="F262" s="338"/>
      <c r="G262" s="338"/>
      <c r="H262" s="338"/>
      <c r="I262" s="338"/>
      <c r="J262" s="338"/>
      <c r="K262" s="338"/>
    </row>
    <row r="263" spans="1:18" s="23" customFormat="1" ht="26" customHeight="1">
      <c r="A263" s="338" t="str">
        <f>IF('Summary Schedule'!C4="Direct-Funded",CONCATENATE("(2)  Implementation Cost shall include only direct costs for each ECM and no post-acceptance performance period expenses."," Mark-up are added to each of the ECMs and include direct and indirect costs as well as profit"),IF('Summary Schedule'!C4="UESC",CONCATENATE("(2)  Implementation Cost shall include only direct costs for each ECM and no post-acceptance performance period expenses."," Mark-up are added to each of the ECMs and include direct and indirect costs as well as profit",""),CONCATENATE("(2)  Cost of Goods and Services (Base Construction) shall include only direct costs for each ECM and no post-acceptance performance period expenses."," Project Implementation Delivery Charges are added to each of the ECMs and include direct and indirect costs as well as profit."," For IDIQ ESPC projects, Cost of Goods and Services and Project Implementation Delivery Charges are itemized in Schedule-2b.")))</f>
        <v>(2)  Cost of Goods and Services (Base Construction) shall include only direct costs for each ECM and no post-acceptance performance period expenses. Project Implementation Delivery Charges are added to each of the ECMs and include direct and indirect costs as well as profit. For IDIQ ESPC projects, Cost of Goods and Services and Project Implementation Delivery Charges are itemized in Schedule-2b.</v>
      </c>
      <c r="B263" s="338"/>
      <c r="C263" s="338"/>
      <c r="D263" s="338"/>
      <c r="E263" s="338"/>
      <c r="F263" s="338"/>
      <c r="G263" s="338"/>
      <c r="H263" s="338"/>
      <c r="I263" s="338"/>
      <c r="J263" s="338"/>
      <c r="K263" s="338"/>
    </row>
    <row r="264" spans="1:18" s="23" customFormat="1" ht="20" customHeight="1">
      <c r="A264" s="340" t="str">
        <f>IF('Summary Schedule'!C4="Direct-Funded", "(3) ECM coverage (%) represents the percentage share of the total project floor area (see Summary Schedule) affected by the ECM.", "(3)  Contractor shall attach adequate supporting information detailing total implementation price.")</f>
        <v>(3)  Contractor shall attach adequate supporting information detailing total implementation price.</v>
      </c>
      <c r="B264" s="340"/>
      <c r="C264" s="340"/>
      <c r="D264" s="340"/>
      <c r="E264" s="340"/>
      <c r="F264" s="340"/>
      <c r="G264" s="340"/>
      <c r="H264" s="340"/>
      <c r="I264" s="340"/>
      <c r="J264" s="340"/>
      <c r="K264" s="340"/>
    </row>
    <row r="265" spans="1:18" s="23" customFormat="1" ht="28" customHeight="1">
      <c r="A265" s="338" t="str">
        <f>IF('Summary Schedule'!C4="Direct-Funded","",CONCATENATE("(4)  For the following ECMs, enter under ECM Size the total installed capacity of new equipment in the units specified;","chillers and packaged units in tons (e.g., for a chiller - 250 tons), VFDs in hp, boilers and furnaces in input Btu/hr, BAS/EMCS in number of points, transformers in kVA, generators in kW.","For lighting ECMs, specify baseline kW treated."))</f>
        <v>(4)  For the following ECMs, enter under ECM Size the total installed capacity of new equipment in the units specified;chillers and packaged units in tons (e.g., for a chiller - 250 tons), VFDs in hp, boilers and furnaces in input Btu/hr, BAS/EMCS in number of points, transformers in kVA, generators in kW.For lighting ECMs, specify baseline kW treated.</v>
      </c>
      <c r="B265" s="338"/>
      <c r="C265" s="338"/>
      <c r="D265" s="338"/>
      <c r="E265" s="338"/>
      <c r="F265" s="338"/>
      <c r="G265" s="338"/>
      <c r="H265" s="338"/>
      <c r="I265" s="338"/>
      <c r="J265" s="338"/>
      <c r="K265" s="338"/>
    </row>
    <row r="266" spans="1:18" s="23" customFormat="1" ht="18" customHeight="1">
      <c r="A266" s="340" t="str">
        <f>IF('Summary Schedule'!C4="Direct-Funded","",CONCATENATE("(5)  ECM coverage (%) represents the percentage share of the total project floor area (see Summary Schedule) affected by the ECM."))</f>
        <v>(5)  ECM coverage (%) represents the percentage share of the total project floor area (see Summary Schedule) affected by the ECM.</v>
      </c>
      <c r="B266" s="340"/>
      <c r="C266" s="340"/>
      <c r="D266" s="340"/>
      <c r="E266" s="340"/>
      <c r="F266" s="340"/>
      <c r="G266" s="340"/>
      <c r="H266" s="340"/>
      <c r="I266" s="340"/>
      <c r="J266" s="340"/>
      <c r="K266" s="340"/>
    </row>
    <row r="267" spans="1:18" s="23" customFormat="1" ht="17" customHeight="1" thickBot="1">
      <c r="A267" s="338" t="str">
        <f>IF(OR('Summary Schedule'!C4="Direct-Funded", 'Summary Schedule'!C4="UESC"),"", "(6) The sum of M&amp;V expenses for each ECM equals the sum of items b and j on Schedule-2b.  These expenses are already included in the Base Construction Cost and Project Implementation Delivery Charge.")</f>
        <v>(6) The sum of M&amp;V expenses for each ECM equals the sum of items b and j on Schedule-2b.  These expenses are already included in the Base Construction Cost and Project Implementation Delivery Charge.</v>
      </c>
      <c r="B267" s="338"/>
      <c r="C267" s="338"/>
      <c r="D267" s="338"/>
      <c r="E267" s="338"/>
      <c r="F267" s="338"/>
      <c r="G267" s="338"/>
      <c r="H267" s="338"/>
      <c r="I267" s="338"/>
      <c r="J267" s="338"/>
      <c r="K267" s="338"/>
    </row>
    <row r="268" spans="1:18" s="23" customFormat="1" ht="16" customHeight="1">
      <c r="A268" s="364" t="s">
        <v>130</v>
      </c>
      <c r="B268" s="364"/>
      <c r="C268" s="364"/>
      <c r="D268" s="364"/>
      <c r="E268" s="364"/>
      <c r="F268" s="364"/>
      <c r="G268" s="364"/>
      <c r="H268" s="364"/>
      <c r="I268" s="364"/>
      <c r="J268" s="364"/>
      <c r="K268" s="364"/>
    </row>
    <row r="269" spans="1:18" ht="94" customHeight="1">
      <c r="A269" s="362"/>
      <c r="B269" s="362"/>
      <c r="C269" s="362"/>
      <c r="D269" s="362"/>
      <c r="E269" s="362"/>
      <c r="F269" s="362"/>
      <c r="G269" s="362"/>
      <c r="H269" s="362"/>
      <c r="I269" s="362"/>
      <c r="J269" s="362"/>
      <c r="K269" s="362"/>
    </row>
    <row r="270" spans="1:18">
      <c r="A270" s="163" t="str">
        <f>'Summary Schedule'!A53</f>
        <v>0710020</v>
      </c>
    </row>
    <row r="271" spans="1:18">
      <c r="A271" s="11" t="str">
        <f>'Summary Schedule'!A54</f>
        <v>3.0.15.n</v>
      </c>
    </row>
    <row r="272" spans="1:18">
      <c r="B272" s="320"/>
    </row>
  </sheetData>
  <sheetProtection algorithmName="SHA-512" hashValue="896LKSQUXZqVBI4GsMKcaW+agnS1EVeNJ//FuIQOZByEE8+RGH6MI/nmtO37Zq5T4lpelalRXyNwhGUsIkG7Cw==" saltValue="o7x7C3hX4+ww9glwz0Wh/w==" spinCount="100000" sheet="1" objects="1" scenarios="1"/>
  <mergeCells count="29">
    <mergeCell ref="K6:K7"/>
    <mergeCell ref="A269:K269"/>
    <mergeCell ref="A268:K268"/>
    <mergeCell ref="A267:K267"/>
    <mergeCell ref="A262:K262"/>
    <mergeCell ref="A264:K264"/>
    <mergeCell ref="A266:K266"/>
    <mergeCell ref="A259:E259"/>
    <mergeCell ref="A265:K265"/>
    <mergeCell ref="A263:K263"/>
    <mergeCell ref="A261:K261"/>
    <mergeCell ref="F4:F7"/>
    <mergeCell ref="A8:J8"/>
    <mergeCell ref="A1:K1"/>
    <mergeCell ref="A2:K2"/>
    <mergeCell ref="A3:K3"/>
    <mergeCell ref="H6:H7"/>
    <mergeCell ref="J6:J7"/>
    <mergeCell ref="J4:J5"/>
    <mergeCell ref="I6:I7"/>
    <mergeCell ref="I4:I5"/>
    <mergeCell ref="D4:D7"/>
    <mergeCell ref="A4:A7"/>
    <mergeCell ref="C4:C7"/>
    <mergeCell ref="H4:H5"/>
    <mergeCell ref="E4:E7"/>
    <mergeCell ref="G4:G7"/>
    <mergeCell ref="B4:B7"/>
    <mergeCell ref="K4:K5"/>
  </mergeCells>
  <conditionalFormatting sqref="G260:K260">
    <cfRule type="containsBlanks" dxfId="10" priority="12">
      <formula>LEN(TRIM(G260))=0</formula>
    </cfRule>
  </conditionalFormatting>
  <dataValidations disablePrompts="1" count="1">
    <dataValidation type="textLength" showInputMessage="1" showErrorMessage="1" sqref="C15:C258" xr:uid="{00000000-0002-0000-0500-000000000000}">
      <formula1>1</formula1>
      <formula2>200</formula2>
    </dataValidation>
  </dataValidations>
  <pageMargins left="0.75" right="0.75" top="1" bottom="1" header="0.5" footer="0.5"/>
  <pageSetup scale="40" fitToHeight="0"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expression" priority="39" id="{A84DE531-BB59-C645-B361-4BBC964466B7}">
            <xm:f>'Summary Schedule'!#REF!="Direct-Funded"</xm:f>
            <x14:dxf>
              <fill>
                <patternFill patternType="mediumGray">
                  <bgColor theme="0"/>
                </patternFill>
              </fill>
            </x14:dxf>
          </x14:cfRule>
          <xm:sqref>A8:J8</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1000000}">
          <x14:formula1>
            <xm:f>ECM!$A$3:$A$22</xm:f>
          </x14:formula1>
          <xm:sqref>A9:A258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30"/>
  <sheetViews>
    <sheetView zoomScale="75" zoomScaleNormal="75" zoomScalePageLayoutView="75" workbookViewId="0">
      <selection sqref="A1:F1"/>
    </sheetView>
  </sheetViews>
  <sheetFormatPr baseColWidth="10" defaultColWidth="11" defaultRowHeight="16"/>
  <cols>
    <col min="1" max="1" width="12.6640625" bestFit="1" customWidth="1"/>
    <col min="3" max="3" width="31.6640625" customWidth="1"/>
    <col min="4" max="4" width="58.83203125" customWidth="1"/>
    <col min="5" max="5" width="19" customWidth="1"/>
    <col min="6" max="6" width="19.33203125" customWidth="1"/>
    <col min="7" max="7" width="11.1640625" bestFit="1" customWidth="1"/>
  </cols>
  <sheetData>
    <row r="1" spans="1:9" s="11" customFormat="1" ht="20.25" customHeight="1">
      <c r="A1" s="343" t="s">
        <v>202</v>
      </c>
      <c r="B1" s="343"/>
      <c r="C1" s="343"/>
      <c r="D1" s="343"/>
      <c r="E1" s="343"/>
      <c r="F1" s="343"/>
    </row>
    <row r="2" spans="1:9" s="11" customFormat="1" ht="18" customHeight="1" thickBot="1">
      <c r="A2" s="416" t="s">
        <v>184</v>
      </c>
      <c r="B2" s="416"/>
      <c r="C2" s="416"/>
      <c r="D2" s="416"/>
      <c r="E2" s="416"/>
      <c r="F2" s="416"/>
    </row>
    <row r="3" spans="1:9" ht="56" customHeight="1" thickBot="1">
      <c r="A3" s="419"/>
      <c r="B3" s="54"/>
      <c r="C3" s="54" t="s">
        <v>212</v>
      </c>
      <c r="D3" s="95" t="s">
        <v>211</v>
      </c>
      <c r="E3" s="105" t="s">
        <v>228</v>
      </c>
      <c r="F3" s="95" t="s">
        <v>204</v>
      </c>
    </row>
    <row r="4" spans="1:9" ht="46" thickBot="1">
      <c r="A4" s="420"/>
      <c r="B4" s="94" t="s">
        <v>185</v>
      </c>
      <c r="C4" s="103" t="s">
        <v>227</v>
      </c>
      <c r="D4" s="297" t="s">
        <v>209</v>
      </c>
      <c r="E4" s="96"/>
      <c r="F4" s="263"/>
    </row>
    <row r="5" spans="1:9" ht="46" thickBot="1">
      <c r="A5" s="420"/>
      <c r="B5" s="91" t="s">
        <v>186</v>
      </c>
      <c r="C5" s="90" t="s">
        <v>207</v>
      </c>
      <c r="D5" s="298" t="s">
        <v>229</v>
      </c>
      <c r="E5" s="96"/>
      <c r="F5" s="263"/>
    </row>
    <row r="6" spans="1:9" ht="31" thickBot="1">
      <c r="A6" s="420"/>
      <c r="B6" s="91" t="s">
        <v>187</v>
      </c>
      <c r="C6" s="92" t="s">
        <v>208</v>
      </c>
      <c r="D6" s="298" t="s">
        <v>210</v>
      </c>
      <c r="E6" s="96"/>
      <c r="F6" s="263"/>
    </row>
    <row r="7" spans="1:9" ht="61" thickBot="1">
      <c r="A7" s="421"/>
      <c r="B7" s="91" t="s">
        <v>188</v>
      </c>
      <c r="C7" s="104" t="s">
        <v>306</v>
      </c>
      <c r="D7" s="298" t="s">
        <v>230</v>
      </c>
      <c r="E7" s="96"/>
      <c r="F7" s="263"/>
    </row>
    <row r="8" spans="1:9" ht="44" customHeight="1" thickBot="1">
      <c r="A8" s="252" t="s">
        <v>200</v>
      </c>
      <c r="B8" s="91" t="s">
        <v>189</v>
      </c>
      <c r="C8" s="422" t="s">
        <v>231</v>
      </c>
      <c r="D8" s="423"/>
      <c r="E8" s="96"/>
      <c r="F8" s="264">
        <f>SUM(F4:F7)</f>
        <v>0</v>
      </c>
      <c r="I8" s="11"/>
    </row>
    <row r="9" spans="1:9" ht="61" thickBot="1">
      <c r="A9" s="265"/>
      <c r="B9" s="91" t="s">
        <v>190</v>
      </c>
      <c r="C9" s="92" t="s">
        <v>191</v>
      </c>
      <c r="D9" s="299" t="s">
        <v>232</v>
      </c>
      <c r="E9" s="128"/>
      <c r="F9" s="263"/>
    </row>
    <row r="10" spans="1:9" ht="46" thickBot="1">
      <c r="A10" s="266"/>
      <c r="B10" s="91" t="s">
        <v>192</v>
      </c>
      <c r="C10" s="92" t="s">
        <v>193</v>
      </c>
      <c r="D10" s="298" t="s">
        <v>233</v>
      </c>
      <c r="E10" s="128"/>
      <c r="F10" s="263"/>
    </row>
    <row r="11" spans="1:9" ht="76" thickBot="1">
      <c r="A11" s="266"/>
      <c r="B11" s="91" t="s">
        <v>37</v>
      </c>
      <c r="C11" s="104" t="s">
        <v>234</v>
      </c>
      <c r="D11" s="300" t="s">
        <v>213</v>
      </c>
      <c r="E11" s="128"/>
      <c r="F11" s="263"/>
    </row>
    <row r="12" spans="1:9" ht="286" thickBot="1">
      <c r="A12" s="266"/>
      <c r="B12" s="91" t="s">
        <v>38</v>
      </c>
      <c r="C12" s="92" t="s">
        <v>214</v>
      </c>
      <c r="D12" s="298" t="s">
        <v>235</v>
      </c>
      <c r="E12" s="128"/>
      <c r="F12" s="263"/>
    </row>
    <row r="13" spans="1:9" ht="136" thickBot="1">
      <c r="A13" s="266"/>
      <c r="B13" s="91" t="s">
        <v>39</v>
      </c>
      <c r="C13" s="92" t="s">
        <v>215</v>
      </c>
      <c r="D13" s="298" t="s">
        <v>236</v>
      </c>
      <c r="E13" s="128"/>
      <c r="F13" s="263"/>
      <c r="H13" s="97"/>
    </row>
    <row r="14" spans="1:9" ht="31" thickBot="1">
      <c r="A14" s="267"/>
      <c r="B14" s="91" t="s">
        <v>73</v>
      </c>
      <c r="C14" s="104" t="s">
        <v>237</v>
      </c>
      <c r="D14" s="301" t="s">
        <v>239</v>
      </c>
      <c r="E14" s="129"/>
      <c r="F14" s="263"/>
    </row>
    <row r="15" spans="1:9" ht="31" thickBot="1">
      <c r="A15" s="267"/>
      <c r="B15" s="91" t="s">
        <v>194</v>
      </c>
      <c r="C15" s="104" t="s">
        <v>238</v>
      </c>
      <c r="D15" s="301" t="s">
        <v>240</v>
      </c>
      <c r="E15" s="129"/>
      <c r="F15" s="263"/>
    </row>
    <row r="16" spans="1:9" ht="29.25" customHeight="1" thickBot="1">
      <c r="A16" s="268" t="s">
        <v>198</v>
      </c>
      <c r="B16" s="91" t="s">
        <v>75</v>
      </c>
      <c r="C16" s="422" t="s">
        <v>244</v>
      </c>
      <c r="D16" s="423"/>
      <c r="E16" s="159" t="str">
        <f>IF(F8=0,"",F16/F8)</f>
        <v/>
      </c>
      <c r="F16" s="269">
        <f>SUM(F9:F15)</f>
        <v>0</v>
      </c>
    </row>
    <row r="17" spans="1:6" ht="17" thickBot="1">
      <c r="A17" s="265"/>
      <c r="B17" s="91" t="s">
        <v>195</v>
      </c>
      <c r="C17" s="422" t="s">
        <v>249</v>
      </c>
      <c r="D17" s="423"/>
      <c r="E17" s="96"/>
      <c r="F17" s="270">
        <f>'Sch2a-Imp Price by ECM'!K8</f>
        <v>0</v>
      </c>
    </row>
    <row r="18" spans="1:6" ht="17" thickBot="1">
      <c r="A18" s="271"/>
      <c r="B18" s="91" t="s">
        <v>196</v>
      </c>
      <c r="C18" s="424" t="s">
        <v>32</v>
      </c>
      <c r="D18" s="425"/>
      <c r="E18" s="96"/>
      <c r="F18" s="270">
        <f>'Sch2a-Imp Price by ECM'!J259</f>
        <v>0</v>
      </c>
    </row>
    <row r="19" spans="1:6" ht="49" customHeight="1" thickBot="1">
      <c r="A19" s="252" t="s">
        <v>199</v>
      </c>
      <c r="B19" s="91" t="s">
        <v>197</v>
      </c>
      <c r="C19" s="424" t="s">
        <v>201</v>
      </c>
      <c r="D19" s="425"/>
      <c r="E19" s="96"/>
      <c r="F19" s="272">
        <f>'Sch2a-Imp Price by ECM'!K259*0+F8+F16+F17-F18</f>
        <v>0</v>
      </c>
    </row>
    <row r="20" spans="1:6" ht="17" thickBot="1">
      <c r="A20" s="273"/>
      <c r="B20" s="93"/>
      <c r="C20" s="93"/>
      <c r="D20" s="93"/>
      <c r="E20" s="93"/>
      <c r="F20" s="93"/>
    </row>
    <row r="21" spans="1:6">
      <c r="A21" s="417" t="s">
        <v>15</v>
      </c>
      <c r="B21" s="417"/>
      <c r="C21" s="417"/>
      <c r="D21" s="417"/>
      <c r="E21" s="417"/>
      <c r="F21" s="417"/>
    </row>
    <row r="22" spans="1:6" ht="19" customHeight="1">
      <c r="A22" s="418" t="s">
        <v>241</v>
      </c>
      <c r="B22" s="418"/>
      <c r="C22" s="418"/>
      <c r="D22" s="418"/>
      <c r="E22" s="418"/>
      <c r="F22" s="418"/>
    </row>
    <row r="23" spans="1:6">
      <c r="A23" s="340"/>
      <c r="B23" s="340"/>
      <c r="C23" s="340"/>
      <c r="D23" s="340"/>
      <c r="E23" s="340"/>
      <c r="F23" s="340"/>
    </row>
    <row r="24" spans="1:6">
      <c r="A24" s="340"/>
      <c r="B24" s="340"/>
      <c r="C24" s="340"/>
      <c r="D24" s="340"/>
      <c r="E24" s="340"/>
      <c r="F24" s="340"/>
    </row>
    <row r="25" spans="1:6">
      <c r="A25" s="412"/>
      <c r="B25" s="412"/>
      <c r="C25" s="412"/>
      <c r="D25" s="412"/>
      <c r="E25" s="412"/>
      <c r="F25" s="412"/>
    </row>
    <row r="26" spans="1:6" ht="17" thickBot="1">
      <c r="A26" s="413"/>
      <c r="B26" s="413"/>
      <c r="C26" s="413"/>
      <c r="D26" s="413"/>
      <c r="E26" s="413"/>
      <c r="F26" s="413"/>
    </row>
    <row r="27" spans="1:6">
      <c r="A27" s="414" t="s">
        <v>130</v>
      </c>
      <c r="B27" s="414"/>
      <c r="C27" s="414"/>
      <c r="D27" s="414"/>
      <c r="E27" s="414"/>
      <c r="F27" s="414"/>
    </row>
    <row r="28" spans="1:6" ht="108" customHeight="1">
      <c r="A28" s="415"/>
      <c r="B28" s="415"/>
      <c r="C28" s="415"/>
      <c r="D28" s="415"/>
      <c r="E28" s="415"/>
      <c r="F28" s="415"/>
    </row>
    <row r="29" spans="1:6">
      <c r="A29" s="165" t="str">
        <f>'Sch2a-Imp Price by ECM'!A270</f>
        <v>0710020</v>
      </c>
    </row>
    <row r="30" spans="1:6">
      <c r="A30" t="str">
        <f>'Sch2a-Imp Price by ECM'!A271</f>
        <v>3.0.15.n</v>
      </c>
    </row>
  </sheetData>
  <sheetProtection algorithmName="SHA-512" hashValue="mrKYwnjv8Cbq3J5BtBZnClvBoTTXhBp42HgjODeRWwjkaKAnXC1w26JMqDVqduvpL9V9tpwltIjxydZL0BHbCQ==" saltValue="OGUQN8LALYdojbYvheIu9w==" spinCount="100000" sheet="1" objects="1" scenarios="1"/>
  <mergeCells count="16">
    <mergeCell ref="A1:F1"/>
    <mergeCell ref="A25:F25"/>
    <mergeCell ref="A26:F26"/>
    <mergeCell ref="A27:F27"/>
    <mergeCell ref="A28:F28"/>
    <mergeCell ref="A2:F2"/>
    <mergeCell ref="A21:F21"/>
    <mergeCell ref="A22:F22"/>
    <mergeCell ref="A23:F23"/>
    <mergeCell ref="A24:F24"/>
    <mergeCell ref="A3:A7"/>
    <mergeCell ref="C8:D8"/>
    <mergeCell ref="C16:D16"/>
    <mergeCell ref="C17:D17"/>
    <mergeCell ref="C18:D18"/>
    <mergeCell ref="C19:D19"/>
  </mergeCells>
  <dataValidations count="3">
    <dataValidation type="decimal" allowBlank="1" showInputMessage="1" showErrorMessage="1" errorTitle="Data Input Error" error="Please enter a percentage value between 0 and 100." sqref="E9:E14" xr:uid="{00000000-0002-0000-0600-000000000000}">
      <formula1>0</formula1>
      <formula2>1</formula2>
    </dataValidation>
    <dataValidation allowBlank="1" showInputMessage="1" showErrorMessage="1" errorTitle="Data Input Error" error="Please enter a percentage value between 0 and 100." sqref="E15" xr:uid="{00000000-0002-0000-0600-000001000000}"/>
    <dataValidation type="decimal" allowBlank="1" showInputMessage="1" showErrorMessage="1" errorTitle="Data Input Error" error="Please enter a dollar value " sqref="F4:F7" xr:uid="{00000000-0002-0000-0600-000002000000}">
      <formula1>0</formula1>
      <formula2>1000000000000</formula2>
    </dataValidation>
  </dataValidations>
  <pageMargins left="0.75" right="0.75" top="1" bottom="1" header="0.5" footer="0.5"/>
  <pageSetup orientation="portrait" horizontalDpi="4294967292" verticalDpi="4294967292"/>
  <ignoredErrors>
    <ignoredError sqref="F8 E16:F16" unlockedFormula="1"/>
  </ignoredErrors>
  <drawing r:id="rId1"/>
  <extLst>
    <ext xmlns:x14="http://schemas.microsoft.com/office/spreadsheetml/2009/9/main" uri="{78C0D931-6437-407d-A8EE-F0AAD7539E65}">
      <x14:conditionalFormattings>
        <x14:conditionalFormatting xmlns:xm="http://schemas.microsoft.com/office/excel/2006/main">
          <x14:cfRule type="expression" priority="1" id="{24164E18-64C4-444B-A2A7-48CA1C56B3FB}">
            <xm:f>'Summary Schedule'!$C$4&lt;&gt;"Guaranteed Savings"</xm:f>
            <x14:dxf>
              <font>
                <u val="none"/>
                <color theme="0" tint="-0.24994659260841701"/>
              </font>
              <fill>
                <patternFill patternType="solid">
                  <fgColor theme="0" tint="-0.24994659260841701"/>
                  <bgColor theme="0" tint="-0.24994659260841701"/>
                </patternFill>
              </fill>
              <border>
                <left/>
                <right/>
                <top/>
                <bottom/>
                <vertical/>
                <horizontal/>
              </border>
            </x14:dxf>
          </x14:cfRule>
          <xm:sqref>A1:F30</xm:sqref>
        </x14:conditionalFormatting>
      </x14:conditionalFormatting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C48"/>
  <sheetViews>
    <sheetView zoomScale="75" zoomScaleNormal="75" zoomScalePageLayoutView="200" workbookViewId="0">
      <selection sqref="A1:AC1"/>
    </sheetView>
  </sheetViews>
  <sheetFormatPr baseColWidth="10" defaultColWidth="11" defaultRowHeight="16"/>
  <cols>
    <col min="1" max="1" width="23.1640625" style="20" customWidth="1"/>
    <col min="2" max="2" width="32" style="20" customWidth="1"/>
    <col min="3" max="3" width="19.33203125" style="20" customWidth="1"/>
    <col min="4" max="4" width="22.6640625" style="20" customWidth="1"/>
    <col min="5" max="5" width="15" style="20" customWidth="1"/>
    <col min="6" max="11" width="16" style="20" bestFit="1" customWidth="1"/>
    <col min="12" max="12" width="13.6640625" style="20" customWidth="1"/>
    <col min="13" max="13" width="14.5" style="20" customWidth="1"/>
    <col min="14" max="14" width="13" style="20" customWidth="1"/>
    <col min="15" max="15" width="13.5" style="20" bestFit="1" customWidth="1"/>
    <col min="16" max="17" width="15.33203125" style="20" bestFit="1" customWidth="1"/>
    <col min="18" max="18" width="12.33203125" style="20" customWidth="1"/>
    <col min="19" max="19" width="13.1640625" style="20" customWidth="1"/>
    <col min="20" max="20" width="15.33203125" style="11" bestFit="1" customWidth="1"/>
    <col min="21" max="22" width="13.1640625" style="11" customWidth="1"/>
    <col min="23" max="23" width="13" style="11" customWidth="1"/>
    <col min="24" max="26" width="15.33203125" style="11" bestFit="1" customWidth="1"/>
    <col min="27" max="27" width="14.33203125" style="11" bestFit="1" customWidth="1"/>
    <col min="28" max="28" width="11.6640625" style="11" bestFit="1" customWidth="1"/>
    <col min="29" max="29" width="17" style="11" bestFit="1" customWidth="1"/>
    <col min="30" max="16384" width="11" style="11"/>
  </cols>
  <sheetData>
    <row r="1" spans="1:29" ht="20.25" customHeight="1">
      <c r="A1" s="428" t="s">
        <v>205</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row>
    <row r="2" spans="1:29" ht="15.75" customHeight="1" thickBot="1">
      <c r="A2" s="429" t="s">
        <v>79</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row>
    <row r="3" spans="1:29" ht="17" thickBot="1">
      <c r="A3" s="274"/>
      <c r="B3" s="12"/>
      <c r="C3" s="12"/>
      <c r="D3" s="12"/>
      <c r="E3" s="12"/>
      <c r="F3" s="12"/>
      <c r="G3" s="12"/>
      <c r="H3" s="12"/>
      <c r="I3" s="13"/>
      <c r="J3" s="14"/>
      <c r="K3" s="14"/>
      <c r="L3" s="14"/>
      <c r="M3" s="14"/>
      <c r="N3" s="14"/>
      <c r="O3" s="14"/>
      <c r="P3" s="14"/>
      <c r="Q3" s="14"/>
      <c r="R3" s="14"/>
      <c r="S3" s="14"/>
      <c r="T3" s="15"/>
      <c r="U3" s="15"/>
      <c r="V3" s="15"/>
      <c r="W3" s="15"/>
      <c r="X3" s="15"/>
      <c r="Y3" s="15"/>
      <c r="Z3" s="15"/>
      <c r="AA3" s="15"/>
      <c r="AB3" s="15"/>
      <c r="AC3" s="275"/>
    </row>
    <row r="4" spans="1:29" ht="31" thickBot="1">
      <c r="A4" s="276"/>
      <c r="B4" s="196" t="s">
        <v>183</v>
      </c>
      <c r="C4" s="197" t="s">
        <v>115</v>
      </c>
      <c r="D4" s="197">
        <v>1</v>
      </c>
      <c r="E4" s="197">
        <v>2</v>
      </c>
      <c r="F4" s="197">
        <v>3</v>
      </c>
      <c r="G4" s="196">
        <v>4</v>
      </c>
      <c r="H4" s="197">
        <v>5</v>
      </c>
      <c r="I4" s="197">
        <v>6</v>
      </c>
      <c r="J4" s="197">
        <v>7</v>
      </c>
      <c r="K4" s="197">
        <v>8</v>
      </c>
      <c r="L4" s="197">
        <v>9</v>
      </c>
      <c r="M4" s="197">
        <v>10</v>
      </c>
      <c r="N4" s="197">
        <v>11</v>
      </c>
      <c r="O4" s="197">
        <v>12</v>
      </c>
      <c r="P4" s="197">
        <v>13</v>
      </c>
      <c r="Q4" s="197">
        <v>14</v>
      </c>
      <c r="R4" s="197">
        <v>15</v>
      </c>
      <c r="S4" s="197">
        <v>16</v>
      </c>
      <c r="T4" s="197">
        <v>17</v>
      </c>
      <c r="U4" s="197">
        <v>18</v>
      </c>
      <c r="V4" s="197">
        <v>19</v>
      </c>
      <c r="W4" s="197">
        <v>20</v>
      </c>
      <c r="X4" s="197">
        <v>21</v>
      </c>
      <c r="Y4" s="197">
        <v>22</v>
      </c>
      <c r="Z4" s="197">
        <v>23</v>
      </c>
      <c r="AA4" s="197">
        <v>24</v>
      </c>
      <c r="AB4" s="197">
        <v>25</v>
      </c>
      <c r="AC4" s="216" t="s">
        <v>14</v>
      </c>
    </row>
    <row r="5" spans="1:29" ht="17" customHeight="1" thickBot="1">
      <c r="A5" s="433" t="str">
        <f>IF('Summary Schedule'!$C$4="Direct-Funded","Payments","Debt Service/Performance Period Payments")</f>
        <v>Debt Service/Performance Period Payments</v>
      </c>
      <c r="B5" s="16" t="str">
        <f>IF('Summary Schedule'!$C$4="Direct-Funded","","Principal Repayment")</f>
        <v>Principal Repayment</v>
      </c>
      <c r="C5" s="176"/>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277">
        <f>IF('Summary Schedule'!C4="Direct-Funded", "", SUM(D5:AB5))</f>
        <v>0</v>
      </c>
    </row>
    <row r="6" spans="1:29" ht="54.75" customHeight="1" thickBot="1">
      <c r="A6" s="434"/>
      <c r="B6" s="184" t="str">
        <f>IF('Summary Schedule'!$C$4="Direct-Funded","Incentives and Other Payments","Performance Period Incentives and Other Payments")</f>
        <v>Performance Period Incentives and Other Payments</v>
      </c>
      <c r="C6" s="59"/>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278">
        <f>SUM(D6:AB6)</f>
        <v>0</v>
      </c>
    </row>
    <row r="7" spans="1:29" ht="35" customHeight="1" thickBot="1">
      <c r="A7" s="43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1"/>
    </row>
    <row r="8" spans="1:29" ht="17" thickBot="1">
      <c r="A8" s="434"/>
      <c r="B8" s="184" t="str">
        <f>IF('Summary Schedule'!$C$4="Direct-Funded","","Interest ($)")</f>
        <v>Interest ($)</v>
      </c>
      <c r="C8" s="59"/>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277"/>
    </row>
    <row r="9" spans="1:29" ht="17" thickBot="1">
      <c r="A9" s="435"/>
      <c r="B9" s="305" t="str">
        <f>IF('Summary Schedule'!$C$4="Direct-Funded","","Total Debt Service (a)")</f>
        <v>Total Debt Service (a)</v>
      </c>
      <c r="C9" s="306"/>
      <c r="D9" s="177">
        <f>IF('Summary Schedule'!$C$4="Direct-Funded","",SUM(D8,D5))</f>
        <v>0</v>
      </c>
      <c r="E9" s="177">
        <f>IF('Summary Schedule'!$C$4="Direct-Funded","",SUM(E8,E5))</f>
        <v>0</v>
      </c>
      <c r="F9" s="177">
        <f>IF('Summary Schedule'!$C$4="Direct-Funded","",SUM(F8,F5))</f>
        <v>0</v>
      </c>
      <c r="G9" s="177">
        <f>IF('Summary Schedule'!$C$4="Direct-Funded","",SUM(G8,G5))</f>
        <v>0</v>
      </c>
      <c r="H9" s="177">
        <f>IF('Summary Schedule'!$C$4="Direct-Funded","",SUM(H8,H5))</f>
        <v>0</v>
      </c>
      <c r="I9" s="177">
        <f>IF('Summary Schedule'!$C$4="Direct-Funded","",SUM(I8,I5))</f>
        <v>0</v>
      </c>
      <c r="J9" s="177">
        <f>IF('Summary Schedule'!$C$4="Direct-Funded","",SUM(J8,J5))</f>
        <v>0</v>
      </c>
      <c r="K9" s="177">
        <f>IF('Summary Schedule'!$C$4="Direct-Funded","",SUM(K8,K5))</f>
        <v>0</v>
      </c>
      <c r="L9" s="177">
        <f>IF('Summary Schedule'!$C$4="Direct-Funded","",SUM(L8,L5))</f>
        <v>0</v>
      </c>
      <c r="M9" s="177">
        <f>IF('Summary Schedule'!$C$4="Direct-Funded","",SUM(M8,M5))</f>
        <v>0</v>
      </c>
      <c r="N9" s="177">
        <f>IF('Summary Schedule'!$C$4="Direct-Funded","",SUM(N8,N5))</f>
        <v>0</v>
      </c>
      <c r="O9" s="177">
        <f>IF('Summary Schedule'!$C$4="Direct-Funded","",SUM(O8,O5))</f>
        <v>0</v>
      </c>
      <c r="P9" s="177">
        <f>IF('Summary Schedule'!$C$4="Direct-Funded","",SUM(P8,P5))</f>
        <v>0</v>
      </c>
      <c r="Q9" s="177">
        <f>IF('Summary Schedule'!$C$4="Direct-Funded","",SUM(Q8,Q5))</f>
        <v>0</v>
      </c>
      <c r="R9" s="177">
        <f>IF('Summary Schedule'!$C$4="Direct-Funded","",SUM(R8,R5))</f>
        <v>0</v>
      </c>
      <c r="S9" s="177">
        <f>IF('Summary Schedule'!$C$4="Direct-Funded","",SUM(S8,S5))</f>
        <v>0</v>
      </c>
      <c r="T9" s="177">
        <f>IF('Summary Schedule'!$C$4="Direct-Funded","",SUM(T8,T5))</f>
        <v>0</v>
      </c>
      <c r="U9" s="177">
        <f>IF('Summary Schedule'!$C$4="Direct-Funded","",SUM(U8,U5))</f>
        <v>0</v>
      </c>
      <c r="V9" s="177">
        <f>IF('Summary Schedule'!$C$4="Direct-Funded","",SUM(V8,V5))</f>
        <v>0</v>
      </c>
      <c r="W9" s="177">
        <f>IF('Summary Schedule'!$C$4="Direct-Funded","",SUM(W8,W5))</f>
        <v>0</v>
      </c>
      <c r="X9" s="177">
        <f>IF('Summary Schedule'!$C$4="Direct-Funded","",SUM(X8,X5))</f>
        <v>0</v>
      </c>
      <c r="Y9" s="177">
        <f>IF('Summary Schedule'!$C$4="Direct-Funded","",SUM(Y8,Y5))</f>
        <v>0</v>
      </c>
      <c r="Z9" s="177">
        <f>IF('Summary Schedule'!$C$4="Direct-Funded","",SUM(Z8,Z5))</f>
        <v>0</v>
      </c>
      <c r="AA9" s="177">
        <f>IF('Summary Schedule'!$C$4="Direct-Funded","",SUM(AA8,AA5))</f>
        <v>0</v>
      </c>
      <c r="AB9" s="177">
        <f>IF('Summary Schedule'!$C$4="Direct-Funded","",SUM(AB8,AB5))</f>
        <v>0</v>
      </c>
      <c r="AC9" s="279">
        <f>IF('Summary Schedule'!$C$4="Direct-Funded","",SUM(AC8,AC5))</f>
        <v>0</v>
      </c>
    </row>
    <row r="10" spans="1:29" ht="17" thickBot="1">
      <c r="A10" s="437"/>
      <c r="B10" s="438"/>
      <c r="C10" s="438"/>
      <c r="D10" s="43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row>
    <row r="11" spans="1:29" ht="30.75" customHeight="1" thickBot="1">
      <c r="A11" s="434" t="s">
        <v>30</v>
      </c>
      <c r="B11" s="16" t="s">
        <v>11</v>
      </c>
      <c r="C11" s="59"/>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277">
        <f>SUM(D11:AB11)</f>
        <v>0</v>
      </c>
    </row>
    <row r="12" spans="1:29" ht="17" thickBot="1">
      <c r="A12" s="434"/>
      <c r="B12" s="16" t="s">
        <v>47</v>
      </c>
      <c r="C12" s="59"/>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277">
        <f t="shared" ref="AC12:AC17" si="0">SUM(D12:AB12)</f>
        <v>0</v>
      </c>
    </row>
    <row r="13" spans="1:29" ht="17" thickBot="1">
      <c r="A13" s="434"/>
      <c r="B13" s="16" t="s">
        <v>12</v>
      </c>
      <c r="C13" s="59"/>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277">
        <f t="shared" si="0"/>
        <v>0</v>
      </c>
    </row>
    <row r="14" spans="1:29" ht="17" thickBot="1">
      <c r="A14" s="434"/>
      <c r="B14" s="16" t="s">
        <v>13</v>
      </c>
      <c r="C14" s="59"/>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277">
        <f t="shared" si="0"/>
        <v>0</v>
      </c>
    </row>
    <row r="15" spans="1:29" ht="17" thickBot="1">
      <c r="A15" s="434"/>
      <c r="B15" s="175" t="str">
        <f>IF('Summary Schedule'!C4="UESC", "Performance Assurance", "Measurement and Verification")</f>
        <v>Measurement and Verification</v>
      </c>
      <c r="C15" s="59"/>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277">
        <f t="shared" si="0"/>
        <v>0</v>
      </c>
    </row>
    <row r="16" spans="1:29" ht="17" thickBot="1">
      <c r="A16" s="434"/>
      <c r="B16" s="170" t="s">
        <v>246</v>
      </c>
      <c r="C16" s="59"/>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277">
        <f t="shared" si="0"/>
        <v>0</v>
      </c>
    </row>
    <row r="17" spans="1:29" ht="17" thickBot="1">
      <c r="A17" s="434"/>
      <c r="B17" s="170" t="s">
        <v>247</v>
      </c>
      <c r="C17" s="59"/>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277">
        <f t="shared" si="0"/>
        <v>0</v>
      </c>
    </row>
    <row r="18" spans="1:29" ht="46" customHeight="1" thickBot="1">
      <c r="A18" s="434"/>
      <c r="B18" s="171" t="str">
        <f>IF('Summary Schedule'!C4="UESC","SUBTOTAL Before Application of Mark-up",IF('Summary Schedule'!C4="Direct-Funded","","SUBTOTAL Before Application of Performance Period Delivery Percentage"))</f>
        <v>SUBTOTAL Before Application of Performance Period Delivery Percentage</v>
      </c>
      <c r="C18" s="59"/>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277">
        <f>IF('Summary Schedule'!$C$4="Direct-Funded","", SUM(D18:AB18))</f>
        <v>0</v>
      </c>
    </row>
    <row r="19" spans="1:29" ht="31" thickBot="1">
      <c r="A19" s="434"/>
      <c r="B19" s="175" t="str">
        <f>IF('Summary Schedule'!C4="UESC", "Mark-up (Overhead &amp; Profit %)", IF('Summary Schedule'!C4="Direct-Funded","","Performance Period Delivery Percentage (%)"))</f>
        <v>Performance Period Delivery Percentage (%)</v>
      </c>
      <c r="C19" s="59"/>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321" t="e">
        <f>IF('Summary Schedule'!$C$4="Direct-Funded","", AVERAGE(D19:AB19))</f>
        <v>#DIV/0!</v>
      </c>
    </row>
    <row r="20" spans="1:29" ht="36" customHeight="1" thickBot="1">
      <c r="A20" s="434"/>
      <c r="B20" s="17" t="str">
        <f>IF('Summary Schedule'!C4="UESC", "Mark-up (Overhead &amp; Profit-$)", IF('Summary Schedule'!C4="Direct-Funded","","Performance Period Delivery Charge ($)"))</f>
        <v>Performance Period Delivery Charge ($)</v>
      </c>
      <c r="C20" s="59"/>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277">
        <f>IF('Summary Schedule'!$C$4="Direct-Funded","", SUM(D20:AB20))</f>
        <v>0</v>
      </c>
    </row>
    <row r="21" spans="1:29" ht="35" customHeight="1" thickBot="1">
      <c r="A21" s="436"/>
      <c r="B21" s="17" t="s">
        <v>242</v>
      </c>
      <c r="C21" s="59"/>
      <c r="D21" s="123">
        <f>IF('Summary Schedule'!$C$4="Direct-Funded",SUM('Sch3-Perf Period Cash Flow'!D11:D17), ROUND(D18+D20,0))</f>
        <v>0</v>
      </c>
      <c r="E21" s="123">
        <f>IF('Summary Schedule'!$C$4="Direct-Funded",SUM('Sch3-Perf Period Cash Flow'!E11:E17), ROUND(E18+E20,0))</f>
        <v>0</v>
      </c>
      <c r="F21" s="123">
        <f>IF('Summary Schedule'!$C$4="Direct-Funded",SUM('Sch3-Perf Period Cash Flow'!F11:F17), ROUND(F18+F20,0))</f>
        <v>0</v>
      </c>
      <c r="G21" s="123">
        <f>IF('Summary Schedule'!$C$4="Direct-Funded",SUM('Sch3-Perf Period Cash Flow'!G11:G17), ROUND(G18+G20,0))</f>
        <v>0</v>
      </c>
      <c r="H21" s="123">
        <f>IF('Summary Schedule'!$C$4="Direct-Funded",SUM('Sch3-Perf Period Cash Flow'!H11:H17), ROUND(H18+H20,0))</f>
        <v>0</v>
      </c>
      <c r="I21" s="123">
        <f>IF('Summary Schedule'!$C$4="Direct-Funded",SUM('Sch3-Perf Period Cash Flow'!I11:I17), ROUND(I18+I20,0))</f>
        <v>0</v>
      </c>
      <c r="J21" s="123">
        <f>IF('Summary Schedule'!$C$4="Direct-Funded",SUM('Sch3-Perf Period Cash Flow'!J11:J17), ROUND(J18+J20,0))</f>
        <v>0</v>
      </c>
      <c r="K21" s="123">
        <f>IF('Summary Schedule'!$C$4="Direct-Funded",SUM('Sch3-Perf Period Cash Flow'!K11:K17), ROUND(K18+K20,0))</f>
        <v>0</v>
      </c>
      <c r="L21" s="123">
        <f>IF('Summary Schedule'!$C$4="Direct-Funded",SUM('Sch3-Perf Period Cash Flow'!L11:L17), ROUND(L18+L20,0))</f>
        <v>0</v>
      </c>
      <c r="M21" s="123">
        <f>IF('Summary Schedule'!$C$4="Direct-Funded",SUM('Sch3-Perf Period Cash Flow'!M11:M17), ROUND(M18+M20,0))</f>
        <v>0</v>
      </c>
      <c r="N21" s="123">
        <f>IF('Summary Schedule'!$C$4="Direct-Funded",SUM('Sch3-Perf Period Cash Flow'!N11:N17), ROUND(N18+N20,0))</f>
        <v>0</v>
      </c>
      <c r="O21" s="123">
        <f>IF('Summary Schedule'!$C$4="Direct-Funded",SUM('Sch3-Perf Period Cash Flow'!O11:O17), ROUND(O18+O20,0))</f>
        <v>0</v>
      </c>
      <c r="P21" s="123">
        <f>IF('Summary Schedule'!$C$4="Direct-Funded",SUM('Sch3-Perf Period Cash Flow'!P11:P17), ROUND(P18+P20,0))</f>
        <v>0</v>
      </c>
      <c r="Q21" s="123">
        <f>IF('Summary Schedule'!$C$4="Direct-Funded",SUM('Sch3-Perf Period Cash Flow'!Q11:Q17), ROUND(Q18+Q20,0))</f>
        <v>0</v>
      </c>
      <c r="R21" s="123">
        <f>IF('Summary Schedule'!$C$4="Direct-Funded",SUM('Sch3-Perf Period Cash Flow'!R11:R17), ROUND(R18+R20,0))</f>
        <v>0</v>
      </c>
      <c r="S21" s="123">
        <f>IF('Summary Schedule'!$C$4="Direct-Funded",SUM('Sch3-Perf Period Cash Flow'!S11:S17), ROUND(S18+S20,0))</f>
        <v>0</v>
      </c>
      <c r="T21" s="123">
        <f>IF('Summary Schedule'!$C$4="Direct-Funded",SUM('Sch3-Perf Period Cash Flow'!T11:T17), ROUND(T18+T20,0))</f>
        <v>0</v>
      </c>
      <c r="U21" s="123">
        <f>IF('Summary Schedule'!$C$4="Direct-Funded",SUM('Sch3-Perf Period Cash Flow'!U11:U17), ROUND(U18+U20,0))</f>
        <v>0</v>
      </c>
      <c r="V21" s="123">
        <f>IF('Summary Schedule'!$C$4="Direct-Funded",SUM('Sch3-Perf Period Cash Flow'!V11:V17), ROUND(V18+V20,0))</f>
        <v>0</v>
      </c>
      <c r="W21" s="123">
        <f>IF('Summary Schedule'!$C$4="Direct-Funded",SUM('Sch3-Perf Period Cash Flow'!W11:W17), ROUND(W18+W20,0))</f>
        <v>0</v>
      </c>
      <c r="X21" s="123">
        <f>IF('Summary Schedule'!$C$4="Direct-Funded",SUM('Sch3-Perf Period Cash Flow'!X11:X17), ROUND(X18+X20,0))</f>
        <v>0</v>
      </c>
      <c r="Y21" s="123">
        <f>IF('Summary Schedule'!$C$4="Direct-Funded",SUM('Sch3-Perf Period Cash Flow'!Y11:Y17), ROUND(Y18+Y20,0))</f>
        <v>0</v>
      </c>
      <c r="Z21" s="123">
        <f>IF('Summary Schedule'!$C$4="Direct-Funded",SUM('Sch3-Perf Period Cash Flow'!Z11:Z17), ROUND(Z18+Z20,0))</f>
        <v>0</v>
      </c>
      <c r="AA21" s="123">
        <f>IF('Summary Schedule'!$C$4="Direct-Funded",SUM('Sch3-Perf Period Cash Flow'!AA11:AA17), ROUND(AA18+AA20,0))</f>
        <v>0</v>
      </c>
      <c r="AB21" s="123">
        <f>IF('Summary Schedule'!$C$4="Direct-Funded",SUM('Sch3-Perf Period Cash Flow'!AB11:AB17), ROUND(AB18+AB20,0))</f>
        <v>0</v>
      </c>
      <c r="AC21" s="280">
        <f>SUM(D21:AB21)</f>
        <v>0</v>
      </c>
    </row>
    <row r="22" spans="1:29" ht="17" thickBot="1">
      <c r="A22" s="281"/>
      <c r="B22" s="18"/>
      <c r="C22" s="173"/>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row>
    <row r="23" spans="1:29" ht="65.25" customHeight="1" thickBot="1">
      <c r="A23" s="282" t="s">
        <v>31</v>
      </c>
      <c r="B23" s="172" t="str">
        <f>IF('Summary Schedule'!$C$4="Direct-Funded","ANNUAL CASH FLOW", "TOTAL - ANNUAL PAYMENTS (b)-(a)")</f>
        <v>TOTAL - ANNUAL PAYMENTS (b)-(a)</v>
      </c>
      <c r="C23" s="174"/>
      <c r="D23" s="160">
        <f>IF('Summary Schedule'!$C$4="Direct-Funded",D6-D21,IF(D5&gt;0,D21+D9,0))</f>
        <v>0</v>
      </c>
      <c r="E23" s="160">
        <f>IF('Summary Schedule'!$C$4="Direct-Funded",E6-E21,IF(E5&gt;0,E21+E9,0))</f>
        <v>0</v>
      </c>
      <c r="F23" s="160">
        <f>IF('Summary Schedule'!$C$4="Direct-Funded",F6-F21,IF(F5&gt;0,F21+F9,0))</f>
        <v>0</v>
      </c>
      <c r="G23" s="160">
        <f>IF('Summary Schedule'!$C$4="Direct-Funded",G6-G21,IF(G5&gt;0,G21+G9,0))</f>
        <v>0</v>
      </c>
      <c r="H23" s="160">
        <f>IF('Summary Schedule'!$C$4="Direct-Funded",H6-H21,IF(H5&gt;0,H21+H9,0))</f>
        <v>0</v>
      </c>
      <c r="I23" s="160">
        <f>IF('Summary Schedule'!$C$4="Direct-Funded",I6-I21,IF(I5&gt;0,I21+I9,0))</f>
        <v>0</v>
      </c>
      <c r="J23" s="160">
        <f>IF('Summary Schedule'!$C$4="Direct-Funded",J6-J21,IF(J5&gt;0,J21+J9,0))</f>
        <v>0</v>
      </c>
      <c r="K23" s="160">
        <f>IF('Summary Schedule'!$C$4="Direct-Funded",K6-K21,IF(K5&gt;0,K21+K9,0))</f>
        <v>0</v>
      </c>
      <c r="L23" s="160">
        <f>IF('Summary Schedule'!$C$4="Direct-Funded",L6-L21,IF(L5&gt;0,L21+L9,0))</f>
        <v>0</v>
      </c>
      <c r="M23" s="160">
        <f>IF('Summary Schedule'!$C$4="Direct-Funded",M6-M21,IF(M5&gt;0,M21+M9,0))</f>
        <v>0</v>
      </c>
      <c r="N23" s="160">
        <f>IF('Summary Schedule'!$C$4="Direct-Funded",N6-N21,IF(N5&gt;0,N21+N9,0))</f>
        <v>0</v>
      </c>
      <c r="O23" s="160">
        <f>IF('Summary Schedule'!$C$4="Direct-Funded",O6-O21,IF(O5&gt;0,O21+O9,0))</f>
        <v>0</v>
      </c>
      <c r="P23" s="160">
        <f>IF('Summary Schedule'!$C$4="Direct-Funded",P6-P21,IF(P5&gt;0,P21+P9,0))</f>
        <v>0</v>
      </c>
      <c r="Q23" s="160">
        <f>IF('Summary Schedule'!$C$4="Direct-Funded",Q6-Q21,IF(Q5&gt;0,Q21+Q9,0))</f>
        <v>0</v>
      </c>
      <c r="R23" s="160">
        <f>IF('Summary Schedule'!$C$4="Direct-Funded",R6-R21,IF(R5&gt;0,R21+R9,0))</f>
        <v>0</v>
      </c>
      <c r="S23" s="160">
        <f>IF('Summary Schedule'!$C$4="Direct-Funded",S6-S21,IF(S5&gt;0,S21+S9,0))</f>
        <v>0</v>
      </c>
      <c r="T23" s="160">
        <f>IF('Summary Schedule'!$C$4="Direct-Funded",T6-T21,IF(T5&gt;0,T21+T9,0))</f>
        <v>0</v>
      </c>
      <c r="U23" s="160">
        <f>IF('Summary Schedule'!$C$4="Direct-Funded",U6-U21,IF(U5&gt;0,U21+U9,0))</f>
        <v>0</v>
      </c>
      <c r="V23" s="160">
        <f>IF('Summary Schedule'!$C$4="Direct-Funded",V6-V21,IF(V5&gt;0,V21+V9,0))</f>
        <v>0</v>
      </c>
      <c r="W23" s="160">
        <f>IF('Summary Schedule'!$C$4="Direct-Funded",W6-W21,IF(W5&gt;0,W21+W9,0))</f>
        <v>0</v>
      </c>
      <c r="X23" s="160">
        <f>IF('Summary Schedule'!$C$4="Direct-Funded",X6-X21,IF(X5&gt;0,X21+X9,0))</f>
        <v>0</v>
      </c>
      <c r="Y23" s="160">
        <f>IF('Summary Schedule'!$C$4="Direct-Funded",Y6-Y21,IF(Y5&gt;0,Y21+Y9,0))</f>
        <v>0</v>
      </c>
      <c r="Z23" s="160">
        <f>IF('Summary Schedule'!$C$4="Direct-Funded",Z6-Z21,IF(Z5&gt;0,Z21+Z9,0))</f>
        <v>0</v>
      </c>
      <c r="AA23" s="160">
        <f>IF('Summary Schedule'!$C$4="Direct-Funded",AA6-AA21,IF(AA5&gt;0,AA21+AA9,0))</f>
        <v>0</v>
      </c>
      <c r="AB23" s="160">
        <f>IF('Summary Schedule'!$C$4="Direct-Funded",AB6-AB21,IF(AB5&gt;0,AB21+AB9,0))</f>
        <v>0</v>
      </c>
      <c r="AC23" s="283">
        <f>SUM(C23:AB23)</f>
        <v>0</v>
      </c>
    </row>
    <row r="24" spans="1:29" ht="17" thickBot="1">
      <c r="A24" s="284"/>
      <c r="B24" s="19"/>
      <c r="C24" s="19"/>
      <c r="D24" s="106"/>
      <c r="E24" s="106"/>
      <c r="F24" s="106"/>
      <c r="G24" s="106"/>
      <c r="H24" s="107"/>
      <c r="I24" s="106"/>
      <c r="J24" s="106"/>
      <c r="K24" s="106"/>
      <c r="L24" s="106"/>
      <c r="M24" s="106"/>
      <c r="N24" s="106"/>
      <c r="O24" s="106"/>
      <c r="P24" s="106"/>
      <c r="Q24" s="106"/>
      <c r="R24" s="106"/>
      <c r="S24" s="106"/>
      <c r="T24" s="106"/>
      <c r="U24" s="106"/>
      <c r="V24" s="106"/>
      <c r="W24" s="106"/>
      <c r="X24" s="106"/>
      <c r="Y24" s="106"/>
      <c r="Z24" s="106"/>
      <c r="AA24" s="106"/>
      <c r="AB24" s="106"/>
      <c r="AC24" s="285"/>
    </row>
    <row r="25" spans="1:29">
      <c r="A25" s="432" t="s">
        <v>59</v>
      </c>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row>
    <row r="26" spans="1:29">
      <c r="A26" s="430" t="str">
        <f>IF('Summary Schedule'!C4="Direct-Funded","(1) Examples of Incentives and Other Payments include: RECs proceeds, demand response payments, and extra customer payments.","(1) Any Implementation Period payment will be applied to reduce the principal repayment.")</f>
        <v>(1) Any Implementation Period payment will be applied to reduce the principal repayment.</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row>
    <row r="27" spans="1:29">
      <c r="A27" s="430" t="str">
        <f>IF('Summary Schedule'!C4="Direct-Funded","(2) Future payments to project facilitators (consultants) are one example of uses for dollar savings retained by the customer.",CONCATENATE("(2) Examples of Performance Period Incentives and Other Payments include: RECs proceeds, demand response payments, and extra customer payments.","Incentives and payments are assumed to occur at the same time (beginning or end of period) that was identified in the Summary Schedule.",""))</f>
        <v>(2) Examples of Performance Period Incentives and Other Payments include: RECs proceeds, demand response payments, and extra customer payments.Incentives and payments are assumed to occur at the same time (beginning or end of period) that was identified in the Summary Schedule.</v>
      </c>
      <c r="B27" s="430"/>
      <c r="C27" s="430"/>
      <c r="D27" s="430"/>
      <c r="E27" s="430"/>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row>
    <row r="28" spans="1:29" ht="17" thickBot="1">
      <c r="A28" s="431" t="str">
        <f>IF('Summary Schedule'!C4="Direct-Funded", "", "(3) Future payments to project facilitators (consultants) are one example of uses for dollar savings retained by the customer.")</f>
        <v>(3) Future payments to project facilitators (consultants) are one example of uses for dollar savings retained by the customer.</v>
      </c>
      <c r="B28" s="431"/>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row>
    <row r="29" spans="1:29">
      <c r="A29" s="426" t="s">
        <v>130</v>
      </c>
      <c r="B29" s="426"/>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row>
    <row r="30" spans="1:29" ht="103" customHeight="1">
      <c r="A30" s="427"/>
      <c r="B30" s="427"/>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row>
    <row r="31" spans="1:29">
      <c r="A31" s="163" t="str">
        <f>'Sch2a-Imp Price by ECM'!A270</f>
        <v>0710020</v>
      </c>
    </row>
    <row r="32" spans="1:29">
      <c r="A32" s="20" t="str">
        <f>'Sch2a-Imp Price by ECM'!A271</f>
        <v>3.0.15.n</v>
      </c>
    </row>
    <row r="48" spans="3:3">
      <c r="C48" s="85"/>
    </row>
  </sheetData>
  <sheetProtection algorithmName="SHA-512" hashValue="HoA9tJdLUZx2fDL2s60y42wouZ+qW9jPbIDxjzNrh27qwxYCzMcNSg4k7R2BEvlIkM+pJ6h4i6sO7PMzOVkV+g==" saltValue="+4bOkd4sKgNkCy67YxyDtg==" spinCount="100000" sheet="1" objects="1" scenarios="1"/>
  <mergeCells count="12">
    <mergeCell ref="A29:AC29"/>
    <mergeCell ref="A30:AC30"/>
    <mergeCell ref="A1:AC1"/>
    <mergeCell ref="A2:AC2"/>
    <mergeCell ref="A26:AC26"/>
    <mergeCell ref="A28:AC28"/>
    <mergeCell ref="A25:AC25"/>
    <mergeCell ref="A5:A9"/>
    <mergeCell ref="A11:A21"/>
    <mergeCell ref="A27:AC27"/>
    <mergeCell ref="A10:D10"/>
    <mergeCell ref="B7:AC7"/>
  </mergeCells>
  <dataValidations count="8">
    <dataValidation type="whole" operator="greaterThanOrEqual" allowBlank="1" showInputMessage="1" showErrorMessage="1" error="Please enter a value greater than or equal to zero." sqref="AC21 C8:AC8 C5 AC6 AC11:AC17 C11:C21 D11:AB18 D20:AB21" xr:uid="{00000000-0002-0000-0700-000000000000}">
      <formula1>0</formula1>
    </dataValidation>
    <dataValidation type="whole" operator="greaterThanOrEqual" allowBlank="1" showInputMessage="1" showErrorMessage="1" error="Please enter a number greater than or equal to zero." sqref="AC23" xr:uid="{00000000-0002-0000-0700-000001000000}">
      <formula1>0</formula1>
    </dataValidation>
    <dataValidation operator="greaterThanOrEqual" allowBlank="1" showInputMessage="1" showErrorMessage="1" error="Please enter a value greater than or equal to zero." sqref="D5:AB5 B7 C9:AC9 C6 AC5" xr:uid="{63CA5772-68BF-4448-81B5-349AF7FA1FEA}"/>
    <dataValidation type="list" allowBlank="1" showInputMessage="1" showErrorMessage="1" sqref="B16" xr:uid="{00000000-0002-0000-0700-000003000000}">
      <formula1>"Other PP Expense 1: Permits and Licenses, Other PP Expense 1: Insurance, Other PP Expense 1: Property Taxes, Other PP Expense 1: Other"</formula1>
    </dataValidation>
    <dataValidation type="list" allowBlank="1" showInputMessage="1" showErrorMessage="1" sqref="B17" xr:uid="{00000000-0002-0000-0700-000004000000}">
      <formula1>"Other PP Expense 2: Permits and Licenses, Other PP Expense 2: Insurance, Other PP Expense 2: Property Taxes, Other PP Expense 2: Other"</formula1>
    </dataValidation>
    <dataValidation type="whole" allowBlank="1" showInputMessage="1" showErrorMessage="1" sqref="D6:AB6" xr:uid="{00000000-0002-0000-0700-000006000000}">
      <formula1>-1000000000</formula1>
      <formula2>1000000000</formula2>
    </dataValidation>
    <dataValidation operator="greaterThanOrEqual" allowBlank="1" showInputMessage="1" showErrorMessage="1" error="Please enter a number greater than or equal to zero." sqref="D23:AB23" xr:uid="{00000000-0002-0000-0700-000007000000}"/>
    <dataValidation type="decimal" operator="greaterThan" allowBlank="1" showInputMessage="1" showErrorMessage="1" error="Please enter a value greater than or equal to zero." sqref="D19:AC19" xr:uid="{AC50B89A-ED14-1147-A291-3EF946C06F91}">
      <formula1>0</formula1>
    </dataValidation>
  </dataValidations>
  <pageMargins left="0.75" right="0.75" top="1" bottom="1" header="0.5" footer="0.5"/>
  <pageSetup scale="24" orientation="landscape" horizontalDpi="4294967292" verticalDpi="4294967292"/>
  <ignoredErrors>
    <ignoredError sqref="D9:E9 F9:AC9" unlockedFormula="1"/>
  </ignoredErrors>
  <drawing r:id="rId1"/>
  <extLst>
    <ext xmlns:x14="http://schemas.microsoft.com/office/spreadsheetml/2009/9/main" uri="{78C0D931-6437-407d-A8EE-F0AAD7539E65}">
      <x14:conditionalFormattings>
        <x14:conditionalFormatting xmlns:xm="http://schemas.microsoft.com/office/excel/2006/main">
          <x14:cfRule type="expression" priority="42" id="{E0B0398F-E267-2645-B509-682E3CA95275}">
            <xm:f>'Summary Schedule'!$C$4="Direct-Funded"</xm:f>
            <x14:dxf>
              <fill>
                <patternFill patternType="mediumGray">
                  <bgColor theme="0"/>
                </patternFill>
              </fill>
              <border>
                <left/>
                <right/>
                <top/>
                <bottom/>
              </border>
            </x14:dxf>
          </x14:cfRule>
          <xm:sqref>B8:B9 D8:AC9 D18:AC20 B18:B20</xm:sqref>
        </x14:conditionalFormatting>
        <x14:conditionalFormatting xmlns:xm="http://schemas.microsoft.com/office/excel/2006/main">
          <x14:cfRule type="expression" priority="49" id="{F258DE4D-9FCD-C745-B42D-95BAB699C9AC}">
            <xm:f>'Summary Schedule'!$C$4="Direct-Funded"</xm:f>
            <x14:dxf>
              <fill>
                <patternFill patternType="mediumGray">
                  <bgColor auto="1"/>
                </patternFill>
              </fill>
              <border>
                <left/>
                <right/>
                <top/>
                <bottom/>
                <vertical/>
                <horizontal/>
              </border>
            </x14:dxf>
          </x14:cfRule>
          <xm:sqref>C8</xm:sqref>
        </x14:conditionalFormatting>
        <x14:conditionalFormatting xmlns:xm="http://schemas.microsoft.com/office/excel/2006/main">
          <x14:cfRule type="expression" priority="51" id="{8E25D55D-F665-1A4E-BAAB-AB08795AE381}">
            <xm:f>'Summary Schedule'!$C$4="Direct-Funded"</xm:f>
            <x14:dxf>
              <fill>
                <patternFill patternType="mediumGray">
                  <bgColor theme="0"/>
                </patternFill>
              </fill>
              <border>
                <left/>
                <right/>
                <top/>
                <bottom/>
                <vertical/>
                <horizontal/>
              </border>
            </x14:dxf>
          </x14:cfRule>
          <xm:sqref>B5</xm:sqref>
        </x14:conditionalFormatting>
        <x14:conditionalFormatting xmlns:xm="http://schemas.microsoft.com/office/excel/2006/main">
          <x14:cfRule type="expression" priority="52" id="{201FAAF0-E233-4F40-8F99-3C224CBA49D5}">
            <xm:f>'Summary Schedule'!$C$4="Direct-Funded"</xm:f>
            <x14:dxf>
              <fill>
                <patternFill patternType="mediumGray">
                  <fgColor auto="1"/>
                  <bgColor theme="0"/>
                </patternFill>
              </fill>
              <border>
                <left/>
                <right/>
                <top/>
                <bottom/>
                <vertical/>
                <horizontal/>
              </border>
            </x14:dxf>
          </x14:cfRule>
          <xm:sqref>D5:AC5</xm:sqref>
        </x14:conditionalFormatting>
        <x14:conditionalFormatting xmlns:xm="http://schemas.microsoft.com/office/excel/2006/main">
          <x14:cfRule type="expression" priority="2" id="{A5868DE1-6E0B-6446-8888-4F2F7AAECB11}">
            <xm:f>'Summary Schedule'!$C$4="Direct-Funded"</xm:f>
            <x14:dxf>
              <border>
                <left/>
                <right/>
                <top/>
                <bottom/>
                <vertical/>
                <horizontal/>
              </border>
            </x14:dxf>
          </x14:cfRule>
          <xm:sqref>C9</xm:sqref>
        </x14:conditionalFormatting>
        <x14:conditionalFormatting xmlns:xm="http://schemas.microsoft.com/office/excel/2006/main">
          <x14:cfRule type="expression" priority="1" id="{B5E7D971-B021-4D46-B2B2-3C3AADC7B4A4}">
            <xm:f>'Summary Schedule'!$C$4="Direct-Funded"</xm:f>
            <x14:dxf>
              <border>
                <left/>
                <right/>
                <top/>
                <vertical/>
                <horizontal/>
              </border>
            </x14:dxf>
          </x14:cfRule>
          <xm:sqref>B7:AC7</xm:sqref>
        </x14:conditionalFormatting>
      </x14:conditionalFormatting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G269"/>
  <sheetViews>
    <sheetView zoomScale="75" zoomScaleNormal="75" zoomScalePageLayoutView="75" workbookViewId="0">
      <pane ySplit="9" topLeftCell="A10" activePane="bottomLeft" state="frozenSplit"/>
      <selection pane="bottomLeft" sqref="A1:AF1"/>
    </sheetView>
  </sheetViews>
  <sheetFormatPr baseColWidth="10" defaultColWidth="11" defaultRowHeight="16"/>
  <cols>
    <col min="1" max="1" width="18.1640625" style="1" bestFit="1" customWidth="1"/>
    <col min="2" max="2" width="47.83203125" style="1" customWidth="1"/>
    <col min="3" max="3" width="15.6640625" style="1" bestFit="1" customWidth="1"/>
    <col min="4" max="4" width="12.33203125" style="1" customWidth="1"/>
    <col min="5" max="5" width="10.33203125" style="1" customWidth="1"/>
    <col min="6" max="6" width="11.6640625" style="1" customWidth="1"/>
    <col min="7" max="7" width="12" style="1" customWidth="1"/>
    <col min="8" max="8" width="12.6640625" style="1" customWidth="1"/>
    <col min="9" max="9" width="10.6640625" style="1" customWidth="1"/>
    <col min="10" max="10" width="13" style="1" customWidth="1"/>
    <col min="11" max="11" width="10.33203125" style="1" customWidth="1"/>
    <col min="12" max="13" width="10.6640625" style="1" customWidth="1"/>
    <col min="14" max="14" width="8.83203125" style="1" bestFit="1" customWidth="1"/>
    <col min="15" max="15" width="11.83203125" style="1" customWidth="1"/>
    <col min="16" max="17" width="11" style="1"/>
    <col min="18" max="18" width="12" style="1" customWidth="1"/>
    <col min="19" max="19" width="8.6640625" style="1" customWidth="1"/>
    <col min="20" max="20" width="13.5" style="1" customWidth="1"/>
    <col min="21" max="22" width="12.83203125" style="1" customWidth="1"/>
    <col min="23" max="23" width="13.5" style="1" customWidth="1"/>
    <col min="24" max="24" width="12.33203125" style="1" bestFit="1" customWidth="1"/>
    <col min="25" max="25" width="12.1640625" style="1" bestFit="1" customWidth="1"/>
    <col min="26" max="26" width="11" style="1"/>
    <col min="27" max="27" width="11.33203125" style="1" bestFit="1" customWidth="1"/>
    <col min="28" max="30" width="11" style="1"/>
    <col min="31" max="31" width="15.83203125" style="1" customWidth="1"/>
    <col min="32" max="16384" width="11" style="1"/>
  </cols>
  <sheetData>
    <row r="1" spans="1:33" ht="21">
      <c r="A1" s="389" t="s">
        <v>84</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row>
    <row r="2" spans="1:33" ht="21">
      <c r="A2" s="389" t="s">
        <v>96</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row>
    <row r="3" spans="1:33" ht="17" thickBot="1">
      <c r="A3" s="286"/>
      <c r="B3" s="286"/>
      <c r="C3" s="286"/>
      <c r="D3" s="286"/>
      <c r="E3" s="286"/>
      <c r="F3" s="286"/>
      <c r="G3" s="286"/>
      <c r="H3" s="286"/>
      <c r="I3" s="286"/>
      <c r="J3" s="286"/>
      <c r="K3" s="286"/>
      <c r="L3" s="286"/>
      <c r="M3" s="286"/>
      <c r="N3" s="286"/>
      <c r="O3" s="286"/>
      <c r="P3" s="286"/>
      <c r="Q3" s="286"/>
      <c r="R3" s="286"/>
      <c r="S3" s="286"/>
      <c r="T3" s="286"/>
      <c r="U3" s="287"/>
      <c r="V3" s="287"/>
      <c r="W3" s="287"/>
      <c r="X3" s="287"/>
      <c r="Y3" s="287"/>
      <c r="Z3" s="287"/>
      <c r="AA3" s="287"/>
      <c r="AB3" s="287"/>
      <c r="AC3" s="287"/>
      <c r="AD3" s="287"/>
      <c r="AE3" s="287"/>
      <c r="AF3" s="287"/>
    </row>
    <row r="4" spans="1:33" ht="61" thickBot="1">
      <c r="A4" s="353" t="s">
        <v>16</v>
      </c>
      <c r="B4" s="353"/>
      <c r="C4" s="446"/>
      <c r="D4" s="442" t="s">
        <v>78</v>
      </c>
      <c r="E4" s="347"/>
      <c r="F4" s="347"/>
      <c r="G4" s="347"/>
      <c r="H4" s="347"/>
      <c r="I4" s="347"/>
      <c r="J4" s="347"/>
      <c r="K4" s="347"/>
      <c r="L4" s="347"/>
      <c r="M4" s="408"/>
      <c r="N4" s="3" t="s">
        <v>41</v>
      </c>
      <c r="O4" s="193" t="s">
        <v>40</v>
      </c>
      <c r="P4" s="193" t="s">
        <v>33</v>
      </c>
      <c r="Q4" s="193" t="s">
        <v>34</v>
      </c>
      <c r="R4" s="193" t="s">
        <v>35</v>
      </c>
      <c r="S4" s="193" t="s">
        <v>36</v>
      </c>
      <c r="T4" s="193" t="s">
        <v>48</v>
      </c>
      <c r="U4" s="3" t="s">
        <v>49</v>
      </c>
      <c r="V4" s="193" t="s">
        <v>50</v>
      </c>
      <c r="W4" s="3" t="s">
        <v>51</v>
      </c>
      <c r="X4" s="193" t="s">
        <v>219</v>
      </c>
      <c r="Y4" s="193" t="s">
        <v>52</v>
      </c>
      <c r="Z4" s="193" t="s">
        <v>37</v>
      </c>
      <c r="AA4" s="193" t="s">
        <v>38</v>
      </c>
      <c r="AB4" s="193" t="s">
        <v>39</v>
      </c>
      <c r="AC4" s="193" t="s">
        <v>73</v>
      </c>
      <c r="AD4" s="193" t="s">
        <v>74</v>
      </c>
      <c r="AE4" s="3" t="s">
        <v>75</v>
      </c>
      <c r="AF4" s="195" t="s">
        <v>76</v>
      </c>
    </row>
    <row r="5" spans="1:33" ht="60">
      <c r="A5" s="446" t="s">
        <v>26</v>
      </c>
      <c r="B5" s="446" t="s">
        <v>42</v>
      </c>
      <c r="C5" s="448" t="str">
        <f>IF('Summary Schedule'!C4="UESC", "Performance Assurance Option(s)", IF('Summary Schedule'!C4="Direct-Funded", "M&amp;V Option", "First Year M&amp;V Option"))</f>
        <v>First Year M&amp;V Option</v>
      </c>
      <c r="D5" s="22" t="s">
        <v>64</v>
      </c>
      <c r="E5" s="22" t="s">
        <v>65</v>
      </c>
      <c r="F5" s="22" t="s">
        <v>67</v>
      </c>
      <c r="G5" s="311" t="s">
        <v>319</v>
      </c>
      <c r="H5" s="311" t="s">
        <v>329</v>
      </c>
      <c r="I5" s="21" t="s">
        <v>66</v>
      </c>
      <c r="J5" s="22" t="s">
        <v>72</v>
      </c>
      <c r="K5" s="22" t="s">
        <v>68</v>
      </c>
      <c r="L5" s="22" t="s">
        <v>69</v>
      </c>
      <c r="M5" s="22" t="s">
        <v>101</v>
      </c>
      <c r="N5" s="22" t="s">
        <v>17</v>
      </c>
      <c r="O5" s="22" t="s">
        <v>17</v>
      </c>
      <c r="P5" s="22" t="s">
        <v>20</v>
      </c>
      <c r="Q5" s="22" t="s">
        <v>20</v>
      </c>
      <c r="R5" s="22" t="s">
        <v>21</v>
      </c>
      <c r="S5" s="22" t="s">
        <v>21</v>
      </c>
      <c r="T5" s="309" t="str">
        <f>"Other Savings Type 1"&amp;MID(G5,FIND(":",G5),17)</f>
        <v>Other Savings Type 1: Other</v>
      </c>
      <c r="U5" s="309" t="str">
        <f>T5</f>
        <v>Other Savings Type 1: Other</v>
      </c>
      <c r="V5" s="310" t="str">
        <f>"Other Savings Type 2"&amp;MID(H5,FIND(":",H5),17)</f>
        <v>Other Savings Type 2: Other</v>
      </c>
      <c r="W5" s="310" t="str">
        <f>V5</f>
        <v>Other Savings Type 2: Other</v>
      </c>
      <c r="X5" s="22" t="s">
        <v>22</v>
      </c>
      <c r="Y5" s="22" t="s">
        <v>23</v>
      </c>
      <c r="Z5" s="22" t="s">
        <v>24</v>
      </c>
      <c r="AA5" s="22" t="s">
        <v>24</v>
      </c>
      <c r="AB5" s="22" t="s">
        <v>54</v>
      </c>
      <c r="AC5" s="22" t="s">
        <v>71</v>
      </c>
      <c r="AD5" s="22" t="s">
        <v>25</v>
      </c>
      <c r="AE5" s="22" t="s">
        <v>57</v>
      </c>
      <c r="AF5" s="288" t="s">
        <v>27</v>
      </c>
    </row>
    <row r="6" spans="1:33" ht="17" thickBot="1">
      <c r="A6" s="447"/>
      <c r="B6" s="447"/>
      <c r="C6" s="398"/>
      <c r="D6" s="22" t="s">
        <v>18</v>
      </c>
      <c r="E6" s="22" t="s">
        <v>60</v>
      </c>
      <c r="F6" s="22" t="s">
        <v>53</v>
      </c>
      <c r="G6" s="22" t="s">
        <v>53</v>
      </c>
      <c r="H6" s="22" t="s">
        <v>53</v>
      </c>
      <c r="I6" s="4" t="s">
        <v>70</v>
      </c>
      <c r="J6" s="22" t="s">
        <v>19</v>
      </c>
      <c r="K6" s="22" t="s">
        <v>19</v>
      </c>
      <c r="L6" s="22" t="s">
        <v>19</v>
      </c>
      <c r="M6" s="22"/>
      <c r="N6" s="22" t="s">
        <v>18</v>
      </c>
      <c r="O6" s="22" t="s">
        <v>19</v>
      </c>
      <c r="P6" s="22" t="s">
        <v>60</v>
      </c>
      <c r="Q6" s="22" t="s">
        <v>19</v>
      </c>
      <c r="R6" s="22" t="s">
        <v>53</v>
      </c>
      <c r="S6" s="22" t="s">
        <v>19</v>
      </c>
      <c r="T6" s="22" t="s">
        <v>53</v>
      </c>
      <c r="U6" s="22" t="s">
        <v>19</v>
      </c>
      <c r="V6" s="22" t="s">
        <v>53</v>
      </c>
      <c r="W6" s="22" t="s">
        <v>19</v>
      </c>
      <c r="X6" s="22" t="s">
        <v>53</v>
      </c>
      <c r="Y6" s="22" t="s">
        <v>19</v>
      </c>
      <c r="Z6" s="22" t="s">
        <v>28</v>
      </c>
      <c r="AA6" s="22" t="s">
        <v>19</v>
      </c>
      <c r="AB6" s="22" t="s">
        <v>19</v>
      </c>
      <c r="AC6" s="22" t="s">
        <v>19</v>
      </c>
      <c r="AD6" s="22" t="s">
        <v>19</v>
      </c>
      <c r="AE6" s="22" t="s">
        <v>10</v>
      </c>
      <c r="AF6" s="288" t="s">
        <v>77</v>
      </c>
    </row>
    <row r="7" spans="1:33" ht="35" customHeight="1" thickBot="1">
      <c r="A7" s="289"/>
      <c r="B7" s="73" t="str">
        <f>IF('Sch2a-Imp Price by ECM'!A8="","",'Sch2a-Imp Price by ECM'!A8)</f>
        <v>Project Development Price (PDP)-Technical Energy Audit and Project Proposal</v>
      </c>
      <c r="C7" s="74" t="s">
        <v>154</v>
      </c>
      <c r="D7" s="5"/>
      <c r="E7" s="5"/>
      <c r="F7" s="5"/>
      <c r="G7" s="5"/>
      <c r="H7" s="5"/>
      <c r="I7" s="5"/>
      <c r="J7" s="5"/>
      <c r="K7" s="5"/>
      <c r="L7" s="5"/>
      <c r="M7" s="5"/>
      <c r="N7" s="5"/>
      <c r="O7" s="5"/>
      <c r="P7" s="5"/>
      <c r="Q7" s="5"/>
      <c r="R7" s="5"/>
      <c r="S7" s="5"/>
      <c r="T7" s="5"/>
      <c r="U7" s="5"/>
      <c r="V7" s="5"/>
      <c r="W7" s="5"/>
      <c r="X7" s="6"/>
      <c r="Y7" s="6"/>
      <c r="Z7" s="5"/>
      <c r="AA7" s="5"/>
      <c r="AB7" s="5"/>
      <c r="AC7" s="5"/>
      <c r="AD7" s="7"/>
      <c r="AE7" s="55">
        <f>IF('Summary Schedule'!C4="Direct-Funded", "", 'Sch2a-Imp Price by ECM'!K8)</f>
        <v>0</v>
      </c>
      <c r="AF7" s="5"/>
    </row>
    <row r="8" spans="1:33" ht="17" thickBot="1">
      <c r="A8" s="290" t="str">
        <f>IF('Sch2a-Imp Price by ECM'!B9="","",'Sch2a-Imp Price by ECM'!B9)</f>
        <v/>
      </c>
      <c r="B8" s="71" t="str">
        <f>IF('Sch2a-Imp Price by ECM'!C9="","",'Sch2a-Imp Price by ECM'!C9)</f>
        <v/>
      </c>
      <c r="C8" s="120"/>
      <c r="D8" s="130"/>
      <c r="E8" s="130"/>
      <c r="F8" s="130"/>
      <c r="G8" s="130"/>
      <c r="H8" s="122"/>
      <c r="I8" s="130"/>
      <c r="J8" s="121"/>
      <c r="K8" s="121"/>
      <c r="L8" s="121"/>
      <c r="M8" s="122"/>
      <c r="N8" s="130"/>
      <c r="O8" s="124"/>
      <c r="P8" s="125"/>
      <c r="Q8" s="121"/>
      <c r="R8" s="125"/>
      <c r="S8" s="124"/>
      <c r="T8" s="125"/>
      <c r="U8" s="124"/>
      <c r="V8" s="125"/>
      <c r="W8" s="124"/>
      <c r="X8" s="161">
        <f>(N8*3412/10^6)+R8+T8+V8</f>
        <v>0</v>
      </c>
      <c r="Y8" s="162">
        <f>O8+Q8+U8+W8+S8</f>
        <v>0</v>
      </c>
      <c r="Z8" s="125"/>
      <c r="AA8" s="123"/>
      <c r="AB8" s="124"/>
      <c r="AC8" s="124"/>
      <c r="AD8" s="123">
        <f>Y8+AA8+AB8+AC8</f>
        <v>0</v>
      </c>
      <c r="AE8" s="58" t="str">
        <f>'Sch2a-Imp Price by ECM'!K9</f>
        <v/>
      </c>
      <c r="AF8" s="291" t="str">
        <f>IF(AD8=0,"",AE8/AD8)</f>
        <v/>
      </c>
      <c r="AG8" s="1" t="str">
        <f>IF('Sch2a-Imp Price by ECM'!L9="","",'Sch2a-Imp Price by ECM'!L9)</f>
        <v/>
      </c>
    </row>
    <row r="9" spans="1:33" ht="17" thickBot="1">
      <c r="A9" s="290" t="str">
        <f>IF('Sch2a-Imp Price by ECM'!B10="","",'Sch2a-Imp Price by ECM'!B10)</f>
        <v/>
      </c>
      <c r="B9" s="71" t="str">
        <f>IF('Sch2a-Imp Price by ECM'!C10="","",'Sch2a-Imp Price by ECM'!C10)</f>
        <v/>
      </c>
      <c r="C9" s="120"/>
      <c r="D9" s="131"/>
      <c r="E9" s="130"/>
      <c r="F9" s="130"/>
      <c r="G9" s="130"/>
      <c r="H9" s="122"/>
      <c r="I9" s="130"/>
      <c r="J9" s="121"/>
      <c r="K9" s="121"/>
      <c r="L9" s="121"/>
      <c r="M9" s="122"/>
      <c r="N9" s="130"/>
      <c r="O9" s="124"/>
      <c r="P9" s="125"/>
      <c r="Q9" s="121"/>
      <c r="R9" s="125"/>
      <c r="S9" s="124"/>
      <c r="T9" s="125"/>
      <c r="U9" s="124"/>
      <c r="V9" s="131"/>
      <c r="W9" s="124"/>
      <c r="X9" s="161">
        <f t="shared" ref="X9:X29" si="0">(N9*3412/10^6)+R9+T9+V9</f>
        <v>0</v>
      </c>
      <c r="Y9" s="162">
        <f t="shared" ref="Y9:Y29" si="1">O9+Q9+U9+W9+S9</f>
        <v>0</v>
      </c>
      <c r="Z9" s="125"/>
      <c r="AA9" s="124"/>
      <c r="AB9" s="124"/>
      <c r="AC9" s="124"/>
      <c r="AD9" s="123">
        <f t="shared" ref="AD9:AD29" si="2">Y9+AA9+AB9+AC9</f>
        <v>0</v>
      </c>
      <c r="AE9" s="58" t="str">
        <f>'Sch2a-Imp Price by ECM'!K10</f>
        <v/>
      </c>
      <c r="AF9" s="291" t="str">
        <f t="shared" ref="AF9:AF29" si="3">IF(AD9=0,"",AE9/AD9)</f>
        <v/>
      </c>
      <c r="AG9" s="1" t="str">
        <f>IF('Sch2a-Imp Price by ECM'!L10="","",'Sch2a-Imp Price by ECM'!L10)</f>
        <v/>
      </c>
    </row>
    <row r="10" spans="1:33" ht="17" thickBot="1">
      <c r="A10" s="290" t="str">
        <f>IF('Sch2a-Imp Price by ECM'!B11="","",'Sch2a-Imp Price by ECM'!B11)</f>
        <v/>
      </c>
      <c r="B10" s="71" t="str">
        <f>IF('Sch2a-Imp Price by ECM'!C11="","",'Sch2a-Imp Price by ECM'!C11)</f>
        <v/>
      </c>
      <c r="C10" s="120"/>
      <c r="D10" s="131"/>
      <c r="E10" s="130"/>
      <c r="F10" s="130"/>
      <c r="G10" s="130"/>
      <c r="H10" s="122"/>
      <c r="I10" s="130"/>
      <c r="J10" s="121"/>
      <c r="K10" s="121"/>
      <c r="L10" s="121"/>
      <c r="M10" s="122"/>
      <c r="N10" s="130"/>
      <c r="O10" s="124"/>
      <c r="P10" s="125"/>
      <c r="Q10" s="121"/>
      <c r="R10" s="125"/>
      <c r="S10" s="124"/>
      <c r="T10" s="125"/>
      <c r="U10" s="124"/>
      <c r="V10" s="131"/>
      <c r="W10" s="124"/>
      <c r="X10" s="161">
        <f t="shared" ref="X10" si="4">(N10*3412/10^6)+R10+T10+V10</f>
        <v>0</v>
      </c>
      <c r="Y10" s="162">
        <f t="shared" ref="Y10" si="5">O10+Q10+U10+W10+S10</f>
        <v>0</v>
      </c>
      <c r="Z10" s="125"/>
      <c r="AA10" s="124"/>
      <c r="AB10" s="124"/>
      <c r="AC10" s="124"/>
      <c r="AD10" s="123">
        <f t="shared" ref="AD10" si="6">Y10+AA10+AB10+AC10</f>
        <v>0</v>
      </c>
      <c r="AE10" s="58" t="str">
        <f>'Sch2a-Imp Price by ECM'!K11</f>
        <v/>
      </c>
      <c r="AF10" s="291" t="str">
        <f t="shared" ref="AF10:AF11" si="7">IF(AD10=0,"",AE10/AD10)</f>
        <v/>
      </c>
    </row>
    <row r="11" spans="1:33" ht="17" thickBot="1">
      <c r="A11" s="290" t="str">
        <f>IF('Sch2a-Imp Price by ECM'!B12="","",'Sch2a-Imp Price by ECM'!B12)</f>
        <v/>
      </c>
      <c r="B11" s="71" t="str">
        <f>IF('Sch2a-Imp Price by ECM'!C12="","",'Sch2a-Imp Price by ECM'!C12)</f>
        <v/>
      </c>
      <c r="C11" s="120"/>
      <c r="D11" s="131"/>
      <c r="E11" s="130"/>
      <c r="F11" s="130"/>
      <c r="G11" s="130"/>
      <c r="H11" s="122"/>
      <c r="I11" s="130"/>
      <c r="J11" s="121"/>
      <c r="K11" s="121"/>
      <c r="L11" s="121"/>
      <c r="M11" s="122"/>
      <c r="N11" s="130"/>
      <c r="O11" s="124"/>
      <c r="P11" s="125"/>
      <c r="Q11" s="121"/>
      <c r="R11" s="125"/>
      <c r="S11" s="124"/>
      <c r="T11" s="125"/>
      <c r="U11" s="124"/>
      <c r="V11" s="131"/>
      <c r="W11" s="124"/>
      <c r="X11" s="161">
        <f t="shared" si="0"/>
        <v>0</v>
      </c>
      <c r="Y11" s="162">
        <f t="shared" si="1"/>
        <v>0</v>
      </c>
      <c r="Z11" s="125"/>
      <c r="AA11" s="124"/>
      <c r="AB11" s="124"/>
      <c r="AC11" s="124"/>
      <c r="AD11" s="123">
        <f t="shared" si="2"/>
        <v>0</v>
      </c>
      <c r="AE11" s="58" t="str">
        <f>'Sch2a-Imp Price by ECM'!K12</f>
        <v/>
      </c>
      <c r="AF11" s="291" t="str">
        <f t="shared" si="7"/>
        <v/>
      </c>
      <c r="AG11" s="1" t="str">
        <f>IF('Sch2a-Imp Price by ECM'!L12="","",'Sch2a-Imp Price by ECM'!L12)</f>
        <v/>
      </c>
    </row>
    <row r="12" spans="1:33" ht="17" thickBot="1">
      <c r="A12" s="290" t="str">
        <f>IF('Sch2a-Imp Price by ECM'!B13="","",'Sch2a-Imp Price by ECM'!B13)</f>
        <v/>
      </c>
      <c r="B12" s="71" t="str">
        <f>IF('Sch2a-Imp Price by ECM'!C13="","",'Sch2a-Imp Price by ECM'!C13)</f>
        <v/>
      </c>
      <c r="C12" s="120"/>
      <c r="D12" s="131"/>
      <c r="E12" s="130"/>
      <c r="F12" s="130"/>
      <c r="G12" s="130"/>
      <c r="H12" s="122"/>
      <c r="I12" s="130"/>
      <c r="J12" s="121"/>
      <c r="K12" s="121"/>
      <c r="L12" s="121"/>
      <c r="M12" s="122"/>
      <c r="N12" s="130"/>
      <c r="O12" s="124"/>
      <c r="P12" s="125"/>
      <c r="Q12" s="121"/>
      <c r="R12" s="125"/>
      <c r="S12" s="124"/>
      <c r="T12" s="125"/>
      <c r="U12" s="124"/>
      <c r="V12" s="131"/>
      <c r="W12" s="124"/>
      <c r="X12" s="161">
        <f t="shared" si="0"/>
        <v>0</v>
      </c>
      <c r="Y12" s="162">
        <f t="shared" si="1"/>
        <v>0</v>
      </c>
      <c r="Z12" s="125"/>
      <c r="AA12" s="124"/>
      <c r="AB12" s="124"/>
      <c r="AC12" s="319"/>
      <c r="AD12" s="123">
        <f t="shared" si="2"/>
        <v>0</v>
      </c>
      <c r="AE12" s="58" t="str">
        <f>'Sch2a-Imp Price by ECM'!K13</f>
        <v/>
      </c>
      <c r="AF12" s="291" t="str">
        <f t="shared" si="3"/>
        <v/>
      </c>
      <c r="AG12" s="81" t="str">
        <f>IF('Sch2a-Imp Price by ECM'!L13="","",'Sch2a-Imp Price by ECM'!L13)</f>
        <v/>
      </c>
    </row>
    <row r="13" spans="1:33" ht="18" customHeight="1" thickBot="1">
      <c r="A13" s="290" t="str">
        <f>IF('Sch2a-Imp Price by ECM'!B14="","",'Sch2a-Imp Price by ECM'!B14)</f>
        <v/>
      </c>
      <c r="B13" s="71" t="str">
        <f>IF('Sch2a-Imp Price by ECM'!C14="","",'Sch2a-Imp Price by ECM'!C14)</f>
        <v/>
      </c>
      <c r="C13" s="120"/>
      <c r="D13" s="131"/>
      <c r="E13" s="130"/>
      <c r="F13" s="130"/>
      <c r="G13" s="130"/>
      <c r="H13" s="122"/>
      <c r="I13" s="130"/>
      <c r="J13" s="121"/>
      <c r="K13" s="121"/>
      <c r="L13" s="121"/>
      <c r="M13" s="122"/>
      <c r="N13" s="130"/>
      <c r="O13" s="124"/>
      <c r="P13" s="125"/>
      <c r="Q13" s="121"/>
      <c r="R13" s="125"/>
      <c r="S13" s="124"/>
      <c r="T13" s="125"/>
      <c r="U13" s="124"/>
      <c r="V13" s="131"/>
      <c r="W13" s="124"/>
      <c r="X13" s="161">
        <f t="shared" si="0"/>
        <v>0</v>
      </c>
      <c r="Y13" s="162">
        <f t="shared" si="1"/>
        <v>0</v>
      </c>
      <c r="Z13" s="125"/>
      <c r="AA13" s="124"/>
      <c r="AB13" s="124"/>
      <c r="AC13" s="124"/>
      <c r="AD13" s="123">
        <f t="shared" si="2"/>
        <v>0</v>
      </c>
      <c r="AE13" s="58" t="str">
        <f>'Sch2a-Imp Price by ECM'!K14</f>
        <v/>
      </c>
      <c r="AF13" s="291" t="str">
        <f t="shared" si="3"/>
        <v/>
      </c>
      <c r="AG13" s="81" t="str">
        <f>IF('Sch2a-Imp Price by ECM'!L14="","",'Sch2a-Imp Price by ECM'!L14)</f>
        <v/>
      </c>
    </row>
    <row r="14" spans="1:33" ht="17" thickBot="1">
      <c r="A14" s="290" t="str">
        <f>IF('Sch2a-Imp Price by ECM'!B15="","",'Sch2a-Imp Price by ECM'!B15)</f>
        <v/>
      </c>
      <c r="B14" s="71" t="str">
        <f>IF('Sch2a-Imp Price by ECM'!C15="","",'Sch2a-Imp Price by ECM'!C15)</f>
        <v/>
      </c>
      <c r="C14" s="120"/>
      <c r="D14" s="66"/>
      <c r="E14" s="66"/>
      <c r="F14" s="66"/>
      <c r="G14" s="66"/>
      <c r="H14" s="122"/>
      <c r="I14" s="66"/>
      <c r="J14" s="121"/>
      <c r="K14" s="121"/>
      <c r="L14" s="121"/>
      <c r="M14" s="122"/>
      <c r="N14" s="66"/>
      <c r="O14" s="121"/>
      <c r="P14" s="67"/>
      <c r="Q14" s="121"/>
      <c r="R14" s="67"/>
      <c r="S14" s="65"/>
      <c r="T14" s="67"/>
      <c r="U14" s="65"/>
      <c r="V14" s="64"/>
      <c r="W14" s="65"/>
      <c r="X14" s="161">
        <f t="shared" si="0"/>
        <v>0</v>
      </c>
      <c r="Y14" s="162">
        <f t="shared" si="1"/>
        <v>0</v>
      </c>
      <c r="Z14" s="67"/>
      <c r="AA14" s="65"/>
      <c r="AB14" s="65"/>
      <c r="AC14" s="65"/>
      <c r="AD14" s="123">
        <f t="shared" si="2"/>
        <v>0</v>
      </c>
      <c r="AE14" s="58" t="str">
        <f>'Sch2a-Imp Price by ECM'!K15</f>
        <v/>
      </c>
      <c r="AF14" s="291" t="str">
        <f t="shared" si="3"/>
        <v/>
      </c>
      <c r="AG14" s="81" t="str">
        <f>IF('Sch2a-Imp Price by ECM'!L15="","",'Sch2a-Imp Price by ECM'!L15)</f>
        <v/>
      </c>
    </row>
    <row r="15" spans="1:33" ht="17" thickBot="1">
      <c r="A15" s="290" t="str">
        <f>IF('Sch2a-Imp Price by ECM'!B16="","",'Sch2a-Imp Price by ECM'!B16)</f>
        <v/>
      </c>
      <c r="B15" s="71" t="str">
        <f>IF('Sch2a-Imp Price by ECM'!C16="","",'Sch2a-Imp Price by ECM'!C16)</f>
        <v/>
      </c>
      <c r="C15" s="120"/>
      <c r="D15" s="66"/>
      <c r="E15" s="66"/>
      <c r="F15" s="66"/>
      <c r="G15" s="66"/>
      <c r="H15" s="122"/>
      <c r="I15" s="66"/>
      <c r="J15" s="121"/>
      <c r="K15" s="121"/>
      <c r="L15" s="121"/>
      <c r="M15" s="122"/>
      <c r="N15" s="66"/>
      <c r="O15" s="121"/>
      <c r="P15" s="67"/>
      <c r="Q15" s="121"/>
      <c r="R15" s="67"/>
      <c r="S15" s="65"/>
      <c r="T15" s="67"/>
      <c r="U15" s="65"/>
      <c r="V15" s="64"/>
      <c r="W15" s="65"/>
      <c r="X15" s="161">
        <f t="shared" si="0"/>
        <v>0</v>
      </c>
      <c r="Y15" s="162">
        <f t="shared" si="1"/>
        <v>0</v>
      </c>
      <c r="Z15" s="67"/>
      <c r="AA15" s="65"/>
      <c r="AB15" s="65"/>
      <c r="AC15" s="65"/>
      <c r="AD15" s="123">
        <f t="shared" si="2"/>
        <v>0</v>
      </c>
      <c r="AE15" s="58" t="str">
        <f>'Sch2a-Imp Price by ECM'!K16</f>
        <v/>
      </c>
      <c r="AF15" s="291" t="str">
        <f t="shared" si="3"/>
        <v/>
      </c>
      <c r="AG15" s="81" t="str">
        <f>IF('Sch2a-Imp Price by ECM'!L16="","",'Sch2a-Imp Price by ECM'!L16)</f>
        <v/>
      </c>
    </row>
    <row r="16" spans="1:33" ht="17" thickBot="1">
      <c r="A16" s="290" t="str">
        <f>IF('Sch2a-Imp Price by ECM'!B17="","",'Sch2a-Imp Price by ECM'!B17)</f>
        <v/>
      </c>
      <c r="B16" s="71" t="str">
        <f>IF('Sch2a-Imp Price by ECM'!C17="","",'Sch2a-Imp Price by ECM'!C17)</f>
        <v/>
      </c>
      <c r="C16" s="120"/>
      <c r="D16" s="66"/>
      <c r="E16" s="66"/>
      <c r="F16" s="66"/>
      <c r="G16" s="66"/>
      <c r="H16" s="122"/>
      <c r="I16" s="66"/>
      <c r="J16" s="121"/>
      <c r="K16" s="121"/>
      <c r="L16" s="121"/>
      <c r="M16" s="116"/>
      <c r="N16" s="66"/>
      <c r="O16" s="121"/>
      <c r="P16" s="67"/>
      <c r="Q16" s="121"/>
      <c r="R16" s="67"/>
      <c r="S16" s="65"/>
      <c r="T16" s="67"/>
      <c r="U16" s="65"/>
      <c r="V16" s="64"/>
      <c r="W16" s="65"/>
      <c r="X16" s="161">
        <f t="shared" si="0"/>
        <v>0</v>
      </c>
      <c r="Y16" s="162">
        <f t="shared" si="1"/>
        <v>0</v>
      </c>
      <c r="Z16" s="67"/>
      <c r="AA16" s="65"/>
      <c r="AB16" s="65"/>
      <c r="AC16" s="65"/>
      <c r="AD16" s="123">
        <f t="shared" si="2"/>
        <v>0</v>
      </c>
      <c r="AE16" s="58" t="str">
        <f>'Sch2a-Imp Price by ECM'!K17</f>
        <v/>
      </c>
      <c r="AF16" s="291" t="str">
        <f t="shared" si="3"/>
        <v/>
      </c>
      <c r="AG16" s="81" t="str">
        <f>IF('Sch2a-Imp Price by ECM'!L17="","",'Sch2a-Imp Price by ECM'!L17)</f>
        <v/>
      </c>
    </row>
    <row r="17" spans="1:33" ht="17" thickBot="1">
      <c r="A17" s="290" t="str">
        <f>IF('Sch2a-Imp Price by ECM'!B18="","",'Sch2a-Imp Price by ECM'!B18)</f>
        <v/>
      </c>
      <c r="B17" s="71" t="str">
        <f>IF('Sch2a-Imp Price by ECM'!C18="","",'Sch2a-Imp Price by ECM'!C18)</f>
        <v/>
      </c>
      <c r="C17" s="120"/>
      <c r="D17" s="66"/>
      <c r="E17" s="66"/>
      <c r="F17" s="66"/>
      <c r="G17" s="66"/>
      <c r="H17" s="122"/>
      <c r="I17" s="66"/>
      <c r="J17" s="121"/>
      <c r="K17" s="121"/>
      <c r="L17" s="121"/>
      <c r="M17" s="116"/>
      <c r="N17" s="66"/>
      <c r="O17" s="121"/>
      <c r="P17" s="67"/>
      <c r="Q17" s="121"/>
      <c r="R17" s="67"/>
      <c r="S17" s="65"/>
      <c r="T17" s="67"/>
      <c r="U17" s="65"/>
      <c r="V17" s="64"/>
      <c r="W17" s="65"/>
      <c r="X17" s="161">
        <f t="shared" si="0"/>
        <v>0</v>
      </c>
      <c r="Y17" s="162">
        <f t="shared" si="1"/>
        <v>0</v>
      </c>
      <c r="Z17" s="67"/>
      <c r="AA17" s="65"/>
      <c r="AB17" s="65"/>
      <c r="AC17" s="65"/>
      <c r="AD17" s="123">
        <f t="shared" si="2"/>
        <v>0</v>
      </c>
      <c r="AE17" s="58" t="str">
        <f>'Sch2a-Imp Price by ECM'!K18</f>
        <v/>
      </c>
      <c r="AF17" s="291" t="str">
        <f t="shared" si="3"/>
        <v/>
      </c>
      <c r="AG17" s="81" t="str">
        <f>IF('Sch2a-Imp Price by ECM'!L18="","",'Sch2a-Imp Price by ECM'!L18)</f>
        <v/>
      </c>
    </row>
    <row r="18" spans="1:33" ht="17" thickBot="1">
      <c r="A18" s="290" t="str">
        <f>IF('Sch2a-Imp Price by ECM'!B19="","",'Sch2a-Imp Price by ECM'!B19)</f>
        <v/>
      </c>
      <c r="B18" s="71" t="str">
        <f>IF('Sch2a-Imp Price by ECM'!C19="","",'Sch2a-Imp Price by ECM'!C19)</f>
        <v/>
      </c>
      <c r="C18" s="120"/>
      <c r="D18" s="66"/>
      <c r="E18" s="66"/>
      <c r="F18" s="66"/>
      <c r="G18" s="66"/>
      <c r="H18" s="122"/>
      <c r="I18" s="66"/>
      <c r="J18" s="121"/>
      <c r="K18" s="121"/>
      <c r="L18" s="121"/>
      <c r="M18" s="116"/>
      <c r="N18" s="66"/>
      <c r="O18" s="121"/>
      <c r="P18" s="67"/>
      <c r="Q18" s="121"/>
      <c r="R18" s="67"/>
      <c r="S18" s="65"/>
      <c r="T18" s="67"/>
      <c r="U18" s="65"/>
      <c r="V18" s="64"/>
      <c r="W18" s="65"/>
      <c r="X18" s="161">
        <f t="shared" si="0"/>
        <v>0</v>
      </c>
      <c r="Y18" s="162">
        <f t="shared" si="1"/>
        <v>0</v>
      </c>
      <c r="Z18" s="67"/>
      <c r="AA18" s="65"/>
      <c r="AB18" s="65"/>
      <c r="AC18" s="65"/>
      <c r="AD18" s="123">
        <f t="shared" si="2"/>
        <v>0</v>
      </c>
      <c r="AE18" s="58" t="str">
        <f>'Sch2a-Imp Price by ECM'!K19</f>
        <v/>
      </c>
      <c r="AF18" s="291" t="str">
        <f t="shared" si="3"/>
        <v/>
      </c>
      <c r="AG18" s="81" t="str">
        <f>IF('Sch2a-Imp Price by ECM'!L19="","",'Sch2a-Imp Price by ECM'!L19)</f>
        <v/>
      </c>
    </row>
    <row r="19" spans="1:33" ht="17" thickBot="1">
      <c r="A19" s="290" t="str">
        <f>IF('Sch2a-Imp Price by ECM'!B20="","",'Sch2a-Imp Price by ECM'!B20)</f>
        <v/>
      </c>
      <c r="B19" s="71" t="str">
        <f>IF('Sch2a-Imp Price by ECM'!C20="","",'Sch2a-Imp Price by ECM'!C20)</f>
        <v/>
      </c>
      <c r="C19" s="120"/>
      <c r="D19" s="66"/>
      <c r="E19" s="66"/>
      <c r="F19" s="66"/>
      <c r="G19" s="66"/>
      <c r="H19" s="122"/>
      <c r="I19" s="66"/>
      <c r="J19" s="121"/>
      <c r="K19" s="121"/>
      <c r="L19" s="121"/>
      <c r="M19" s="116"/>
      <c r="N19" s="66"/>
      <c r="O19" s="122"/>
      <c r="P19" s="67"/>
      <c r="Q19" s="121"/>
      <c r="R19" s="67"/>
      <c r="S19" s="65"/>
      <c r="T19" s="67"/>
      <c r="U19" s="65"/>
      <c r="V19" s="64"/>
      <c r="W19" s="65"/>
      <c r="X19" s="161">
        <f t="shared" si="0"/>
        <v>0</v>
      </c>
      <c r="Y19" s="162">
        <f t="shared" si="1"/>
        <v>0</v>
      </c>
      <c r="Z19" s="67"/>
      <c r="AA19" s="65"/>
      <c r="AB19" s="65"/>
      <c r="AC19" s="65"/>
      <c r="AD19" s="123">
        <f t="shared" si="2"/>
        <v>0</v>
      </c>
      <c r="AE19" s="58" t="str">
        <f>'Sch2a-Imp Price by ECM'!K20</f>
        <v/>
      </c>
      <c r="AF19" s="291" t="str">
        <f t="shared" si="3"/>
        <v/>
      </c>
      <c r="AG19" s="81" t="str">
        <f>IF('Sch2a-Imp Price by ECM'!L20="","",'Sch2a-Imp Price by ECM'!L20)</f>
        <v/>
      </c>
    </row>
    <row r="20" spans="1:33" ht="17" thickBot="1">
      <c r="A20" s="290" t="str">
        <f>IF('Sch2a-Imp Price by ECM'!B21="","",'Sch2a-Imp Price by ECM'!B21)</f>
        <v/>
      </c>
      <c r="B20" s="71" t="str">
        <f>IF('Sch2a-Imp Price by ECM'!C21="","",'Sch2a-Imp Price by ECM'!C21)</f>
        <v/>
      </c>
      <c r="C20" s="120"/>
      <c r="D20" s="66"/>
      <c r="E20" s="66"/>
      <c r="F20" s="66"/>
      <c r="G20" s="66"/>
      <c r="H20" s="122"/>
      <c r="I20" s="66"/>
      <c r="J20" s="121"/>
      <c r="K20" s="121"/>
      <c r="L20" s="121"/>
      <c r="M20" s="116"/>
      <c r="N20" s="66"/>
      <c r="O20" s="121"/>
      <c r="P20" s="67"/>
      <c r="Q20" s="121"/>
      <c r="R20" s="67"/>
      <c r="S20" s="65"/>
      <c r="T20" s="67"/>
      <c r="U20" s="65"/>
      <c r="V20" s="64"/>
      <c r="W20" s="65"/>
      <c r="X20" s="161">
        <f t="shared" si="0"/>
        <v>0</v>
      </c>
      <c r="Y20" s="162">
        <f t="shared" si="1"/>
        <v>0</v>
      </c>
      <c r="Z20" s="67"/>
      <c r="AA20" s="65"/>
      <c r="AB20" s="65"/>
      <c r="AC20" s="65"/>
      <c r="AD20" s="123">
        <f t="shared" si="2"/>
        <v>0</v>
      </c>
      <c r="AE20" s="58" t="str">
        <f>'Sch2a-Imp Price by ECM'!K21</f>
        <v/>
      </c>
      <c r="AF20" s="291" t="str">
        <f t="shared" si="3"/>
        <v/>
      </c>
      <c r="AG20" s="1" t="str">
        <f>IF('Sch2a-Imp Price by ECM'!L21="","",'Sch2a-Imp Price by ECM'!L21)</f>
        <v/>
      </c>
    </row>
    <row r="21" spans="1:33" ht="17" thickBot="1">
      <c r="A21" s="290" t="str">
        <f>IF('Sch2a-Imp Price by ECM'!B22="","",'Sch2a-Imp Price by ECM'!B22)</f>
        <v/>
      </c>
      <c r="B21" s="71" t="str">
        <f>IF('Sch2a-Imp Price by ECM'!C22="","",'Sch2a-Imp Price by ECM'!C22)</f>
        <v/>
      </c>
      <c r="C21" s="120"/>
      <c r="D21" s="66"/>
      <c r="E21" s="66"/>
      <c r="F21" s="66"/>
      <c r="G21" s="66"/>
      <c r="H21" s="122"/>
      <c r="I21" s="66"/>
      <c r="J21" s="121"/>
      <c r="K21" s="121"/>
      <c r="L21" s="121"/>
      <c r="M21" s="116"/>
      <c r="N21" s="66"/>
      <c r="O21" s="121"/>
      <c r="P21" s="67"/>
      <c r="Q21" s="121"/>
      <c r="R21" s="67"/>
      <c r="S21" s="65"/>
      <c r="T21" s="67"/>
      <c r="U21" s="65"/>
      <c r="V21" s="64"/>
      <c r="W21" s="65"/>
      <c r="X21" s="161">
        <f t="shared" si="0"/>
        <v>0</v>
      </c>
      <c r="Y21" s="162">
        <f t="shared" si="1"/>
        <v>0</v>
      </c>
      <c r="Z21" s="67"/>
      <c r="AA21" s="65"/>
      <c r="AB21" s="65"/>
      <c r="AC21" s="65"/>
      <c r="AD21" s="123">
        <f t="shared" si="2"/>
        <v>0</v>
      </c>
      <c r="AE21" s="58" t="str">
        <f>'Sch2a-Imp Price by ECM'!K22</f>
        <v/>
      </c>
      <c r="AF21" s="291" t="str">
        <f t="shared" si="3"/>
        <v/>
      </c>
      <c r="AG21" s="1" t="str">
        <f>IF('Sch2a-Imp Price by ECM'!L22="","",'Sch2a-Imp Price by ECM'!L22)</f>
        <v/>
      </c>
    </row>
    <row r="22" spans="1:33" ht="17" thickBot="1">
      <c r="A22" s="290" t="str">
        <f>IF('Sch2a-Imp Price by ECM'!B23="","",'Sch2a-Imp Price by ECM'!B23)</f>
        <v/>
      </c>
      <c r="B22" s="71" t="str">
        <f>IF('Sch2a-Imp Price by ECM'!C23="","",'Sch2a-Imp Price by ECM'!C23)</f>
        <v/>
      </c>
      <c r="C22" s="120"/>
      <c r="D22" s="66"/>
      <c r="E22" s="66"/>
      <c r="F22" s="66"/>
      <c r="G22" s="66"/>
      <c r="H22" s="122"/>
      <c r="I22" s="66"/>
      <c r="J22" s="121"/>
      <c r="K22" s="121"/>
      <c r="L22" s="121"/>
      <c r="M22" s="116"/>
      <c r="N22" s="66"/>
      <c r="O22" s="121"/>
      <c r="P22" s="67"/>
      <c r="Q22" s="121"/>
      <c r="R22" s="67"/>
      <c r="S22" s="65"/>
      <c r="T22" s="67"/>
      <c r="U22" s="65"/>
      <c r="V22" s="64"/>
      <c r="W22" s="65"/>
      <c r="X22" s="161">
        <f t="shared" si="0"/>
        <v>0</v>
      </c>
      <c r="Y22" s="162">
        <f t="shared" si="1"/>
        <v>0</v>
      </c>
      <c r="Z22" s="67"/>
      <c r="AA22" s="65"/>
      <c r="AB22" s="65"/>
      <c r="AC22" s="65"/>
      <c r="AD22" s="123">
        <f t="shared" si="2"/>
        <v>0</v>
      </c>
      <c r="AE22" s="58" t="str">
        <f>'Sch2a-Imp Price by ECM'!K23</f>
        <v/>
      </c>
      <c r="AF22" s="291" t="str">
        <f t="shared" si="3"/>
        <v/>
      </c>
      <c r="AG22" s="1" t="str">
        <f>IF('Sch2a-Imp Price by ECM'!L23="","",'Sch2a-Imp Price by ECM'!L23)</f>
        <v/>
      </c>
    </row>
    <row r="23" spans="1:33" ht="17" thickBot="1">
      <c r="A23" s="290" t="str">
        <f>IF('Sch2a-Imp Price by ECM'!B24="","",'Sch2a-Imp Price by ECM'!B24)</f>
        <v/>
      </c>
      <c r="B23" s="71" t="str">
        <f>IF('Sch2a-Imp Price by ECM'!C24="","",'Sch2a-Imp Price by ECM'!C24)</f>
        <v/>
      </c>
      <c r="C23" s="120"/>
      <c r="D23" s="66"/>
      <c r="E23" s="66"/>
      <c r="F23" s="66"/>
      <c r="G23" s="66"/>
      <c r="H23" s="122"/>
      <c r="I23" s="66"/>
      <c r="J23" s="121"/>
      <c r="K23" s="121"/>
      <c r="L23" s="121"/>
      <c r="M23" s="116"/>
      <c r="N23" s="66"/>
      <c r="O23" s="121"/>
      <c r="P23" s="67"/>
      <c r="Q23" s="121"/>
      <c r="R23" s="67"/>
      <c r="S23" s="65"/>
      <c r="T23" s="67"/>
      <c r="U23" s="65"/>
      <c r="V23" s="64"/>
      <c r="W23" s="65"/>
      <c r="X23" s="161">
        <f t="shared" si="0"/>
        <v>0</v>
      </c>
      <c r="Y23" s="162">
        <f t="shared" si="1"/>
        <v>0</v>
      </c>
      <c r="Z23" s="67"/>
      <c r="AA23" s="65"/>
      <c r="AB23" s="65"/>
      <c r="AC23" s="65"/>
      <c r="AD23" s="123">
        <f t="shared" si="2"/>
        <v>0</v>
      </c>
      <c r="AE23" s="58" t="str">
        <f>'Sch2a-Imp Price by ECM'!K24</f>
        <v/>
      </c>
      <c r="AF23" s="291" t="str">
        <f t="shared" si="3"/>
        <v/>
      </c>
      <c r="AG23" s="1" t="str">
        <f>IF('Sch2a-Imp Price by ECM'!L24="","",'Sch2a-Imp Price by ECM'!L24)</f>
        <v/>
      </c>
    </row>
    <row r="24" spans="1:33" ht="17" thickBot="1">
      <c r="A24" s="290" t="str">
        <f>IF('Sch2a-Imp Price by ECM'!B25="","",'Sch2a-Imp Price by ECM'!B25)</f>
        <v/>
      </c>
      <c r="B24" s="71" t="str">
        <f>IF('Sch2a-Imp Price by ECM'!C25="","",'Sch2a-Imp Price by ECM'!C25)</f>
        <v/>
      </c>
      <c r="C24" s="120"/>
      <c r="D24" s="66"/>
      <c r="E24" s="66"/>
      <c r="F24" s="66"/>
      <c r="G24" s="66"/>
      <c r="H24" s="122"/>
      <c r="I24" s="66"/>
      <c r="J24" s="121"/>
      <c r="K24" s="121"/>
      <c r="L24" s="121"/>
      <c r="M24" s="116"/>
      <c r="N24" s="66"/>
      <c r="O24" s="121"/>
      <c r="P24" s="67"/>
      <c r="Q24" s="121"/>
      <c r="R24" s="67"/>
      <c r="S24" s="65"/>
      <c r="T24" s="67"/>
      <c r="U24" s="65"/>
      <c r="V24" s="64"/>
      <c r="W24" s="65"/>
      <c r="X24" s="161">
        <f t="shared" si="0"/>
        <v>0</v>
      </c>
      <c r="Y24" s="162">
        <f t="shared" si="1"/>
        <v>0</v>
      </c>
      <c r="Z24" s="67"/>
      <c r="AA24" s="65"/>
      <c r="AB24" s="65"/>
      <c r="AC24" s="65"/>
      <c r="AD24" s="123">
        <f t="shared" si="2"/>
        <v>0</v>
      </c>
      <c r="AE24" s="58" t="str">
        <f>'Sch2a-Imp Price by ECM'!K25</f>
        <v/>
      </c>
      <c r="AF24" s="291" t="str">
        <f t="shared" si="3"/>
        <v/>
      </c>
      <c r="AG24" s="1" t="str">
        <f>IF('Sch2a-Imp Price by ECM'!L25="","",'Sch2a-Imp Price by ECM'!L25)</f>
        <v/>
      </c>
    </row>
    <row r="25" spans="1:33" ht="17" thickBot="1">
      <c r="A25" s="290" t="str">
        <f>IF('Sch2a-Imp Price by ECM'!B26="","",'Sch2a-Imp Price by ECM'!B26)</f>
        <v/>
      </c>
      <c r="B25" s="71" t="str">
        <f>IF('Sch2a-Imp Price by ECM'!C26="","",'Sch2a-Imp Price by ECM'!C26)</f>
        <v/>
      </c>
      <c r="C25" s="120"/>
      <c r="D25" s="66"/>
      <c r="E25" s="66"/>
      <c r="F25" s="66"/>
      <c r="G25" s="66"/>
      <c r="H25" s="122"/>
      <c r="I25" s="66"/>
      <c r="J25" s="121"/>
      <c r="K25" s="121"/>
      <c r="L25" s="121"/>
      <c r="M25" s="116"/>
      <c r="N25" s="66"/>
      <c r="O25" s="121"/>
      <c r="P25" s="67"/>
      <c r="Q25" s="121"/>
      <c r="R25" s="67"/>
      <c r="S25" s="65"/>
      <c r="T25" s="67"/>
      <c r="U25" s="65"/>
      <c r="V25" s="64"/>
      <c r="W25" s="65"/>
      <c r="X25" s="161">
        <f t="shared" si="0"/>
        <v>0</v>
      </c>
      <c r="Y25" s="162">
        <f t="shared" si="1"/>
        <v>0</v>
      </c>
      <c r="Z25" s="67"/>
      <c r="AA25" s="65"/>
      <c r="AB25" s="65"/>
      <c r="AC25" s="65"/>
      <c r="AD25" s="123">
        <f t="shared" si="2"/>
        <v>0</v>
      </c>
      <c r="AE25" s="58" t="str">
        <f>'Sch2a-Imp Price by ECM'!K26</f>
        <v/>
      </c>
      <c r="AF25" s="291" t="str">
        <f t="shared" si="3"/>
        <v/>
      </c>
      <c r="AG25" s="1" t="str">
        <f>IF('Sch2a-Imp Price by ECM'!L26="","",'Sch2a-Imp Price by ECM'!L26)</f>
        <v/>
      </c>
    </row>
    <row r="26" spans="1:33" ht="17" thickBot="1">
      <c r="A26" s="290" t="str">
        <f>IF('Sch2a-Imp Price by ECM'!B27="","",'Sch2a-Imp Price by ECM'!B27)</f>
        <v/>
      </c>
      <c r="B26" s="71" t="str">
        <f>IF('Sch2a-Imp Price by ECM'!C27="","",'Sch2a-Imp Price by ECM'!C27)</f>
        <v/>
      </c>
      <c r="C26" s="120"/>
      <c r="D26" s="66"/>
      <c r="E26" s="66"/>
      <c r="F26" s="66"/>
      <c r="G26" s="66"/>
      <c r="H26" s="122"/>
      <c r="I26" s="66"/>
      <c r="J26" s="121"/>
      <c r="K26" s="121"/>
      <c r="L26" s="121"/>
      <c r="M26" s="116"/>
      <c r="N26" s="66"/>
      <c r="O26" s="121"/>
      <c r="P26" s="67"/>
      <c r="Q26" s="121"/>
      <c r="R26" s="67"/>
      <c r="S26" s="65"/>
      <c r="T26" s="67"/>
      <c r="U26" s="65"/>
      <c r="V26" s="64"/>
      <c r="W26" s="65"/>
      <c r="X26" s="161">
        <f t="shared" si="0"/>
        <v>0</v>
      </c>
      <c r="Y26" s="162">
        <f t="shared" si="1"/>
        <v>0</v>
      </c>
      <c r="Z26" s="67"/>
      <c r="AA26" s="65"/>
      <c r="AB26" s="65"/>
      <c r="AC26" s="65"/>
      <c r="AD26" s="123">
        <f t="shared" si="2"/>
        <v>0</v>
      </c>
      <c r="AE26" s="58" t="str">
        <f>'Sch2a-Imp Price by ECM'!K27</f>
        <v/>
      </c>
      <c r="AF26" s="291" t="str">
        <f t="shared" si="3"/>
        <v/>
      </c>
      <c r="AG26" s="1" t="str">
        <f>IF('Sch2a-Imp Price by ECM'!L27="","",'Sch2a-Imp Price by ECM'!L27)</f>
        <v/>
      </c>
    </row>
    <row r="27" spans="1:33" ht="17" thickBot="1">
      <c r="A27" s="290" t="str">
        <f>IF('Sch2a-Imp Price by ECM'!B28="","",'Sch2a-Imp Price by ECM'!B28)</f>
        <v/>
      </c>
      <c r="B27" s="71" t="str">
        <f>IF('Sch2a-Imp Price by ECM'!C28="","",'Sch2a-Imp Price by ECM'!C28)</f>
        <v/>
      </c>
      <c r="C27" s="120"/>
      <c r="D27" s="66"/>
      <c r="E27" s="66"/>
      <c r="F27" s="66"/>
      <c r="G27" s="66"/>
      <c r="H27" s="122"/>
      <c r="I27" s="66"/>
      <c r="J27" s="121"/>
      <c r="K27" s="121"/>
      <c r="L27" s="121"/>
      <c r="M27" s="116"/>
      <c r="N27" s="66"/>
      <c r="O27" s="121"/>
      <c r="P27" s="67"/>
      <c r="Q27" s="121"/>
      <c r="R27" s="67"/>
      <c r="S27" s="65"/>
      <c r="T27" s="67"/>
      <c r="U27" s="65"/>
      <c r="V27" s="64"/>
      <c r="W27" s="65"/>
      <c r="X27" s="161">
        <f t="shared" si="0"/>
        <v>0</v>
      </c>
      <c r="Y27" s="162">
        <f t="shared" si="1"/>
        <v>0</v>
      </c>
      <c r="Z27" s="67"/>
      <c r="AA27" s="65"/>
      <c r="AB27" s="65"/>
      <c r="AC27" s="65"/>
      <c r="AD27" s="123">
        <f t="shared" si="2"/>
        <v>0</v>
      </c>
      <c r="AE27" s="58" t="str">
        <f>'Sch2a-Imp Price by ECM'!K28</f>
        <v/>
      </c>
      <c r="AF27" s="291" t="str">
        <f t="shared" si="3"/>
        <v/>
      </c>
      <c r="AG27" s="1" t="str">
        <f>IF('Sch2a-Imp Price by ECM'!L28="","",'Sch2a-Imp Price by ECM'!L28)</f>
        <v/>
      </c>
    </row>
    <row r="28" spans="1:33" ht="17" thickBot="1">
      <c r="A28" s="290" t="str">
        <f>IF('Sch2a-Imp Price by ECM'!B29="","",'Sch2a-Imp Price by ECM'!B29)</f>
        <v/>
      </c>
      <c r="B28" s="71" t="str">
        <f>IF('Sch2a-Imp Price by ECM'!C29="","",'Sch2a-Imp Price by ECM'!C29)</f>
        <v/>
      </c>
      <c r="C28" s="120"/>
      <c r="D28" s="66"/>
      <c r="E28" s="66"/>
      <c r="F28" s="66"/>
      <c r="G28" s="66"/>
      <c r="H28" s="122"/>
      <c r="I28" s="66"/>
      <c r="J28" s="121"/>
      <c r="K28" s="121"/>
      <c r="L28" s="121"/>
      <c r="M28" s="116"/>
      <c r="N28" s="66"/>
      <c r="O28" s="121"/>
      <c r="P28" s="67"/>
      <c r="Q28" s="121"/>
      <c r="R28" s="67"/>
      <c r="S28" s="65"/>
      <c r="T28" s="67"/>
      <c r="U28" s="65"/>
      <c r="V28" s="64"/>
      <c r="W28" s="65"/>
      <c r="X28" s="161">
        <f t="shared" si="0"/>
        <v>0</v>
      </c>
      <c r="Y28" s="162">
        <f t="shared" si="1"/>
        <v>0</v>
      </c>
      <c r="Z28" s="67"/>
      <c r="AA28" s="65"/>
      <c r="AB28" s="65"/>
      <c r="AC28" s="65"/>
      <c r="AD28" s="123">
        <f t="shared" si="2"/>
        <v>0</v>
      </c>
      <c r="AE28" s="58" t="str">
        <f>'Sch2a-Imp Price by ECM'!K29</f>
        <v/>
      </c>
      <c r="AF28" s="291" t="str">
        <f t="shared" si="3"/>
        <v/>
      </c>
      <c r="AG28" s="1" t="str">
        <f>IF('Sch2a-Imp Price by ECM'!L29="","",'Sch2a-Imp Price by ECM'!L29)</f>
        <v/>
      </c>
    </row>
    <row r="29" spans="1:33" ht="17" thickBot="1">
      <c r="A29" s="290" t="str">
        <f>IF('Sch2a-Imp Price by ECM'!B30="","",'Sch2a-Imp Price by ECM'!B30)</f>
        <v/>
      </c>
      <c r="B29" s="71" t="str">
        <f>IF('Sch2a-Imp Price by ECM'!C30="","",'Sch2a-Imp Price by ECM'!C30)</f>
        <v/>
      </c>
      <c r="C29" s="120"/>
      <c r="D29" s="66"/>
      <c r="E29" s="66"/>
      <c r="F29" s="66"/>
      <c r="G29" s="66"/>
      <c r="H29" s="122"/>
      <c r="I29" s="66"/>
      <c r="J29" s="121"/>
      <c r="K29" s="121"/>
      <c r="L29" s="121"/>
      <c r="M29" s="116"/>
      <c r="N29" s="66"/>
      <c r="O29" s="121"/>
      <c r="P29" s="67"/>
      <c r="Q29" s="121"/>
      <c r="R29" s="67"/>
      <c r="S29" s="65"/>
      <c r="T29" s="67"/>
      <c r="U29" s="65"/>
      <c r="V29" s="64"/>
      <c r="W29" s="65"/>
      <c r="X29" s="161">
        <f t="shared" si="0"/>
        <v>0</v>
      </c>
      <c r="Y29" s="162">
        <f t="shared" si="1"/>
        <v>0</v>
      </c>
      <c r="Z29" s="67"/>
      <c r="AA29" s="65"/>
      <c r="AB29" s="65"/>
      <c r="AC29" s="65"/>
      <c r="AD29" s="123">
        <f t="shared" si="2"/>
        <v>0</v>
      </c>
      <c r="AE29" s="58" t="str">
        <f>'Sch2a-Imp Price by ECM'!K30</f>
        <v/>
      </c>
      <c r="AF29" s="291" t="str">
        <f t="shared" si="3"/>
        <v/>
      </c>
      <c r="AG29" s="1" t="str">
        <f>IF('Sch2a-Imp Price by ECM'!L30="","",'Sch2a-Imp Price by ECM'!L30)</f>
        <v/>
      </c>
    </row>
    <row r="30" spans="1:33" ht="17" thickBot="1">
      <c r="A30" s="290" t="str">
        <f>IF('Sch2a-Imp Price by ECM'!B31="","",'Sch2a-Imp Price by ECM'!B31)</f>
        <v/>
      </c>
      <c r="B30" s="71" t="str">
        <f>IF('Sch2a-Imp Price by ECM'!C31="","",'Sch2a-Imp Price by ECM'!C31)</f>
        <v/>
      </c>
      <c r="C30" s="120"/>
      <c r="D30" s="66"/>
      <c r="E30" s="66"/>
      <c r="F30" s="66"/>
      <c r="G30" s="66"/>
      <c r="H30" s="122"/>
      <c r="I30" s="66"/>
      <c r="J30" s="121"/>
      <c r="K30" s="121"/>
      <c r="L30" s="121"/>
      <c r="M30" s="122"/>
      <c r="N30" s="66"/>
      <c r="O30" s="121"/>
      <c r="P30" s="67"/>
      <c r="Q30" s="121"/>
      <c r="R30" s="67"/>
      <c r="S30" s="65"/>
      <c r="T30" s="67"/>
      <c r="U30" s="65"/>
      <c r="V30" s="64"/>
      <c r="W30" s="65"/>
      <c r="X30" s="161">
        <f t="shared" ref="X30:X50" si="8">(N30*3412/10^6)+R30+T30+V30</f>
        <v>0</v>
      </c>
      <c r="Y30" s="162">
        <f t="shared" ref="Y30:Y50" si="9">O30+Q30+U30+W30+S30</f>
        <v>0</v>
      </c>
      <c r="Z30" s="67"/>
      <c r="AA30" s="65"/>
      <c r="AB30" s="65"/>
      <c r="AC30" s="65"/>
      <c r="AD30" s="123">
        <f t="shared" ref="AD30:AD50" si="10">Y30+AA30+AB30+AC30</f>
        <v>0</v>
      </c>
      <c r="AE30" s="58" t="str">
        <f>'Sch2a-Imp Price by ECM'!K31</f>
        <v/>
      </c>
      <c r="AF30" s="291" t="str">
        <f t="shared" ref="AF30:AF50" si="11">IF(AD30=0,"",AE30/AD30)</f>
        <v/>
      </c>
      <c r="AG30" s="1" t="str">
        <f>IF('Sch2a-Imp Price by ECM'!L31="","",'Sch2a-Imp Price by ECM'!L31)</f>
        <v/>
      </c>
    </row>
    <row r="31" spans="1:33" ht="17" thickBot="1">
      <c r="A31" s="290" t="str">
        <f>IF('Sch2a-Imp Price by ECM'!B32="","",'Sch2a-Imp Price by ECM'!B32)</f>
        <v/>
      </c>
      <c r="B31" s="71" t="str">
        <f>IF('Sch2a-Imp Price by ECM'!C32="","",'Sch2a-Imp Price by ECM'!C32)</f>
        <v/>
      </c>
      <c r="C31" s="120"/>
      <c r="D31" s="66"/>
      <c r="E31" s="66"/>
      <c r="F31" s="66"/>
      <c r="G31" s="66"/>
      <c r="H31" s="122"/>
      <c r="I31" s="66"/>
      <c r="J31" s="121"/>
      <c r="K31" s="121"/>
      <c r="L31" s="121"/>
      <c r="M31" s="122"/>
      <c r="N31" s="66"/>
      <c r="O31" s="121"/>
      <c r="P31" s="67"/>
      <c r="Q31" s="121"/>
      <c r="R31" s="67"/>
      <c r="S31" s="65"/>
      <c r="T31" s="67"/>
      <c r="U31" s="65"/>
      <c r="V31" s="64"/>
      <c r="W31" s="65"/>
      <c r="X31" s="161">
        <f t="shared" si="8"/>
        <v>0</v>
      </c>
      <c r="Y31" s="162">
        <f t="shared" si="9"/>
        <v>0</v>
      </c>
      <c r="Z31" s="67"/>
      <c r="AA31" s="65"/>
      <c r="AB31" s="65"/>
      <c r="AC31" s="65"/>
      <c r="AD31" s="123">
        <f t="shared" si="10"/>
        <v>0</v>
      </c>
      <c r="AE31" s="58" t="str">
        <f>'Sch2a-Imp Price by ECM'!K32</f>
        <v/>
      </c>
      <c r="AF31" s="291" t="str">
        <f t="shared" si="11"/>
        <v/>
      </c>
      <c r="AG31" s="1" t="str">
        <f>IF('Sch2a-Imp Price by ECM'!L32="","",'Sch2a-Imp Price by ECM'!L32)</f>
        <v/>
      </c>
    </row>
    <row r="32" spans="1:33" ht="17" thickBot="1">
      <c r="A32" s="290" t="str">
        <f>IF('Sch2a-Imp Price by ECM'!B33="","",'Sch2a-Imp Price by ECM'!B33)</f>
        <v/>
      </c>
      <c r="B32" s="71" t="str">
        <f>IF('Sch2a-Imp Price by ECM'!C33="","",'Sch2a-Imp Price by ECM'!C33)</f>
        <v/>
      </c>
      <c r="C32" s="120"/>
      <c r="D32" s="66"/>
      <c r="E32" s="66"/>
      <c r="F32" s="66"/>
      <c r="G32" s="66"/>
      <c r="H32" s="122"/>
      <c r="I32" s="66"/>
      <c r="J32" s="121"/>
      <c r="K32" s="121"/>
      <c r="L32" s="121"/>
      <c r="M32" s="122"/>
      <c r="N32" s="66"/>
      <c r="O32" s="121"/>
      <c r="P32" s="67"/>
      <c r="Q32" s="121"/>
      <c r="R32" s="67"/>
      <c r="S32" s="65"/>
      <c r="T32" s="67"/>
      <c r="U32" s="65"/>
      <c r="V32" s="64"/>
      <c r="W32" s="65"/>
      <c r="X32" s="161">
        <f t="shared" si="8"/>
        <v>0</v>
      </c>
      <c r="Y32" s="162">
        <f t="shared" si="9"/>
        <v>0</v>
      </c>
      <c r="Z32" s="67"/>
      <c r="AA32" s="65"/>
      <c r="AB32" s="65"/>
      <c r="AC32" s="65"/>
      <c r="AD32" s="123">
        <f t="shared" si="10"/>
        <v>0</v>
      </c>
      <c r="AE32" s="58" t="str">
        <f>'Sch2a-Imp Price by ECM'!K33</f>
        <v/>
      </c>
      <c r="AF32" s="291" t="str">
        <f t="shared" si="11"/>
        <v/>
      </c>
      <c r="AG32" s="1" t="str">
        <f>IF('Sch2a-Imp Price by ECM'!L33="","",'Sch2a-Imp Price by ECM'!L33)</f>
        <v/>
      </c>
    </row>
    <row r="33" spans="1:33" ht="17" thickBot="1">
      <c r="A33" s="290" t="str">
        <f>IF('Sch2a-Imp Price by ECM'!B34="","",'Sch2a-Imp Price by ECM'!B34)</f>
        <v/>
      </c>
      <c r="B33" s="71" t="str">
        <f>IF('Sch2a-Imp Price by ECM'!C34="","",'Sch2a-Imp Price by ECM'!C34)</f>
        <v/>
      </c>
      <c r="C33" s="120"/>
      <c r="D33" s="66"/>
      <c r="E33" s="66"/>
      <c r="F33" s="66"/>
      <c r="G33" s="66"/>
      <c r="H33" s="122"/>
      <c r="I33" s="66"/>
      <c r="J33" s="121"/>
      <c r="K33" s="121"/>
      <c r="L33" s="121"/>
      <c r="M33" s="122"/>
      <c r="N33" s="66"/>
      <c r="O33" s="121"/>
      <c r="P33" s="67"/>
      <c r="Q33" s="121"/>
      <c r="R33" s="67"/>
      <c r="S33" s="65"/>
      <c r="T33" s="67"/>
      <c r="U33" s="65"/>
      <c r="V33" s="64"/>
      <c r="W33" s="65"/>
      <c r="X33" s="161">
        <f t="shared" si="8"/>
        <v>0</v>
      </c>
      <c r="Y33" s="162">
        <f t="shared" si="9"/>
        <v>0</v>
      </c>
      <c r="Z33" s="67"/>
      <c r="AA33" s="65"/>
      <c r="AB33" s="65"/>
      <c r="AC33" s="65"/>
      <c r="AD33" s="123">
        <f t="shared" si="10"/>
        <v>0</v>
      </c>
      <c r="AE33" s="58" t="str">
        <f>'Sch2a-Imp Price by ECM'!K34</f>
        <v/>
      </c>
      <c r="AF33" s="291" t="str">
        <f t="shared" si="11"/>
        <v/>
      </c>
      <c r="AG33" s="1" t="str">
        <f>IF('Sch2a-Imp Price by ECM'!L34="","",'Sch2a-Imp Price by ECM'!L34)</f>
        <v/>
      </c>
    </row>
    <row r="34" spans="1:33" ht="18" customHeight="1" thickBot="1">
      <c r="A34" s="290" t="str">
        <f>IF('Sch2a-Imp Price by ECM'!B35="","",'Sch2a-Imp Price by ECM'!B35)</f>
        <v/>
      </c>
      <c r="B34" s="71" t="str">
        <f>IF('Sch2a-Imp Price by ECM'!C35="","",'Sch2a-Imp Price by ECM'!C35)</f>
        <v/>
      </c>
      <c r="C34" s="120"/>
      <c r="D34" s="66"/>
      <c r="E34" s="66"/>
      <c r="F34" s="66"/>
      <c r="G34" s="66"/>
      <c r="H34" s="122"/>
      <c r="I34" s="66"/>
      <c r="J34" s="121"/>
      <c r="K34" s="121"/>
      <c r="L34" s="121"/>
      <c r="M34" s="122"/>
      <c r="N34" s="66"/>
      <c r="O34" s="121"/>
      <c r="P34" s="67"/>
      <c r="Q34" s="121"/>
      <c r="R34" s="67"/>
      <c r="S34" s="65"/>
      <c r="T34" s="67"/>
      <c r="U34" s="65"/>
      <c r="V34" s="64"/>
      <c r="W34" s="65"/>
      <c r="X34" s="161">
        <f t="shared" si="8"/>
        <v>0</v>
      </c>
      <c r="Y34" s="162">
        <f t="shared" si="9"/>
        <v>0</v>
      </c>
      <c r="Z34" s="67"/>
      <c r="AA34" s="65"/>
      <c r="AB34" s="65"/>
      <c r="AC34" s="65"/>
      <c r="AD34" s="123">
        <f t="shared" si="10"/>
        <v>0</v>
      </c>
      <c r="AE34" s="58" t="str">
        <f>'Sch2a-Imp Price by ECM'!K35</f>
        <v/>
      </c>
      <c r="AF34" s="291" t="str">
        <f t="shared" si="11"/>
        <v/>
      </c>
      <c r="AG34" s="1" t="str">
        <f>IF('Sch2a-Imp Price by ECM'!L35="","",'Sch2a-Imp Price by ECM'!L35)</f>
        <v/>
      </c>
    </row>
    <row r="35" spans="1:33" ht="17" thickBot="1">
      <c r="A35" s="290" t="str">
        <f>IF('Sch2a-Imp Price by ECM'!B36="","",'Sch2a-Imp Price by ECM'!B36)</f>
        <v/>
      </c>
      <c r="B35" s="71" t="str">
        <f>IF('Sch2a-Imp Price by ECM'!C36="","",'Sch2a-Imp Price by ECM'!C36)</f>
        <v/>
      </c>
      <c r="C35" s="120"/>
      <c r="D35" s="66"/>
      <c r="E35" s="66"/>
      <c r="F35" s="66"/>
      <c r="G35" s="66"/>
      <c r="H35" s="122"/>
      <c r="I35" s="66"/>
      <c r="J35" s="121"/>
      <c r="K35" s="121"/>
      <c r="L35" s="121"/>
      <c r="M35" s="122"/>
      <c r="N35" s="66"/>
      <c r="O35" s="121"/>
      <c r="P35" s="67"/>
      <c r="Q35" s="121"/>
      <c r="R35" s="67"/>
      <c r="S35" s="65"/>
      <c r="T35" s="67"/>
      <c r="U35" s="65"/>
      <c r="V35" s="64"/>
      <c r="W35" s="65"/>
      <c r="X35" s="161">
        <f t="shared" si="8"/>
        <v>0</v>
      </c>
      <c r="Y35" s="162">
        <f t="shared" si="9"/>
        <v>0</v>
      </c>
      <c r="Z35" s="67"/>
      <c r="AA35" s="65"/>
      <c r="AB35" s="65"/>
      <c r="AC35" s="65"/>
      <c r="AD35" s="123">
        <f t="shared" si="10"/>
        <v>0</v>
      </c>
      <c r="AE35" s="58" t="str">
        <f>'Sch2a-Imp Price by ECM'!K36</f>
        <v/>
      </c>
      <c r="AF35" s="291" t="str">
        <f t="shared" si="11"/>
        <v/>
      </c>
      <c r="AG35" s="1" t="str">
        <f>IF('Sch2a-Imp Price by ECM'!L36="","",'Sch2a-Imp Price by ECM'!L36)</f>
        <v/>
      </c>
    </row>
    <row r="36" spans="1:33" ht="17" thickBot="1">
      <c r="A36" s="290" t="str">
        <f>IF('Sch2a-Imp Price by ECM'!B37="","",'Sch2a-Imp Price by ECM'!B37)</f>
        <v/>
      </c>
      <c r="B36" s="71" t="str">
        <f>IF('Sch2a-Imp Price by ECM'!C37="","",'Sch2a-Imp Price by ECM'!C37)</f>
        <v/>
      </c>
      <c r="C36" s="120"/>
      <c r="D36" s="66"/>
      <c r="E36" s="66"/>
      <c r="F36" s="66"/>
      <c r="G36" s="66"/>
      <c r="H36" s="122"/>
      <c r="I36" s="66"/>
      <c r="J36" s="121"/>
      <c r="K36" s="121"/>
      <c r="L36" s="121"/>
      <c r="M36" s="122"/>
      <c r="N36" s="66"/>
      <c r="O36" s="121"/>
      <c r="P36" s="67"/>
      <c r="Q36" s="121"/>
      <c r="R36" s="67"/>
      <c r="S36" s="65"/>
      <c r="T36" s="67"/>
      <c r="U36" s="65"/>
      <c r="V36" s="64"/>
      <c r="W36" s="65"/>
      <c r="X36" s="161">
        <f t="shared" si="8"/>
        <v>0</v>
      </c>
      <c r="Y36" s="162">
        <f t="shared" si="9"/>
        <v>0</v>
      </c>
      <c r="Z36" s="67"/>
      <c r="AA36" s="65"/>
      <c r="AB36" s="65"/>
      <c r="AC36" s="65"/>
      <c r="AD36" s="123">
        <f t="shared" si="10"/>
        <v>0</v>
      </c>
      <c r="AE36" s="58" t="str">
        <f>'Sch2a-Imp Price by ECM'!K37</f>
        <v/>
      </c>
      <c r="AF36" s="291" t="str">
        <f t="shared" si="11"/>
        <v/>
      </c>
      <c r="AG36" s="1" t="str">
        <f>IF('Sch2a-Imp Price by ECM'!L37="","",'Sch2a-Imp Price by ECM'!L37)</f>
        <v/>
      </c>
    </row>
    <row r="37" spans="1:33" ht="17" thickBot="1">
      <c r="A37" s="290" t="str">
        <f>IF('Sch2a-Imp Price by ECM'!B38="","",'Sch2a-Imp Price by ECM'!B38)</f>
        <v/>
      </c>
      <c r="B37" s="71" t="str">
        <f>IF('Sch2a-Imp Price by ECM'!C38="","",'Sch2a-Imp Price by ECM'!C38)</f>
        <v/>
      </c>
      <c r="C37" s="120"/>
      <c r="D37" s="66"/>
      <c r="E37" s="66"/>
      <c r="F37" s="66"/>
      <c r="G37" s="66"/>
      <c r="H37" s="122"/>
      <c r="I37" s="66"/>
      <c r="J37" s="121"/>
      <c r="K37" s="121"/>
      <c r="L37" s="121"/>
      <c r="M37" s="116"/>
      <c r="N37" s="66"/>
      <c r="O37" s="121"/>
      <c r="P37" s="67"/>
      <c r="Q37" s="121"/>
      <c r="R37" s="67"/>
      <c r="S37" s="65"/>
      <c r="T37" s="67"/>
      <c r="U37" s="65"/>
      <c r="V37" s="64"/>
      <c r="W37" s="65"/>
      <c r="X37" s="161">
        <f t="shared" si="8"/>
        <v>0</v>
      </c>
      <c r="Y37" s="162">
        <f t="shared" si="9"/>
        <v>0</v>
      </c>
      <c r="Z37" s="67"/>
      <c r="AA37" s="65"/>
      <c r="AB37" s="65"/>
      <c r="AC37" s="65"/>
      <c r="AD37" s="123">
        <f t="shared" si="10"/>
        <v>0</v>
      </c>
      <c r="AE37" s="58" t="str">
        <f>'Sch2a-Imp Price by ECM'!K38</f>
        <v/>
      </c>
      <c r="AF37" s="291" t="str">
        <f t="shared" si="11"/>
        <v/>
      </c>
      <c r="AG37" s="1" t="str">
        <f>IF('Sch2a-Imp Price by ECM'!L38="","",'Sch2a-Imp Price by ECM'!L38)</f>
        <v/>
      </c>
    </row>
    <row r="38" spans="1:33" ht="17" thickBot="1">
      <c r="A38" s="290" t="str">
        <f>IF('Sch2a-Imp Price by ECM'!B39="","",'Sch2a-Imp Price by ECM'!B39)</f>
        <v/>
      </c>
      <c r="B38" s="71" t="str">
        <f>IF('Sch2a-Imp Price by ECM'!C39="","",'Sch2a-Imp Price by ECM'!C39)</f>
        <v/>
      </c>
      <c r="C38" s="120"/>
      <c r="D38" s="66"/>
      <c r="E38" s="66"/>
      <c r="F38" s="66"/>
      <c r="G38" s="66"/>
      <c r="H38" s="122"/>
      <c r="I38" s="66"/>
      <c r="J38" s="121"/>
      <c r="K38" s="121"/>
      <c r="L38" s="121"/>
      <c r="M38" s="116"/>
      <c r="N38" s="66"/>
      <c r="O38" s="121"/>
      <c r="P38" s="67"/>
      <c r="Q38" s="121"/>
      <c r="R38" s="67"/>
      <c r="S38" s="65"/>
      <c r="T38" s="67"/>
      <c r="U38" s="65"/>
      <c r="V38" s="64"/>
      <c r="W38" s="65"/>
      <c r="X38" s="161">
        <f t="shared" si="8"/>
        <v>0</v>
      </c>
      <c r="Y38" s="162">
        <f t="shared" si="9"/>
        <v>0</v>
      </c>
      <c r="Z38" s="67"/>
      <c r="AA38" s="65"/>
      <c r="AB38" s="65"/>
      <c r="AC38" s="65"/>
      <c r="AD38" s="123">
        <f t="shared" si="10"/>
        <v>0</v>
      </c>
      <c r="AE38" s="58" t="str">
        <f>'Sch2a-Imp Price by ECM'!K39</f>
        <v/>
      </c>
      <c r="AF38" s="291" t="str">
        <f t="shared" si="11"/>
        <v/>
      </c>
      <c r="AG38" s="1" t="str">
        <f>IF('Sch2a-Imp Price by ECM'!L39="","",'Sch2a-Imp Price by ECM'!L39)</f>
        <v/>
      </c>
    </row>
    <row r="39" spans="1:33" ht="17" thickBot="1">
      <c r="A39" s="290" t="str">
        <f>IF('Sch2a-Imp Price by ECM'!B40="","",'Sch2a-Imp Price by ECM'!B40)</f>
        <v/>
      </c>
      <c r="B39" s="71" t="str">
        <f>IF('Sch2a-Imp Price by ECM'!C40="","",'Sch2a-Imp Price by ECM'!C40)</f>
        <v/>
      </c>
      <c r="C39" s="120"/>
      <c r="D39" s="66"/>
      <c r="E39" s="66"/>
      <c r="F39" s="66"/>
      <c r="G39" s="66"/>
      <c r="H39" s="122"/>
      <c r="I39" s="66"/>
      <c r="J39" s="121"/>
      <c r="K39" s="121"/>
      <c r="L39" s="121"/>
      <c r="M39" s="116"/>
      <c r="N39" s="66"/>
      <c r="O39" s="121"/>
      <c r="P39" s="67"/>
      <c r="Q39" s="121"/>
      <c r="R39" s="67"/>
      <c r="S39" s="65"/>
      <c r="T39" s="67"/>
      <c r="U39" s="65"/>
      <c r="V39" s="64"/>
      <c r="W39" s="65"/>
      <c r="X39" s="161">
        <f t="shared" si="8"/>
        <v>0</v>
      </c>
      <c r="Y39" s="162">
        <f t="shared" si="9"/>
        <v>0</v>
      </c>
      <c r="Z39" s="67"/>
      <c r="AA39" s="65"/>
      <c r="AB39" s="65"/>
      <c r="AC39" s="65"/>
      <c r="AD39" s="123">
        <f t="shared" si="10"/>
        <v>0</v>
      </c>
      <c r="AE39" s="58" t="str">
        <f>'Sch2a-Imp Price by ECM'!K40</f>
        <v/>
      </c>
      <c r="AF39" s="291" t="str">
        <f t="shared" si="11"/>
        <v/>
      </c>
      <c r="AG39" s="1" t="str">
        <f>IF('Sch2a-Imp Price by ECM'!L40="","",'Sch2a-Imp Price by ECM'!L40)</f>
        <v/>
      </c>
    </row>
    <row r="40" spans="1:33" ht="17" thickBot="1">
      <c r="A40" s="290" t="str">
        <f>IF('Sch2a-Imp Price by ECM'!B41="","",'Sch2a-Imp Price by ECM'!B41)</f>
        <v/>
      </c>
      <c r="B40" s="71" t="str">
        <f>IF('Sch2a-Imp Price by ECM'!C41="","",'Sch2a-Imp Price by ECM'!C41)</f>
        <v/>
      </c>
      <c r="C40" s="120"/>
      <c r="D40" s="66"/>
      <c r="E40" s="66"/>
      <c r="F40" s="66"/>
      <c r="G40" s="66"/>
      <c r="H40" s="122"/>
      <c r="I40" s="66"/>
      <c r="J40" s="121"/>
      <c r="K40" s="121"/>
      <c r="L40" s="121"/>
      <c r="M40" s="116"/>
      <c r="N40" s="66"/>
      <c r="O40" s="121"/>
      <c r="P40" s="67"/>
      <c r="Q40" s="121"/>
      <c r="R40" s="67"/>
      <c r="S40" s="65"/>
      <c r="T40" s="67"/>
      <c r="U40" s="65"/>
      <c r="V40" s="64"/>
      <c r="W40" s="65"/>
      <c r="X40" s="161">
        <f t="shared" si="8"/>
        <v>0</v>
      </c>
      <c r="Y40" s="162">
        <f t="shared" si="9"/>
        <v>0</v>
      </c>
      <c r="Z40" s="67"/>
      <c r="AA40" s="65"/>
      <c r="AB40" s="65"/>
      <c r="AC40" s="65"/>
      <c r="AD40" s="123">
        <f t="shared" si="10"/>
        <v>0</v>
      </c>
      <c r="AE40" s="58" t="str">
        <f>'Sch2a-Imp Price by ECM'!K41</f>
        <v/>
      </c>
      <c r="AF40" s="291" t="str">
        <f t="shared" si="11"/>
        <v/>
      </c>
      <c r="AG40" s="1" t="str">
        <f>IF('Sch2a-Imp Price by ECM'!L41="","",'Sch2a-Imp Price by ECM'!L41)</f>
        <v/>
      </c>
    </row>
    <row r="41" spans="1:33" ht="17" thickBot="1">
      <c r="A41" s="290" t="str">
        <f>IF('Sch2a-Imp Price by ECM'!B42="","",'Sch2a-Imp Price by ECM'!B42)</f>
        <v/>
      </c>
      <c r="B41" s="71" t="str">
        <f>IF('Sch2a-Imp Price by ECM'!C42="","",'Sch2a-Imp Price by ECM'!C42)</f>
        <v/>
      </c>
      <c r="C41" s="120"/>
      <c r="D41" s="66"/>
      <c r="E41" s="66"/>
      <c r="F41" s="66"/>
      <c r="G41" s="66"/>
      <c r="H41" s="122"/>
      <c r="I41" s="66"/>
      <c r="J41" s="121"/>
      <c r="K41" s="121"/>
      <c r="L41" s="121"/>
      <c r="M41" s="116"/>
      <c r="N41" s="66"/>
      <c r="O41" s="121"/>
      <c r="P41" s="67"/>
      <c r="Q41" s="121"/>
      <c r="R41" s="67"/>
      <c r="S41" s="65"/>
      <c r="T41" s="67"/>
      <c r="U41" s="65"/>
      <c r="V41" s="64"/>
      <c r="W41" s="65"/>
      <c r="X41" s="161">
        <f t="shared" si="8"/>
        <v>0</v>
      </c>
      <c r="Y41" s="162">
        <f t="shared" si="9"/>
        <v>0</v>
      </c>
      <c r="Z41" s="67"/>
      <c r="AA41" s="65"/>
      <c r="AB41" s="65"/>
      <c r="AC41" s="65"/>
      <c r="AD41" s="123">
        <f t="shared" si="10"/>
        <v>0</v>
      </c>
      <c r="AE41" s="58" t="str">
        <f>'Sch2a-Imp Price by ECM'!K42</f>
        <v/>
      </c>
      <c r="AF41" s="291" t="str">
        <f t="shared" si="11"/>
        <v/>
      </c>
      <c r="AG41" s="1" t="str">
        <f>IF('Sch2a-Imp Price by ECM'!L42="","",'Sch2a-Imp Price by ECM'!L42)</f>
        <v/>
      </c>
    </row>
    <row r="42" spans="1:33" ht="17" thickBot="1">
      <c r="A42" s="290" t="str">
        <f>IF('Sch2a-Imp Price by ECM'!B43="","",'Sch2a-Imp Price by ECM'!B43)</f>
        <v/>
      </c>
      <c r="B42" s="71" t="str">
        <f>IF('Sch2a-Imp Price by ECM'!C43="","",'Sch2a-Imp Price by ECM'!C43)</f>
        <v/>
      </c>
      <c r="C42" s="120"/>
      <c r="D42" s="66"/>
      <c r="E42" s="66"/>
      <c r="F42" s="66"/>
      <c r="G42" s="66"/>
      <c r="H42" s="122"/>
      <c r="I42" s="66"/>
      <c r="J42" s="121"/>
      <c r="K42" s="121"/>
      <c r="L42" s="121"/>
      <c r="M42" s="116"/>
      <c r="N42" s="66"/>
      <c r="O42" s="121"/>
      <c r="P42" s="67"/>
      <c r="Q42" s="121"/>
      <c r="R42" s="67"/>
      <c r="S42" s="65"/>
      <c r="T42" s="67"/>
      <c r="U42" s="65"/>
      <c r="V42" s="64"/>
      <c r="W42" s="65"/>
      <c r="X42" s="161">
        <f t="shared" si="8"/>
        <v>0</v>
      </c>
      <c r="Y42" s="162">
        <f t="shared" si="9"/>
        <v>0</v>
      </c>
      <c r="Z42" s="67"/>
      <c r="AA42" s="65"/>
      <c r="AB42" s="65"/>
      <c r="AC42" s="65"/>
      <c r="AD42" s="123">
        <f t="shared" si="10"/>
        <v>0</v>
      </c>
      <c r="AE42" s="58" t="str">
        <f>'Sch2a-Imp Price by ECM'!K43</f>
        <v/>
      </c>
      <c r="AF42" s="291" t="str">
        <f t="shared" si="11"/>
        <v/>
      </c>
      <c r="AG42" s="1" t="str">
        <f>IF('Sch2a-Imp Price by ECM'!L43="","",'Sch2a-Imp Price by ECM'!L43)</f>
        <v/>
      </c>
    </row>
    <row r="43" spans="1:33" ht="17" thickBot="1">
      <c r="A43" s="290" t="str">
        <f>IF('Sch2a-Imp Price by ECM'!B44="","",'Sch2a-Imp Price by ECM'!B44)</f>
        <v/>
      </c>
      <c r="B43" s="71" t="str">
        <f>IF('Sch2a-Imp Price by ECM'!C44="","",'Sch2a-Imp Price by ECM'!C44)</f>
        <v/>
      </c>
      <c r="C43" s="120"/>
      <c r="D43" s="66"/>
      <c r="E43" s="66"/>
      <c r="F43" s="66"/>
      <c r="G43" s="66"/>
      <c r="H43" s="122"/>
      <c r="I43" s="66"/>
      <c r="J43" s="121"/>
      <c r="K43" s="121"/>
      <c r="L43" s="121"/>
      <c r="M43" s="116"/>
      <c r="N43" s="66"/>
      <c r="O43" s="121"/>
      <c r="P43" s="67"/>
      <c r="Q43" s="121"/>
      <c r="R43" s="67"/>
      <c r="S43" s="65"/>
      <c r="T43" s="67"/>
      <c r="U43" s="65"/>
      <c r="V43" s="64"/>
      <c r="W43" s="65"/>
      <c r="X43" s="161">
        <f t="shared" si="8"/>
        <v>0</v>
      </c>
      <c r="Y43" s="162">
        <f t="shared" si="9"/>
        <v>0</v>
      </c>
      <c r="Z43" s="67"/>
      <c r="AA43" s="65"/>
      <c r="AB43" s="65"/>
      <c r="AC43" s="65"/>
      <c r="AD43" s="123">
        <f t="shared" si="10"/>
        <v>0</v>
      </c>
      <c r="AE43" s="58" t="str">
        <f>'Sch2a-Imp Price by ECM'!K44</f>
        <v/>
      </c>
      <c r="AF43" s="291" t="str">
        <f t="shared" si="11"/>
        <v/>
      </c>
      <c r="AG43" s="1" t="str">
        <f>IF('Sch2a-Imp Price by ECM'!L44="","",'Sch2a-Imp Price by ECM'!L44)</f>
        <v/>
      </c>
    </row>
    <row r="44" spans="1:33" ht="17" thickBot="1">
      <c r="A44" s="290" t="str">
        <f>IF('Sch2a-Imp Price by ECM'!B45="","",'Sch2a-Imp Price by ECM'!B45)</f>
        <v/>
      </c>
      <c r="B44" s="71" t="str">
        <f>IF('Sch2a-Imp Price by ECM'!C45="","",'Sch2a-Imp Price by ECM'!C45)</f>
        <v/>
      </c>
      <c r="C44" s="120"/>
      <c r="D44" s="66"/>
      <c r="E44" s="66"/>
      <c r="F44" s="66"/>
      <c r="G44" s="66"/>
      <c r="H44" s="122"/>
      <c r="I44" s="66"/>
      <c r="J44" s="121"/>
      <c r="K44" s="121"/>
      <c r="L44" s="121"/>
      <c r="M44" s="116"/>
      <c r="N44" s="66"/>
      <c r="O44" s="121"/>
      <c r="P44" s="67"/>
      <c r="Q44" s="121"/>
      <c r="R44" s="67"/>
      <c r="S44" s="65"/>
      <c r="T44" s="67"/>
      <c r="U44" s="65"/>
      <c r="V44" s="64"/>
      <c r="W44" s="65"/>
      <c r="X44" s="161">
        <f t="shared" si="8"/>
        <v>0</v>
      </c>
      <c r="Y44" s="162">
        <f t="shared" si="9"/>
        <v>0</v>
      </c>
      <c r="Z44" s="67"/>
      <c r="AA44" s="65"/>
      <c r="AB44" s="65"/>
      <c r="AC44" s="65"/>
      <c r="AD44" s="123">
        <f t="shared" si="10"/>
        <v>0</v>
      </c>
      <c r="AE44" s="58" t="str">
        <f>'Sch2a-Imp Price by ECM'!K45</f>
        <v/>
      </c>
      <c r="AF44" s="291" t="str">
        <f t="shared" si="11"/>
        <v/>
      </c>
      <c r="AG44" s="1" t="str">
        <f>IF('Sch2a-Imp Price by ECM'!L45="","",'Sch2a-Imp Price by ECM'!L45)</f>
        <v/>
      </c>
    </row>
    <row r="45" spans="1:33" ht="17" thickBot="1">
      <c r="A45" s="290" t="str">
        <f>IF('Sch2a-Imp Price by ECM'!B46="","",'Sch2a-Imp Price by ECM'!B46)</f>
        <v/>
      </c>
      <c r="B45" s="71" t="str">
        <f>IF('Sch2a-Imp Price by ECM'!C46="","",'Sch2a-Imp Price by ECM'!C46)</f>
        <v/>
      </c>
      <c r="C45" s="120"/>
      <c r="D45" s="66"/>
      <c r="E45" s="66"/>
      <c r="F45" s="66"/>
      <c r="G45" s="66"/>
      <c r="H45" s="122"/>
      <c r="I45" s="66"/>
      <c r="J45" s="121"/>
      <c r="K45" s="121"/>
      <c r="L45" s="121"/>
      <c r="M45" s="116"/>
      <c r="N45" s="66"/>
      <c r="O45" s="121"/>
      <c r="P45" s="67"/>
      <c r="Q45" s="121"/>
      <c r="R45" s="67"/>
      <c r="S45" s="65"/>
      <c r="T45" s="67"/>
      <c r="U45" s="65"/>
      <c r="V45" s="64"/>
      <c r="W45" s="65"/>
      <c r="X45" s="161">
        <f t="shared" si="8"/>
        <v>0</v>
      </c>
      <c r="Y45" s="162">
        <f t="shared" si="9"/>
        <v>0</v>
      </c>
      <c r="Z45" s="67"/>
      <c r="AA45" s="65"/>
      <c r="AB45" s="65"/>
      <c r="AC45" s="65"/>
      <c r="AD45" s="123">
        <f t="shared" si="10"/>
        <v>0</v>
      </c>
      <c r="AE45" s="58" t="str">
        <f>'Sch2a-Imp Price by ECM'!K46</f>
        <v/>
      </c>
      <c r="AF45" s="291" t="str">
        <f t="shared" si="11"/>
        <v/>
      </c>
      <c r="AG45" s="1" t="str">
        <f>IF('Sch2a-Imp Price by ECM'!L46="","",'Sch2a-Imp Price by ECM'!L46)</f>
        <v/>
      </c>
    </row>
    <row r="46" spans="1:33" ht="17" thickBot="1">
      <c r="A46" s="290" t="str">
        <f>IF('Sch2a-Imp Price by ECM'!B47="","",'Sch2a-Imp Price by ECM'!B47)</f>
        <v/>
      </c>
      <c r="B46" s="71" t="str">
        <f>IF('Sch2a-Imp Price by ECM'!C47="","",'Sch2a-Imp Price by ECM'!C47)</f>
        <v/>
      </c>
      <c r="C46" s="120"/>
      <c r="D46" s="66"/>
      <c r="E46" s="66"/>
      <c r="F46" s="66"/>
      <c r="G46" s="66"/>
      <c r="H46" s="122"/>
      <c r="I46" s="66"/>
      <c r="J46" s="121"/>
      <c r="K46" s="121"/>
      <c r="L46" s="121"/>
      <c r="M46" s="116"/>
      <c r="N46" s="66"/>
      <c r="O46" s="121"/>
      <c r="P46" s="67"/>
      <c r="Q46" s="121"/>
      <c r="R46" s="67"/>
      <c r="S46" s="65"/>
      <c r="T46" s="67"/>
      <c r="U46" s="65"/>
      <c r="V46" s="64"/>
      <c r="W46" s="65"/>
      <c r="X46" s="161">
        <f t="shared" si="8"/>
        <v>0</v>
      </c>
      <c r="Y46" s="162">
        <f t="shared" si="9"/>
        <v>0</v>
      </c>
      <c r="Z46" s="67"/>
      <c r="AA46" s="65"/>
      <c r="AB46" s="65"/>
      <c r="AC46" s="65"/>
      <c r="AD46" s="123">
        <f t="shared" si="10"/>
        <v>0</v>
      </c>
      <c r="AE46" s="58" t="str">
        <f>'Sch2a-Imp Price by ECM'!K47</f>
        <v/>
      </c>
      <c r="AF46" s="291" t="str">
        <f t="shared" si="11"/>
        <v/>
      </c>
      <c r="AG46" s="1" t="str">
        <f>IF('Sch2a-Imp Price by ECM'!L47="","",'Sch2a-Imp Price by ECM'!L47)</f>
        <v/>
      </c>
    </row>
    <row r="47" spans="1:33" ht="17" thickBot="1">
      <c r="A47" s="290" t="str">
        <f>IF('Sch2a-Imp Price by ECM'!B48="","",'Sch2a-Imp Price by ECM'!B48)</f>
        <v/>
      </c>
      <c r="B47" s="71" t="str">
        <f>IF('Sch2a-Imp Price by ECM'!C48="","",'Sch2a-Imp Price by ECM'!C48)</f>
        <v/>
      </c>
      <c r="C47" s="120"/>
      <c r="D47" s="66"/>
      <c r="E47" s="66"/>
      <c r="F47" s="66"/>
      <c r="G47" s="66"/>
      <c r="H47" s="122"/>
      <c r="I47" s="66"/>
      <c r="J47" s="121"/>
      <c r="K47" s="121"/>
      <c r="L47" s="121"/>
      <c r="M47" s="116"/>
      <c r="N47" s="66"/>
      <c r="O47" s="121"/>
      <c r="P47" s="67"/>
      <c r="Q47" s="121"/>
      <c r="R47" s="67"/>
      <c r="S47" s="65"/>
      <c r="T47" s="67"/>
      <c r="U47" s="65"/>
      <c r="V47" s="64"/>
      <c r="W47" s="65"/>
      <c r="X47" s="161">
        <f t="shared" si="8"/>
        <v>0</v>
      </c>
      <c r="Y47" s="162">
        <f t="shared" si="9"/>
        <v>0</v>
      </c>
      <c r="Z47" s="67"/>
      <c r="AA47" s="65"/>
      <c r="AB47" s="65"/>
      <c r="AC47" s="65"/>
      <c r="AD47" s="123">
        <f t="shared" si="10"/>
        <v>0</v>
      </c>
      <c r="AE47" s="58" t="str">
        <f>'Sch2a-Imp Price by ECM'!K48</f>
        <v/>
      </c>
      <c r="AF47" s="291" t="str">
        <f t="shared" si="11"/>
        <v/>
      </c>
      <c r="AG47" s="1" t="str">
        <f>IF('Sch2a-Imp Price by ECM'!L48="","",'Sch2a-Imp Price by ECM'!L48)</f>
        <v/>
      </c>
    </row>
    <row r="48" spans="1:33" ht="17" thickBot="1">
      <c r="A48" s="290" t="str">
        <f>IF('Sch2a-Imp Price by ECM'!B49="","",'Sch2a-Imp Price by ECM'!B49)</f>
        <v/>
      </c>
      <c r="B48" s="71" t="str">
        <f>IF('Sch2a-Imp Price by ECM'!C49="","",'Sch2a-Imp Price by ECM'!C49)</f>
        <v/>
      </c>
      <c r="C48" s="120"/>
      <c r="D48" s="66"/>
      <c r="E48" s="66"/>
      <c r="F48" s="66"/>
      <c r="G48" s="66"/>
      <c r="H48" s="122"/>
      <c r="I48" s="66"/>
      <c r="J48" s="121"/>
      <c r="K48" s="121"/>
      <c r="L48" s="121"/>
      <c r="M48" s="116"/>
      <c r="N48" s="66"/>
      <c r="O48" s="121"/>
      <c r="P48" s="67"/>
      <c r="Q48" s="121"/>
      <c r="R48" s="67"/>
      <c r="S48" s="65"/>
      <c r="T48" s="67"/>
      <c r="U48" s="65"/>
      <c r="V48" s="64"/>
      <c r="W48" s="65"/>
      <c r="X48" s="161">
        <f t="shared" si="8"/>
        <v>0</v>
      </c>
      <c r="Y48" s="162">
        <f t="shared" si="9"/>
        <v>0</v>
      </c>
      <c r="Z48" s="67"/>
      <c r="AA48" s="65"/>
      <c r="AB48" s="65"/>
      <c r="AC48" s="65"/>
      <c r="AD48" s="123">
        <f t="shared" si="10"/>
        <v>0</v>
      </c>
      <c r="AE48" s="58" t="str">
        <f>'Sch2a-Imp Price by ECM'!K49</f>
        <v/>
      </c>
      <c r="AF48" s="291" t="str">
        <f t="shared" si="11"/>
        <v/>
      </c>
      <c r="AG48" s="1" t="str">
        <f>IF('Sch2a-Imp Price by ECM'!L49="","",'Sch2a-Imp Price by ECM'!L49)</f>
        <v/>
      </c>
    </row>
    <row r="49" spans="1:33" ht="17" thickBot="1">
      <c r="A49" s="290" t="str">
        <f>IF('Sch2a-Imp Price by ECM'!B50="","",'Sch2a-Imp Price by ECM'!B50)</f>
        <v/>
      </c>
      <c r="B49" s="71" t="str">
        <f>IF('Sch2a-Imp Price by ECM'!C50="","",'Sch2a-Imp Price by ECM'!C50)</f>
        <v/>
      </c>
      <c r="C49" s="120"/>
      <c r="D49" s="66"/>
      <c r="E49" s="66"/>
      <c r="F49" s="66"/>
      <c r="G49" s="66"/>
      <c r="H49" s="122"/>
      <c r="I49" s="66"/>
      <c r="J49" s="121"/>
      <c r="K49" s="121"/>
      <c r="L49" s="121"/>
      <c r="M49" s="116"/>
      <c r="N49" s="66"/>
      <c r="O49" s="121"/>
      <c r="P49" s="67"/>
      <c r="Q49" s="121"/>
      <c r="R49" s="67"/>
      <c r="S49" s="65"/>
      <c r="T49" s="67"/>
      <c r="U49" s="65"/>
      <c r="V49" s="64"/>
      <c r="W49" s="65"/>
      <c r="X49" s="161">
        <f t="shared" si="8"/>
        <v>0</v>
      </c>
      <c r="Y49" s="162">
        <f t="shared" si="9"/>
        <v>0</v>
      </c>
      <c r="Z49" s="67"/>
      <c r="AA49" s="65"/>
      <c r="AB49" s="65"/>
      <c r="AC49" s="65"/>
      <c r="AD49" s="123">
        <f t="shared" si="10"/>
        <v>0</v>
      </c>
      <c r="AE49" s="58" t="str">
        <f>'Sch2a-Imp Price by ECM'!K50</f>
        <v/>
      </c>
      <c r="AF49" s="291" t="str">
        <f t="shared" si="11"/>
        <v/>
      </c>
      <c r="AG49" s="1" t="str">
        <f>IF('Sch2a-Imp Price by ECM'!L50="","",'Sch2a-Imp Price by ECM'!L50)</f>
        <v/>
      </c>
    </row>
    <row r="50" spans="1:33" ht="17" thickBot="1">
      <c r="A50" s="290" t="str">
        <f>IF('Sch2a-Imp Price by ECM'!B51="","",'Sch2a-Imp Price by ECM'!B51)</f>
        <v/>
      </c>
      <c r="B50" s="71" t="str">
        <f>IF('Sch2a-Imp Price by ECM'!C51="","",'Sch2a-Imp Price by ECM'!C51)</f>
        <v/>
      </c>
      <c r="C50" s="120"/>
      <c r="D50" s="66"/>
      <c r="E50" s="66"/>
      <c r="F50" s="66"/>
      <c r="G50" s="66"/>
      <c r="H50" s="122"/>
      <c r="I50" s="66"/>
      <c r="J50" s="121"/>
      <c r="K50" s="121"/>
      <c r="L50" s="121"/>
      <c r="M50" s="116"/>
      <c r="N50" s="66"/>
      <c r="O50" s="121"/>
      <c r="P50" s="67"/>
      <c r="Q50" s="121"/>
      <c r="R50" s="67"/>
      <c r="S50" s="65"/>
      <c r="T50" s="67"/>
      <c r="U50" s="65"/>
      <c r="V50" s="64"/>
      <c r="W50" s="65"/>
      <c r="X50" s="161">
        <f t="shared" si="8"/>
        <v>0</v>
      </c>
      <c r="Y50" s="162">
        <f t="shared" si="9"/>
        <v>0</v>
      </c>
      <c r="Z50" s="67"/>
      <c r="AA50" s="65"/>
      <c r="AB50" s="65"/>
      <c r="AC50" s="65"/>
      <c r="AD50" s="123">
        <f t="shared" si="10"/>
        <v>0</v>
      </c>
      <c r="AE50" s="58" t="str">
        <f>'Sch2a-Imp Price by ECM'!K51</f>
        <v/>
      </c>
      <c r="AF50" s="291" t="str">
        <f t="shared" si="11"/>
        <v/>
      </c>
      <c r="AG50" s="1" t="str">
        <f>IF('Sch2a-Imp Price by ECM'!L51="","",'Sch2a-Imp Price by ECM'!L51)</f>
        <v/>
      </c>
    </row>
    <row r="51" spans="1:33" ht="17" thickBot="1">
      <c r="A51" s="290" t="str">
        <f>IF('Sch2a-Imp Price by ECM'!B52="","",'Sch2a-Imp Price by ECM'!B52)</f>
        <v/>
      </c>
      <c r="B51" s="71" t="str">
        <f>IF('Sch2a-Imp Price by ECM'!C52="","",'Sch2a-Imp Price by ECM'!C52)</f>
        <v/>
      </c>
      <c r="C51" s="120"/>
      <c r="D51" s="66"/>
      <c r="E51" s="66"/>
      <c r="F51" s="66"/>
      <c r="G51" s="66"/>
      <c r="H51" s="122"/>
      <c r="I51" s="66"/>
      <c r="J51" s="121"/>
      <c r="K51" s="121"/>
      <c r="L51" s="121"/>
      <c r="M51" s="122"/>
      <c r="N51" s="66"/>
      <c r="O51" s="121"/>
      <c r="P51" s="67"/>
      <c r="Q51" s="121"/>
      <c r="R51" s="67"/>
      <c r="S51" s="65"/>
      <c r="T51" s="67"/>
      <c r="U51" s="65"/>
      <c r="V51" s="64"/>
      <c r="W51" s="65"/>
      <c r="X51" s="161">
        <f t="shared" ref="X51:X71" si="12">(N51*3412/10^6)+R51+T51+V51</f>
        <v>0</v>
      </c>
      <c r="Y51" s="162">
        <f t="shared" ref="Y51:Y71" si="13">O51+Q51+U51+W51+S51</f>
        <v>0</v>
      </c>
      <c r="Z51" s="67"/>
      <c r="AA51" s="65"/>
      <c r="AB51" s="65"/>
      <c r="AC51" s="65"/>
      <c r="AD51" s="123">
        <f t="shared" ref="AD51:AD71" si="14">Y51+AA51+AB51+AC51</f>
        <v>0</v>
      </c>
      <c r="AE51" s="58" t="str">
        <f>'Sch2a-Imp Price by ECM'!K52</f>
        <v/>
      </c>
      <c r="AF51" s="291" t="str">
        <f t="shared" ref="AF51:AF71" si="15">IF(AD51=0,"",AE51/AD51)</f>
        <v/>
      </c>
      <c r="AG51" s="1" t="str">
        <f>IF('Sch2a-Imp Price by ECM'!L52="","",'Sch2a-Imp Price by ECM'!L52)</f>
        <v/>
      </c>
    </row>
    <row r="52" spans="1:33" ht="17" thickBot="1">
      <c r="A52" s="290" t="str">
        <f>IF('Sch2a-Imp Price by ECM'!B53="","",'Sch2a-Imp Price by ECM'!B53)</f>
        <v/>
      </c>
      <c r="B52" s="71" t="str">
        <f>IF('Sch2a-Imp Price by ECM'!C53="","",'Sch2a-Imp Price by ECM'!C53)</f>
        <v/>
      </c>
      <c r="C52" s="120"/>
      <c r="D52" s="66"/>
      <c r="E52" s="66"/>
      <c r="F52" s="66"/>
      <c r="G52" s="66"/>
      <c r="H52" s="122"/>
      <c r="I52" s="66"/>
      <c r="J52" s="121"/>
      <c r="K52" s="121"/>
      <c r="L52" s="121"/>
      <c r="M52" s="122"/>
      <c r="N52" s="66"/>
      <c r="O52" s="121"/>
      <c r="P52" s="67"/>
      <c r="Q52" s="121"/>
      <c r="R52" s="67"/>
      <c r="S52" s="65"/>
      <c r="T52" s="67"/>
      <c r="U52" s="65"/>
      <c r="V52" s="64"/>
      <c r="W52" s="65"/>
      <c r="X52" s="161">
        <f t="shared" si="12"/>
        <v>0</v>
      </c>
      <c r="Y52" s="162">
        <f t="shared" si="13"/>
        <v>0</v>
      </c>
      <c r="Z52" s="67"/>
      <c r="AA52" s="65"/>
      <c r="AB52" s="65"/>
      <c r="AC52" s="65"/>
      <c r="AD52" s="123">
        <f t="shared" si="14"/>
        <v>0</v>
      </c>
      <c r="AE52" s="58" t="str">
        <f>'Sch2a-Imp Price by ECM'!K53</f>
        <v/>
      </c>
      <c r="AF52" s="291" t="str">
        <f t="shared" si="15"/>
        <v/>
      </c>
      <c r="AG52" s="1" t="str">
        <f>IF('Sch2a-Imp Price by ECM'!L53="","",'Sch2a-Imp Price by ECM'!L53)</f>
        <v/>
      </c>
    </row>
    <row r="53" spans="1:33" ht="17" thickBot="1">
      <c r="A53" s="290" t="str">
        <f>IF('Sch2a-Imp Price by ECM'!B54="","",'Sch2a-Imp Price by ECM'!B54)</f>
        <v/>
      </c>
      <c r="B53" s="71" t="str">
        <f>IF('Sch2a-Imp Price by ECM'!C54="","",'Sch2a-Imp Price by ECM'!C54)</f>
        <v/>
      </c>
      <c r="C53" s="120"/>
      <c r="D53" s="66"/>
      <c r="E53" s="66"/>
      <c r="F53" s="66"/>
      <c r="G53" s="66"/>
      <c r="H53" s="122"/>
      <c r="I53" s="66"/>
      <c r="J53" s="121"/>
      <c r="K53" s="121"/>
      <c r="L53" s="121"/>
      <c r="M53" s="122"/>
      <c r="N53" s="66"/>
      <c r="O53" s="121"/>
      <c r="P53" s="67"/>
      <c r="Q53" s="121"/>
      <c r="R53" s="67"/>
      <c r="S53" s="65"/>
      <c r="T53" s="67"/>
      <c r="U53" s="65"/>
      <c r="V53" s="64"/>
      <c r="W53" s="65"/>
      <c r="X53" s="161">
        <f t="shared" si="12"/>
        <v>0</v>
      </c>
      <c r="Y53" s="162">
        <f t="shared" si="13"/>
        <v>0</v>
      </c>
      <c r="Z53" s="67"/>
      <c r="AA53" s="65"/>
      <c r="AB53" s="65"/>
      <c r="AC53" s="65"/>
      <c r="AD53" s="123">
        <f t="shared" si="14"/>
        <v>0</v>
      </c>
      <c r="AE53" s="58" t="str">
        <f>'Sch2a-Imp Price by ECM'!K54</f>
        <v/>
      </c>
      <c r="AF53" s="291" t="str">
        <f t="shared" si="15"/>
        <v/>
      </c>
      <c r="AG53" s="1" t="str">
        <f>IF('Sch2a-Imp Price by ECM'!L54="","",'Sch2a-Imp Price by ECM'!L54)</f>
        <v/>
      </c>
    </row>
    <row r="54" spans="1:33" ht="17" thickBot="1">
      <c r="A54" s="290" t="str">
        <f>IF('Sch2a-Imp Price by ECM'!B55="","",'Sch2a-Imp Price by ECM'!B55)</f>
        <v/>
      </c>
      <c r="B54" s="71" t="str">
        <f>IF('Sch2a-Imp Price by ECM'!C55="","",'Sch2a-Imp Price by ECM'!C55)</f>
        <v/>
      </c>
      <c r="C54" s="120"/>
      <c r="D54" s="66"/>
      <c r="E54" s="66"/>
      <c r="F54" s="66"/>
      <c r="G54" s="66"/>
      <c r="H54" s="122"/>
      <c r="I54" s="66"/>
      <c r="J54" s="121"/>
      <c r="K54" s="121"/>
      <c r="L54" s="121"/>
      <c r="M54" s="122"/>
      <c r="N54" s="66"/>
      <c r="O54" s="121"/>
      <c r="P54" s="67"/>
      <c r="Q54" s="121"/>
      <c r="R54" s="67"/>
      <c r="S54" s="65"/>
      <c r="T54" s="67"/>
      <c r="U54" s="65"/>
      <c r="V54" s="64"/>
      <c r="W54" s="65"/>
      <c r="X54" s="161">
        <f t="shared" si="12"/>
        <v>0</v>
      </c>
      <c r="Y54" s="162">
        <f t="shared" si="13"/>
        <v>0</v>
      </c>
      <c r="Z54" s="67"/>
      <c r="AA54" s="65"/>
      <c r="AB54" s="65"/>
      <c r="AC54" s="65"/>
      <c r="AD54" s="123">
        <f t="shared" si="14"/>
        <v>0</v>
      </c>
      <c r="AE54" s="58" t="str">
        <f>'Sch2a-Imp Price by ECM'!K55</f>
        <v/>
      </c>
      <c r="AF54" s="291" t="str">
        <f t="shared" si="15"/>
        <v/>
      </c>
      <c r="AG54" s="1" t="str">
        <f>IF('Sch2a-Imp Price by ECM'!L55="","",'Sch2a-Imp Price by ECM'!L55)</f>
        <v/>
      </c>
    </row>
    <row r="55" spans="1:33" ht="18" customHeight="1" thickBot="1">
      <c r="A55" s="290" t="str">
        <f>IF('Sch2a-Imp Price by ECM'!B56="","",'Sch2a-Imp Price by ECM'!B56)</f>
        <v/>
      </c>
      <c r="B55" s="71" t="str">
        <f>IF('Sch2a-Imp Price by ECM'!C56="","",'Sch2a-Imp Price by ECM'!C56)</f>
        <v/>
      </c>
      <c r="C55" s="120"/>
      <c r="D55" s="66"/>
      <c r="E55" s="66"/>
      <c r="F55" s="66"/>
      <c r="G55" s="66"/>
      <c r="H55" s="122"/>
      <c r="I55" s="66"/>
      <c r="J55" s="121"/>
      <c r="K55" s="121"/>
      <c r="L55" s="121"/>
      <c r="M55" s="122"/>
      <c r="N55" s="66"/>
      <c r="O55" s="121"/>
      <c r="P55" s="67"/>
      <c r="Q55" s="121"/>
      <c r="R55" s="67"/>
      <c r="S55" s="65"/>
      <c r="T55" s="67"/>
      <c r="U55" s="65"/>
      <c r="V55" s="64"/>
      <c r="W55" s="65"/>
      <c r="X55" s="161">
        <f t="shared" si="12"/>
        <v>0</v>
      </c>
      <c r="Y55" s="162">
        <f t="shared" si="13"/>
        <v>0</v>
      </c>
      <c r="Z55" s="67"/>
      <c r="AA55" s="65"/>
      <c r="AB55" s="65"/>
      <c r="AC55" s="65"/>
      <c r="AD55" s="123">
        <f t="shared" si="14"/>
        <v>0</v>
      </c>
      <c r="AE55" s="58" t="str">
        <f>'Sch2a-Imp Price by ECM'!K56</f>
        <v/>
      </c>
      <c r="AF55" s="291" t="str">
        <f t="shared" si="15"/>
        <v/>
      </c>
      <c r="AG55" s="1" t="str">
        <f>IF('Sch2a-Imp Price by ECM'!L56="","",'Sch2a-Imp Price by ECM'!L56)</f>
        <v/>
      </c>
    </row>
    <row r="56" spans="1:33" ht="17" thickBot="1">
      <c r="A56" s="290" t="str">
        <f>IF('Sch2a-Imp Price by ECM'!B57="","",'Sch2a-Imp Price by ECM'!B57)</f>
        <v/>
      </c>
      <c r="B56" s="71" t="str">
        <f>IF('Sch2a-Imp Price by ECM'!C57="","",'Sch2a-Imp Price by ECM'!C57)</f>
        <v/>
      </c>
      <c r="C56" s="120"/>
      <c r="D56" s="66"/>
      <c r="E56" s="66"/>
      <c r="F56" s="66"/>
      <c r="G56" s="66"/>
      <c r="H56" s="122"/>
      <c r="I56" s="66"/>
      <c r="J56" s="121"/>
      <c r="K56" s="121"/>
      <c r="L56" s="121"/>
      <c r="M56" s="122"/>
      <c r="N56" s="66"/>
      <c r="O56" s="121"/>
      <c r="P56" s="67"/>
      <c r="Q56" s="121"/>
      <c r="R56" s="67"/>
      <c r="S56" s="65"/>
      <c r="T56" s="67"/>
      <c r="U56" s="65"/>
      <c r="V56" s="64"/>
      <c r="W56" s="65"/>
      <c r="X56" s="161">
        <f t="shared" si="12"/>
        <v>0</v>
      </c>
      <c r="Y56" s="162">
        <f t="shared" si="13"/>
        <v>0</v>
      </c>
      <c r="Z56" s="67"/>
      <c r="AA56" s="65"/>
      <c r="AB56" s="65"/>
      <c r="AC56" s="65"/>
      <c r="AD56" s="123">
        <f t="shared" si="14"/>
        <v>0</v>
      </c>
      <c r="AE56" s="58" t="str">
        <f>'Sch2a-Imp Price by ECM'!K57</f>
        <v/>
      </c>
      <c r="AF56" s="291" t="str">
        <f t="shared" si="15"/>
        <v/>
      </c>
      <c r="AG56" s="1" t="str">
        <f>IF('Sch2a-Imp Price by ECM'!L57="","",'Sch2a-Imp Price by ECM'!L57)</f>
        <v/>
      </c>
    </row>
    <row r="57" spans="1:33" ht="17" thickBot="1">
      <c r="A57" s="290" t="str">
        <f>IF('Sch2a-Imp Price by ECM'!B58="","",'Sch2a-Imp Price by ECM'!B58)</f>
        <v/>
      </c>
      <c r="B57" s="71" t="str">
        <f>IF('Sch2a-Imp Price by ECM'!C58="","",'Sch2a-Imp Price by ECM'!C58)</f>
        <v/>
      </c>
      <c r="C57" s="120"/>
      <c r="D57" s="66"/>
      <c r="E57" s="66"/>
      <c r="F57" s="66"/>
      <c r="G57" s="66"/>
      <c r="H57" s="122"/>
      <c r="I57" s="66"/>
      <c r="J57" s="121"/>
      <c r="K57" s="121"/>
      <c r="L57" s="121"/>
      <c r="M57" s="122"/>
      <c r="N57" s="66"/>
      <c r="O57" s="121"/>
      <c r="P57" s="67"/>
      <c r="Q57" s="121"/>
      <c r="R57" s="67"/>
      <c r="S57" s="65"/>
      <c r="T57" s="67"/>
      <c r="U57" s="65"/>
      <c r="V57" s="64"/>
      <c r="W57" s="65"/>
      <c r="X57" s="161">
        <f t="shared" si="12"/>
        <v>0</v>
      </c>
      <c r="Y57" s="162">
        <f t="shared" si="13"/>
        <v>0</v>
      </c>
      <c r="Z57" s="67"/>
      <c r="AA57" s="65"/>
      <c r="AB57" s="65"/>
      <c r="AC57" s="65"/>
      <c r="AD57" s="123">
        <f t="shared" si="14"/>
        <v>0</v>
      </c>
      <c r="AE57" s="58" t="str">
        <f>'Sch2a-Imp Price by ECM'!K58</f>
        <v/>
      </c>
      <c r="AF57" s="291" t="str">
        <f t="shared" si="15"/>
        <v/>
      </c>
      <c r="AG57" s="1" t="str">
        <f>IF('Sch2a-Imp Price by ECM'!L58="","",'Sch2a-Imp Price by ECM'!L58)</f>
        <v/>
      </c>
    </row>
    <row r="58" spans="1:33" ht="17" thickBot="1">
      <c r="A58" s="290" t="str">
        <f>IF('Sch2a-Imp Price by ECM'!B59="","",'Sch2a-Imp Price by ECM'!B59)</f>
        <v/>
      </c>
      <c r="B58" s="71" t="str">
        <f>IF('Sch2a-Imp Price by ECM'!C59="","",'Sch2a-Imp Price by ECM'!C59)</f>
        <v/>
      </c>
      <c r="C58" s="120"/>
      <c r="D58" s="66"/>
      <c r="E58" s="66"/>
      <c r="F58" s="66"/>
      <c r="G58" s="66"/>
      <c r="H58" s="122"/>
      <c r="I58" s="66"/>
      <c r="J58" s="121"/>
      <c r="K58" s="121"/>
      <c r="L58" s="121"/>
      <c r="M58" s="116"/>
      <c r="N58" s="66"/>
      <c r="O58" s="121"/>
      <c r="P58" s="67"/>
      <c r="Q58" s="121"/>
      <c r="R58" s="67"/>
      <c r="S58" s="65"/>
      <c r="T58" s="67"/>
      <c r="U58" s="65"/>
      <c r="V58" s="64"/>
      <c r="W58" s="65"/>
      <c r="X58" s="161">
        <f t="shared" si="12"/>
        <v>0</v>
      </c>
      <c r="Y58" s="162">
        <f t="shared" si="13"/>
        <v>0</v>
      </c>
      <c r="Z58" s="67"/>
      <c r="AA58" s="65"/>
      <c r="AB58" s="65"/>
      <c r="AC58" s="65"/>
      <c r="AD58" s="123">
        <f t="shared" si="14"/>
        <v>0</v>
      </c>
      <c r="AE58" s="58" t="str">
        <f>'Sch2a-Imp Price by ECM'!K59</f>
        <v/>
      </c>
      <c r="AF58" s="291" t="str">
        <f t="shared" si="15"/>
        <v/>
      </c>
      <c r="AG58" s="1" t="str">
        <f>IF('Sch2a-Imp Price by ECM'!L59="","",'Sch2a-Imp Price by ECM'!L59)</f>
        <v/>
      </c>
    </row>
    <row r="59" spans="1:33" ht="17" thickBot="1">
      <c r="A59" s="290" t="str">
        <f>IF('Sch2a-Imp Price by ECM'!B60="","",'Sch2a-Imp Price by ECM'!B60)</f>
        <v/>
      </c>
      <c r="B59" s="71" t="str">
        <f>IF('Sch2a-Imp Price by ECM'!C60="","",'Sch2a-Imp Price by ECM'!C60)</f>
        <v/>
      </c>
      <c r="C59" s="120"/>
      <c r="D59" s="66"/>
      <c r="E59" s="66"/>
      <c r="F59" s="66"/>
      <c r="G59" s="66"/>
      <c r="H59" s="122"/>
      <c r="I59" s="66"/>
      <c r="J59" s="121"/>
      <c r="K59" s="121"/>
      <c r="L59" s="121"/>
      <c r="M59" s="116"/>
      <c r="N59" s="66"/>
      <c r="O59" s="121"/>
      <c r="P59" s="67"/>
      <c r="Q59" s="121"/>
      <c r="R59" s="67"/>
      <c r="S59" s="65"/>
      <c r="T59" s="67"/>
      <c r="U59" s="65"/>
      <c r="V59" s="64"/>
      <c r="W59" s="65"/>
      <c r="X59" s="161">
        <f t="shared" si="12"/>
        <v>0</v>
      </c>
      <c r="Y59" s="162">
        <f t="shared" si="13"/>
        <v>0</v>
      </c>
      <c r="Z59" s="67"/>
      <c r="AA59" s="65"/>
      <c r="AB59" s="65"/>
      <c r="AC59" s="65"/>
      <c r="AD59" s="123">
        <f t="shared" si="14"/>
        <v>0</v>
      </c>
      <c r="AE59" s="58" t="str">
        <f>'Sch2a-Imp Price by ECM'!K60</f>
        <v/>
      </c>
      <c r="AF59" s="291" t="str">
        <f t="shared" si="15"/>
        <v/>
      </c>
      <c r="AG59" s="1" t="str">
        <f>IF('Sch2a-Imp Price by ECM'!L60="","",'Sch2a-Imp Price by ECM'!L60)</f>
        <v/>
      </c>
    </row>
    <row r="60" spans="1:33" ht="17" thickBot="1">
      <c r="A60" s="290" t="str">
        <f>IF('Sch2a-Imp Price by ECM'!B61="","",'Sch2a-Imp Price by ECM'!B61)</f>
        <v/>
      </c>
      <c r="B60" s="71" t="str">
        <f>IF('Sch2a-Imp Price by ECM'!C61="","",'Sch2a-Imp Price by ECM'!C61)</f>
        <v/>
      </c>
      <c r="C60" s="120"/>
      <c r="D60" s="66"/>
      <c r="E60" s="66"/>
      <c r="F60" s="66"/>
      <c r="G60" s="66"/>
      <c r="H60" s="122"/>
      <c r="I60" s="66"/>
      <c r="J60" s="121"/>
      <c r="K60" s="121"/>
      <c r="L60" s="121"/>
      <c r="M60" s="116"/>
      <c r="N60" s="66"/>
      <c r="O60" s="121"/>
      <c r="P60" s="67"/>
      <c r="Q60" s="121"/>
      <c r="R60" s="67"/>
      <c r="S60" s="65"/>
      <c r="T60" s="67"/>
      <c r="U60" s="65"/>
      <c r="V60" s="64"/>
      <c r="W60" s="65"/>
      <c r="X60" s="161">
        <f t="shared" si="12"/>
        <v>0</v>
      </c>
      <c r="Y60" s="162">
        <f t="shared" si="13"/>
        <v>0</v>
      </c>
      <c r="Z60" s="67"/>
      <c r="AA60" s="65"/>
      <c r="AB60" s="65"/>
      <c r="AC60" s="65"/>
      <c r="AD60" s="123">
        <f t="shared" si="14"/>
        <v>0</v>
      </c>
      <c r="AE60" s="58" t="str">
        <f>'Sch2a-Imp Price by ECM'!K61</f>
        <v/>
      </c>
      <c r="AF60" s="291" t="str">
        <f t="shared" si="15"/>
        <v/>
      </c>
      <c r="AG60" s="1" t="str">
        <f>IF('Sch2a-Imp Price by ECM'!L61="","",'Sch2a-Imp Price by ECM'!L61)</f>
        <v/>
      </c>
    </row>
    <row r="61" spans="1:33" ht="17" thickBot="1">
      <c r="A61" s="290" t="str">
        <f>IF('Sch2a-Imp Price by ECM'!B62="","",'Sch2a-Imp Price by ECM'!B62)</f>
        <v/>
      </c>
      <c r="B61" s="71" t="str">
        <f>IF('Sch2a-Imp Price by ECM'!C62="","",'Sch2a-Imp Price by ECM'!C62)</f>
        <v/>
      </c>
      <c r="C61" s="120"/>
      <c r="D61" s="66"/>
      <c r="E61" s="66"/>
      <c r="F61" s="66"/>
      <c r="G61" s="66"/>
      <c r="H61" s="122"/>
      <c r="I61" s="66"/>
      <c r="J61" s="121"/>
      <c r="K61" s="121"/>
      <c r="L61" s="121"/>
      <c r="M61" s="116"/>
      <c r="N61" s="66"/>
      <c r="O61" s="121"/>
      <c r="P61" s="67"/>
      <c r="Q61" s="121"/>
      <c r="R61" s="67"/>
      <c r="S61" s="65"/>
      <c r="T61" s="67"/>
      <c r="U61" s="65"/>
      <c r="V61" s="64"/>
      <c r="W61" s="65"/>
      <c r="X61" s="161">
        <f t="shared" si="12"/>
        <v>0</v>
      </c>
      <c r="Y61" s="162">
        <f t="shared" si="13"/>
        <v>0</v>
      </c>
      <c r="Z61" s="67"/>
      <c r="AA61" s="65"/>
      <c r="AB61" s="65"/>
      <c r="AC61" s="65"/>
      <c r="AD61" s="123">
        <f t="shared" si="14"/>
        <v>0</v>
      </c>
      <c r="AE61" s="58" t="str">
        <f>'Sch2a-Imp Price by ECM'!K62</f>
        <v/>
      </c>
      <c r="AF61" s="291" t="str">
        <f t="shared" si="15"/>
        <v/>
      </c>
      <c r="AG61" s="1" t="str">
        <f>IF('Sch2a-Imp Price by ECM'!L62="","",'Sch2a-Imp Price by ECM'!L62)</f>
        <v/>
      </c>
    </row>
    <row r="62" spans="1:33" ht="17" thickBot="1">
      <c r="A62" s="290" t="str">
        <f>IF('Sch2a-Imp Price by ECM'!B63="","",'Sch2a-Imp Price by ECM'!B63)</f>
        <v/>
      </c>
      <c r="B62" s="71" t="str">
        <f>IF('Sch2a-Imp Price by ECM'!C63="","",'Sch2a-Imp Price by ECM'!C63)</f>
        <v/>
      </c>
      <c r="C62" s="120"/>
      <c r="D62" s="66"/>
      <c r="E62" s="66"/>
      <c r="F62" s="66"/>
      <c r="G62" s="66"/>
      <c r="H62" s="122"/>
      <c r="I62" s="66"/>
      <c r="J62" s="121"/>
      <c r="K62" s="121"/>
      <c r="L62" s="121"/>
      <c r="M62" s="116"/>
      <c r="N62" s="66"/>
      <c r="O62" s="121"/>
      <c r="P62" s="67"/>
      <c r="Q62" s="121"/>
      <c r="R62" s="67"/>
      <c r="S62" s="65"/>
      <c r="T62" s="67"/>
      <c r="U62" s="65"/>
      <c r="V62" s="64"/>
      <c r="W62" s="65"/>
      <c r="X62" s="161">
        <f t="shared" si="12"/>
        <v>0</v>
      </c>
      <c r="Y62" s="162">
        <f t="shared" si="13"/>
        <v>0</v>
      </c>
      <c r="Z62" s="67"/>
      <c r="AA62" s="65"/>
      <c r="AB62" s="65"/>
      <c r="AC62" s="65"/>
      <c r="AD62" s="123">
        <f t="shared" si="14"/>
        <v>0</v>
      </c>
      <c r="AE62" s="58" t="str">
        <f>'Sch2a-Imp Price by ECM'!K63</f>
        <v/>
      </c>
      <c r="AF62" s="291" t="str">
        <f t="shared" si="15"/>
        <v/>
      </c>
      <c r="AG62" s="1" t="str">
        <f>IF('Sch2a-Imp Price by ECM'!L63="","",'Sch2a-Imp Price by ECM'!L63)</f>
        <v/>
      </c>
    </row>
    <row r="63" spans="1:33" ht="17" thickBot="1">
      <c r="A63" s="290" t="str">
        <f>IF('Sch2a-Imp Price by ECM'!B64="","",'Sch2a-Imp Price by ECM'!B64)</f>
        <v/>
      </c>
      <c r="B63" s="71" t="str">
        <f>IF('Sch2a-Imp Price by ECM'!C64="","",'Sch2a-Imp Price by ECM'!C64)</f>
        <v/>
      </c>
      <c r="C63" s="120"/>
      <c r="D63" s="66"/>
      <c r="E63" s="66"/>
      <c r="F63" s="66"/>
      <c r="G63" s="66"/>
      <c r="H63" s="122"/>
      <c r="I63" s="66"/>
      <c r="J63" s="121"/>
      <c r="K63" s="121"/>
      <c r="L63" s="121"/>
      <c r="M63" s="116"/>
      <c r="N63" s="66"/>
      <c r="O63" s="121"/>
      <c r="P63" s="67"/>
      <c r="Q63" s="121"/>
      <c r="R63" s="67"/>
      <c r="S63" s="65"/>
      <c r="T63" s="67"/>
      <c r="U63" s="65"/>
      <c r="V63" s="64"/>
      <c r="W63" s="65"/>
      <c r="X63" s="161">
        <f t="shared" si="12"/>
        <v>0</v>
      </c>
      <c r="Y63" s="162">
        <f t="shared" si="13"/>
        <v>0</v>
      </c>
      <c r="Z63" s="67"/>
      <c r="AA63" s="65"/>
      <c r="AB63" s="65"/>
      <c r="AC63" s="65"/>
      <c r="AD63" s="123">
        <f t="shared" si="14"/>
        <v>0</v>
      </c>
      <c r="AE63" s="58" t="str">
        <f>'Sch2a-Imp Price by ECM'!K64</f>
        <v/>
      </c>
      <c r="AF63" s="291" t="str">
        <f t="shared" si="15"/>
        <v/>
      </c>
      <c r="AG63" s="1" t="str">
        <f>IF('Sch2a-Imp Price by ECM'!L64="","",'Sch2a-Imp Price by ECM'!L64)</f>
        <v/>
      </c>
    </row>
    <row r="64" spans="1:33" ht="17" thickBot="1">
      <c r="A64" s="290" t="str">
        <f>IF('Sch2a-Imp Price by ECM'!B65="","",'Sch2a-Imp Price by ECM'!B65)</f>
        <v/>
      </c>
      <c r="B64" s="71" t="str">
        <f>IF('Sch2a-Imp Price by ECM'!C65="","",'Sch2a-Imp Price by ECM'!C65)</f>
        <v/>
      </c>
      <c r="C64" s="120"/>
      <c r="D64" s="66"/>
      <c r="E64" s="66"/>
      <c r="F64" s="66"/>
      <c r="G64" s="66"/>
      <c r="H64" s="122"/>
      <c r="I64" s="66"/>
      <c r="J64" s="121"/>
      <c r="K64" s="121"/>
      <c r="L64" s="121"/>
      <c r="M64" s="116"/>
      <c r="N64" s="66"/>
      <c r="O64" s="121"/>
      <c r="P64" s="67"/>
      <c r="Q64" s="121"/>
      <c r="R64" s="67"/>
      <c r="S64" s="65"/>
      <c r="T64" s="67"/>
      <c r="U64" s="65"/>
      <c r="V64" s="64"/>
      <c r="W64" s="65"/>
      <c r="X64" s="161">
        <f t="shared" si="12"/>
        <v>0</v>
      </c>
      <c r="Y64" s="162">
        <f t="shared" si="13"/>
        <v>0</v>
      </c>
      <c r="Z64" s="67"/>
      <c r="AA64" s="65"/>
      <c r="AB64" s="65"/>
      <c r="AC64" s="65"/>
      <c r="AD64" s="123">
        <f t="shared" si="14"/>
        <v>0</v>
      </c>
      <c r="AE64" s="58" t="str">
        <f>'Sch2a-Imp Price by ECM'!K65</f>
        <v/>
      </c>
      <c r="AF64" s="291" t="str">
        <f t="shared" si="15"/>
        <v/>
      </c>
      <c r="AG64" s="1" t="str">
        <f>IF('Sch2a-Imp Price by ECM'!L65="","",'Sch2a-Imp Price by ECM'!L65)</f>
        <v/>
      </c>
    </row>
    <row r="65" spans="1:33" ht="17" thickBot="1">
      <c r="A65" s="290" t="str">
        <f>IF('Sch2a-Imp Price by ECM'!B66="","",'Sch2a-Imp Price by ECM'!B66)</f>
        <v/>
      </c>
      <c r="B65" s="71" t="str">
        <f>IF('Sch2a-Imp Price by ECM'!C66="","",'Sch2a-Imp Price by ECM'!C66)</f>
        <v/>
      </c>
      <c r="C65" s="120"/>
      <c r="D65" s="66"/>
      <c r="E65" s="66"/>
      <c r="F65" s="66"/>
      <c r="G65" s="66"/>
      <c r="H65" s="122"/>
      <c r="I65" s="66"/>
      <c r="J65" s="121"/>
      <c r="K65" s="121"/>
      <c r="L65" s="121"/>
      <c r="M65" s="116"/>
      <c r="N65" s="66"/>
      <c r="O65" s="121"/>
      <c r="P65" s="67"/>
      <c r="Q65" s="121"/>
      <c r="R65" s="67"/>
      <c r="S65" s="65"/>
      <c r="T65" s="67"/>
      <c r="U65" s="65"/>
      <c r="V65" s="64"/>
      <c r="W65" s="65"/>
      <c r="X65" s="161">
        <f t="shared" si="12"/>
        <v>0</v>
      </c>
      <c r="Y65" s="162">
        <f t="shared" si="13"/>
        <v>0</v>
      </c>
      <c r="Z65" s="67"/>
      <c r="AA65" s="65"/>
      <c r="AB65" s="65"/>
      <c r="AC65" s="65"/>
      <c r="AD65" s="123">
        <f t="shared" si="14"/>
        <v>0</v>
      </c>
      <c r="AE65" s="58" t="str">
        <f>'Sch2a-Imp Price by ECM'!K66</f>
        <v/>
      </c>
      <c r="AF65" s="291" t="str">
        <f t="shared" si="15"/>
        <v/>
      </c>
      <c r="AG65" s="1" t="str">
        <f>IF('Sch2a-Imp Price by ECM'!L66="","",'Sch2a-Imp Price by ECM'!L66)</f>
        <v/>
      </c>
    </row>
    <row r="66" spans="1:33" ht="17" thickBot="1">
      <c r="A66" s="290" t="str">
        <f>IF('Sch2a-Imp Price by ECM'!B67="","",'Sch2a-Imp Price by ECM'!B67)</f>
        <v/>
      </c>
      <c r="B66" s="71" t="str">
        <f>IF('Sch2a-Imp Price by ECM'!C67="","",'Sch2a-Imp Price by ECM'!C67)</f>
        <v/>
      </c>
      <c r="C66" s="120"/>
      <c r="D66" s="66"/>
      <c r="E66" s="66"/>
      <c r="F66" s="66"/>
      <c r="G66" s="66"/>
      <c r="H66" s="122"/>
      <c r="I66" s="66"/>
      <c r="J66" s="121"/>
      <c r="K66" s="121"/>
      <c r="L66" s="121"/>
      <c r="M66" s="116"/>
      <c r="N66" s="66"/>
      <c r="O66" s="121"/>
      <c r="P66" s="67"/>
      <c r="Q66" s="121"/>
      <c r="R66" s="67"/>
      <c r="S66" s="65"/>
      <c r="T66" s="67"/>
      <c r="U66" s="65"/>
      <c r="V66" s="64"/>
      <c r="W66" s="65"/>
      <c r="X66" s="161">
        <f t="shared" si="12"/>
        <v>0</v>
      </c>
      <c r="Y66" s="162">
        <f t="shared" si="13"/>
        <v>0</v>
      </c>
      <c r="Z66" s="67"/>
      <c r="AA66" s="65"/>
      <c r="AB66" s="65"/>
      <c r="AC66" s="65"/>
      <c r="AD66" s="123">
        <f t="shared" si="14"/>
        <v>0</v>
      </c>
      <c r="AE66" s="58" t="str">
        <f>'Sch2a-Imp Price by ECM'!K67</f>
        <v/>
      </c>
      <c r="AF66" s="291" t="str">
        <f t="shared" si="15"/>
        <v/>
      </c>
      <c r="AG66" s="1" t="str">
        <f>IF('Sch2a-Imp Price by ECM'!L67="","",'Sch2a-Imp Price by ECM'!L67)</f>
        <v/>
      </c>
    </row>
    <row r="67" spans="1:33" ht="17" thickBot="1">
      <c r="A67" s="290" t="str">
        <f>IF('Sch2a-Imp Price by ECM'!B68="","",'Sch2a-Imp Price by ECM'!B68)</f>
        <v/>
      </c>
      <c r="B67" s="71" t="str">
        <f>IF('Sch2a-Imp Price by ECM'!C68="","",'Sch2a-Imp Price by ECM'!C68)</f>
        <v/>
      </c>
      <c r="C67" s="120"/>
      <c r="D67" s="66"/>
      <c r="E67" s="66"/>
      <c r="F67" s="66"/>
      <c r="G67" s="66"/>
      <c r="H67" s="122"/>
      <c r="I67" s="66"/>
      <c r="J67" s="121"/>
      <c r="K67" s="121"/>
      <c r="L67" s="121"/>
      <c r="M67" s="116"/>
      <c r="N67" s="66"/>
      <c r="O67" s="121"/>
      <c r="P67" s="67"/>
      <c r="Q67" s="121"/>
      <c r="R67" s="67"/>
      <c r="S67" s="65"/>
      <c r="T67" s="67"/>
      <c r="U67" s="65"/>
      <c r="V67" s="64"/>
      <c r="W67" s="65"/>
      <c r="X67" s="161">
        <f t="shared" si="12"/>
        <v>0</v>
      </c>
      <c r="Y67" s="162">
        <f t="shared" si="13"/>
        <v>0</v>
      </c>
      <c r="Z67" s="67"/>
      <c r="AA67" s="65"/>
      <c r="AB67" s="65"/>
      <c r="AC67" s="65"/>
      <c r="AD67" s="123">
        <f t="shared" si="14"/>
        <v>0</v>
      </c>
      <c r="AE67" s="58" t="str">
        <f>'Sch2a-Imp Price by ECM'!K68</f>
        <v/>
      </c>
      <c r="AF67" s="291" t="str">
        <f t="shared" si="15"/>
        <v/>
      </c>
      <c r="AG67" s="1" t="str">
        <f>IF('Sch2a-Imp Price by ECM'!L68="","",'Sch2a-Imp Price by ECM'!L68)</f>
        <v/>
      </c>
    </row>
    <row r="68" spans="1:33" ht="17" thickBot="1">
      <c r="A68" s="290" t="str">
        <f>IF('Sch2a-Imp Price by ECM'!B69="","",'Sch2a-Imp Price by ECM'!B69)</f>
        <v/>
      </c>
      <c r="B68" s="71" t="str">
        <f>IF('Sch2a-Imp Price by ECM'!C69="","",'Sch2a-Imp Price by ECM'!C69)</f>
        <v/>
      </c>
      <c r="C68" s="120"/>
      <c r="D68" s="66"/>
      <c r="E68" s="66"/>
      <c r="F68" s="66"/>
      <c r="G68" s="66"/>
      <c r="H68" s="122"/>
      <c r="I68" s="66"/>
      <c r="J68" s="121"/>
      <c r="K68" s="121"/>
      <c r="L68" s="121"/>
      <c r="M68" s="116"/>
      <c r="N68" s="66"/>
      <c r="O68" s="121"/>
      <c r="P68" s="67"/>
      <c r="Q68" s="121"/>
      <c r="R68" s="67"/>
      <c r="S68" s="65"/>
      <c r="T68" s="67"/>
      <c r="U68" s="65"/>
      <c r="V68" s="64"/>
      <c r="W68" s="65"/>
      <c r="X68" s="161">
        <f t="shared" si="12"/>
        <v>0</v>
      </c>
      <c r="Y68" s="162">
        <f t="shared" si="13"/>
        <v>0</v>
      </c>
      <c r="Z68" s="67"/>
      <c r="AA68" s="65"/>
      <c r="AB68" s="65"/>
      <c r="AC68" s="65"/>
      <c r="AD68" s="123">
        <f t="shared" si="14"/>
        <v>0</v>
      </c>
      <c r="AE68" s="58" t="str">
        <f>'Sch2a-Imp Price by ECM'!K69</f>
        <v/>
      </c>
      <c r="AF68" s="291" t="str">
        <f t="shared" si="15"/>
        <v/>
      </c>
      <c r="AG68" s="1" t="str">
        <f>IF('Sch2a-Imp Price by ECM'!L69="","",'Sch2a-Imp Price by ECM'!L69)</f>
        <v/>
      </c>
    </row>
    <row r="69" spans="1:33" ht="17" thickBot="1">
      <c r="A69" s="290" t="str">
        <f>IF('Sch2a-Imp Price by ECM'!B70="","",'Sch2a-Imp Price by ECM'!B70)</f>
        <v/>
      </c>
      <c r="B69" s="71" t="str">
        <f>IF('Sch2a-Imp Price by ECM'!C70="","",'Sch2a-Imp Price by ECM'!C70)</f>
        <v/>
      </c>
      <c r="C69" s="120"/>
      <c r="D69" s="66"/>
      <c r="E69" s="66"/>
      <c r="F69" s="66"/>
      <c r="G69" s="66"/>
      <c r="H69" s="122"/>
      <c r="I69" s="66"/>
      <c r="J69" s="121"/>
      <c r="K69" s="121"/>
      <c r="L69" s="121"/>
      <c r="M69" s="116"/>
      <c r="N69" s="66"/>
      <c r="O69" s="121"/>
      <c r="P69" s="67"/>
      <c r="Q69" s="121"/>
      <c r="R69" s="67"/>
      <c r="S69" s="65"/>
      <c r="T69" s="67"/>
      <c r="U69" s="65"/>
      <c r="V69" s="64"/>
      <c r="W69" s="65"/>
      <c r="X69" s="161">
        <f t="shared" si="12"/>
        <v>0</v>
      </c>
      <c r="Y69" s="162">
        <f t="shared" si="13"/>
        <v>0</v>
      </c>
      <c r="Z69" s="67"/>
      <c r="AA69" s="65"/>
      <c r="AB69" s="65"/>
      <c r="AC69" s="65"/>
      <c r="AD69" s="123">
        <f t="shared" si="14"/>
        <v>0</v>
      </c>
      <c r="AE69" s="58" t="str">
        <f>'Sch2a-Imp Price by ECM'!K70</f>
        <v/>
      </c>
      <c r="AF69" s="291" t="str">
        <f t="shared" si="15"/>
        <v/>
      </c>
      <c r="AG69" s="1" t="str">
        <f>IF('Sch2a-Imp Price by ECM'!L70="","",'Sch2a-Imp Price by ECM'!L70)</f>
        <v/>
      </c>
    </row>
    <row r="70" spans="1:33" ht="17" thickBot="1">
      <c r="A70" s="290" t="str">
        <f>IF('Sch2a-Imp Price by ECM'!B71="","",'Sch2a-Imp Price by ECM'!B71)</f>
        <v/>
      </c>
      <c r="B70" s="71" t="str">
        <f>IF('Sch2a-Imp Price by ECM'!C71="","",'Sch2a-Imp Price by ECM'!C71)</f>
        <v/>
      </c>
      <c r="C70" s="120"/>
      <c r="D70" s="66"/>
      <c r="E70" s="66"/>
      <c r="F70" s="66"/>
      <c r="G70" s="66"/>
      <c r="H70" s="122"/>
      <c r="I70" s="66"/>
      <c r="J70" s="121"/>
      <c r="K70" s="121"/>
      <c r="L70" s="121"/>
      <c r="M70" s="116"/>
      <c r="N70" s="66"/>
      <c r="O70" s="121"/>
      <c r="P70" s="67"/>
      <c r="Q70" s="121"/>
      <c r="R70" s="67"/>
      <c r="S70" s="65"/>
      <c r="T70" s="67"/>
      <c r="U70" s="65"/>
      <c r="V70" s="64"/>
      <c r="W70" s="65"/>
      <c r="X70" s="161">
        <f t="shared" si="12"/>
        <v>0</v>
      </c>
      <c r="Y70" s="162">
        <f t="shared" si="13"/>
        <v>0</v>
      </c>
      <c r="Z70" s="67"/>
      <c r="AA70" s="65"/>
      <c r="AB70" s="65"/>
      <c r="AC70" s="65"/>
      <c r="AD70" s="123">
        <f t="shared" si="14"/>
        <v>0</v>
      </c>
      <c r="AE70" s="58" t="str">
        <f>'Sch2a-Imp Price by ECM'!K71</f>
        <v/>
      </c>
      <c r="AF70" s="291" t="str">
        <f t="shared" si="15"/>
        <v/>
      </c>
      <c r="AG70" s="1" t="str">
        <f>IF('Sch2a-Imp Price by ECM'!L71="","",'Sch2a-Imp Price by ECM'!L71)</f>
        <v/>
      </c>
    </row>
    <row r="71" spans="1:33" ht="17" thickBot="1">
      <c r="A71" s="290" t="str">
        <f>IF('Sch2a-Imp Price by ECM'!B72="","",'Sch2a-Imp Price by ECM'!B72)</f>
        <v/>
      </c>
      <c r="B71" s="71" t="str">
        <f>IF('Sch2a-Imp Price by ECM'!C72="","",'Sch2a-Imp Price by ECM'!C72)</f>
        <v/>
      </c>
      <c r="C71" s="120"/>
      <c r="D71" s="66"/>
      <c r="E71" s="66"/>
      <c r="F71" s="66"/>
      <c r="G71" s="66"/>
      <c r="H71" s="122"/>
      <c r="I71" s="66"/>
      <c r="J71" s="121"/>
      <c r="K71" s="121"/>
      <c r="L71" s="121"/>
      <c r="M71" s="116"/>
      <c r="N71" s="66"/>
      <c r="O71" s="121"/>
      <c r="P71" s="67"/>
      <c r="Q71" s="121"/>
      <c r="R71" s="67"/>
      <c r="S71" s="65"/>
      <c r="T71" s="67"/>
      <c r="U71" s="65"/>
      <c r="V71" s="64"/>
      <c r="W71" s="65"/>
      <c r="X71" s="161">
        <f t="shared" si="12"/>
        <v>0</v>
      </c>
      <c r="Y71" s="162">
        <f t="shared" si="13"/>
        <v>0</v>
      </c>
      <c r="Z71" s="67"/>
      <c r="AA71" s="65"/>
      <c r="AB71" s="65"/>
      <c r="AC71" s="65"/>
      <c r="AD71" s="123">
        <f t="shared" si="14"/>
        <v>0</v>
      </c>
      <c r="AE71" s="58" t="str">
        <f>'Sch2a-Imp Price by ECM'!K72</f>
        <v/>
      </c>
      <c r="AF71" s="291" t="str">
        <f t="shared" si="15"/>
        <v/>
      </c>
      <c r="AG71" s="1" t="str">
        <f>IF('Sch2a-Imp Price by ECM'!L72="","",'Sch2a-Imp Price by ECM'!L72)</f>
        <v/>
      </c>
    </row>
    <row r="72" spans="1:33" ht="17" thickBot="1">
      <c r="A72" s="290" t="str">
        <f>IF('Sch2a-Imp Price by ECM'!B73="","",'Sch2a-Imp Price by ECM'!B73)</f>
        <v/>
      </c>
      <c r="B72" s="71" t="str">
        <f>IF('Sch2a-Imp Price by ECM'!C73="","",'Sch2a-Imp Price by ECM'!C73)</f>
        <v/>
      </c>
      <c r="C72" s="120"/>
      <c r="D72" s="66"/>
      <c r="E72" s="66"/>
      <c r="F72" s="66"/>
      <c r="G72" s="66"/>
      <c r="H72" s="122"/>
      <c r="I72" s="66"/>
      <c r="J72" s="121"/>
      <c r="K72" s="121"/>
      <c r="L72" s="121"/>
      <c r="M72" s="122"/>
      <c r="N72" s="66"/>
      <c r="O72" s="121"/>
      <c r="P72" s="67"/>
      <c r="Q72" s="121"/>
      <c r="R72" s="67"/>
      <c r="S72" s="65"/>
      <c r="T72" s="67"/>
      <c r="U72" s="65"/>
      <c r="V72" s="64"/>
      <c r="W72" s="65"/>
      <c r="X72" s="161">
        <f t="shared" ref="X72:X92" si="16">(N72*3412/10^6)+R72+T72+V72</f>
        <v>0</v>
      </c>
      <c r="Y72" s="162">
        <f t="shared" ref="Y72:Y92" si="17">O72+Q72+U72+W72+S72</f>
        <v>0</v>
      </c>
      <c r="Z72" s="67"/>
      <c r="AA72" s="65"/>
      <c r="AB72" s="65"/>
      <c r="AC72" s="65"/>
      <c r="AD72" s="123">
        <f t="shared" ref="AD72:AD92" si="18">Y72+AA72+AB72+AC72</f>
        <v>0</v>
      </c>
      <c r="AE72" s="58" t="str">
        <f>'Sch2a-Imp Price by ECM'!K73</f>
        <v/>
      </c>
      <c r="AF72" s="291" t="str">
        <f t="shared" ref="AF72:AF92" si="19">IF(AD72=0,"",AE72/AD72)</f>
        <v/>
      </c>
      <c r="AG72" s="1" t="str">
        <f>IF('Sch2a-Imp Price by ECM'!L73="","",'Sch2a-Imp Price by ECM'!L73)</f>
        <v/>
      </c>
    </row>
    <row r="73" spans="1:33" ht="17" thickBot="1">
      <c r="A73" s="290" t="str">
        <f>IF('Sch2a-Imp Price by ECM'!B74="","",'Sch2a-Imp Price by ECM'!B74)</f>
        <v/>
      </c>
      <c r="B73" s="71" t="str">
        <f>IF('Sch2a-Imp Price by ECM'!C74="","",'Sch2a-Imp Price by ECM'!C74)</f>
        <v/>
      </c>
      <c r="C73" s="120"/>
      <c r="D73" s="66"/>
      <c r="E73" s="66"/>
      <c r="F73" s="66"/>
      <c r="G73" s="66"/>
      <c r="H73" s="122"/>
      <c r="I73" s="66"/>
      <c r="J73" s="121"/>
      <c r="K73" s="121"/>
      <c r="L73" s="121"/>
      <c r="M73" s="122"/>
      <c r="N73" s="66"/>
      <c r="O73" s="121"/>
      <c r="P73" s="67"/>
      <c r="Q73" s="121"/>
      <c r="R73" s="67"/>
      <c r="S73" s="65"/>
      <c r="T73" s="67"/>
      <c r="U73" s="65"/>
      <c r="V73" s="64"/>
      <c r="W73" s="65"/>
      <c r="X73" s="161">
        <f t="shared" si="16"/>
        <v>0</v>
      </c>
      <c r="Y73" s="162">
        <f t="shared" si="17"/>
        <v>0</v>
      </c>
      <c r="Z73" s="67"/>
      <c r="AA73" s="65"/>
      <c r="AB73" s="65"/>
      <c r="AC73" s="65"/>
      <c r="AD73" s="123">
        <f t="shared" si="18"/>
        <v>0</v>
      </c>
      <c r="AE73" s="58" t="str">
        <f>'Sch2a-Imp Price by ECM'!K74</f>
        <v/>
      </c>
      <c r="AF73" s="291" t="str">
        <f t="shared" si="19"/>
        <v/>
      </c>
      <c r="AG73" s="1" t="str">
        <f>IF('Sch2a-Imp Price by ECM'!L74="","",'Sch2a-Imp Price by ECM'!L74)</f>
        <v/>
      </c>
    </row>
    <row r="74" spans="1:33" ht="17" thickBot="1">
      <c r="A74" s="290" t="str">
        <f>IF('Sch2a-Imp Price by ECM'!B75="","",'Sch2a-Imp Price by ECM'!B75)</f>
        <v/>
      </c>
      <c r="B74" s="71" t="str">
        <f>IF('Sch2a-Imp Price by ECM'!C75="","",'Sch2a-Imp Price by ECM'!C75)</f>
        <v/>
      </c>
      <c r="C74" s="120"/>
      <c r="D74" s="66"/>
      <c r="E74" s="66"/>
      <c r="F74" s="66"/>
      <c r="G74" s="66"/>
      <c r="H74" s="122"/>
      <c r="I74" s="66"/>
      <c r="J74" s="121"/>
      <c r="K74" s="121"/>
      <c r="L74" s="121"/>
      <c r="M74" s="122"/>
      <c r="N74" s="66"/>
      <c r="O74" s="121"/>
      <c r="P74" s="67"/>
      <c r="Q74" s="121"/>
      <c r="R74" s="67"/>
      <c r="S74" s="65"/>
      <c r="T74" s="67"/>
      <c r="U74" s="65"/>
      <c r="V74" s="64"/>
      <c r="W74" s="65"/>
      <c r="X74" s="161">
        <f t="shared" si="16"/>
        <v>0</v>
      </c>
      <c r="Y74" s="162">
        <f t="shared" si="17"/>
        <v>0</v>
      </c>
      <c r="Z74" s="67"/>
      <c r="AA74" s="65"/>
      <c r="AB74" s="65"/>
      <c r="AC74" s="65"/>
      <c r="AD74" s="123">
        <f t="shared" si="18"/>
        <v>0</v>
      </c>
      <c r="AE74" s="58" t="str">
        <f>'Sch2a-Imp Price by ECM'!K75</f>
        <v/>
      </c>
      <c r="AF74" s="291" t="str">
        <f t="shared" si="19"/>
        <v/>
      </c>
      <c r="AG74" s="1" t="str">
        <f>IF('Sch2a-Imp Price by ECM'!L75="","",'Sch2a-Imp Price by ECM'!L75)</f>
        <v/>
      </c>
    </row>
    <row r="75" spans="1:33" ht="17" thickBot="1">
      <c r="A75" s="290" t="str">
        <f>IF('Sch2a-Imp Price by ECM'!B76="","",'Sch2a-Imp Price by ECM'!B76)</f>
        <v/>
      </c>
      <c r="B75" s="71" t="str">
        <f>IF('Sch2a-Imp Price by ECM'!C76="","",'Sch2a-Imp Price by ECM'!C76)</f>
        <v/>
      </c>
      <c r="C75" s="120"/>
      <c r="D75" s="66"/>
      <c r="E75" s="66"/>
      <c r="F75" s="66"/>
      <c r="G75" s="66"/>
      <c r="H75" s="122"/>
      <c r="I75" s="66"/>
      <c r="J75" s="121"/>
      <c r="K75" s="121"/>
      <c r="L75" s="121"/>
      <c r="M75" s="122"/>
      <c r="N75" s="66"/>
      <c r="O75" s="121"/>
      <c r="P75" s="67"/>
      <c r="Q75" s="121"/>
      <c r="R75" s="67"/>
      <c r="S75" s="65"/>
      <c r="T75" s="67"/>
      <c r="U75" s="65"/>
      <c r="V75" s="64"/>
      <c r="W75" s="65"/>
      <c r="X75" s="161">
        <f t="shared" si="16"/>
        <v>0</v>
      </c>
      <c r="Y75" s="162">
        <f t="shared" si="17"/>
        <v>0</v>
      </c>
      <c r="Z75" s="67"/>
      <c r="AA75" s="65"/>
      <c r="AB75" s="65"/>
      <c r="AC75" s="65"/>
      <c r="AD75" s="123">
        <f t="shared" si="18"/>
        <v>0</v>
      </c>
      <c r="AE75" s="58" t="str">
        <f>'Sch2a-Imp Price by ECM'!K76</f>
        <v/>
      </c>
      <c r="AF75" s="291" t="str">
        <f t="shared" si="19"/>
        <v/>
      </c>
      <c r="AG75" s="1" t="str">
        <f>IF('Sch2a-Imp Price by ECM'!L76="","",'Sch2a-Imp Price by ECM'!L76)</f>
        <v/>
      </c>
    </row>
    <row r="76" spans="1:33" ht="18" customHeight="1" thickBot="1">
      <c r="A76" s="290" t="str">
        <f>IF('Sch2a-Imp Price by ECM'!B77="","",'Sch2a-Imp Price by ECM'!B77)</f>
        <v/>
      </c>
      <c r="B76" s="71" t="str">
        <f>IF('Sch2a-Imp Price by ECM'!C77="","",'Sch2a-Imp Price by ECM'!C77)</f>
        <v/>
      </c>
      <c r="C76" s="120"/>
      <c r="D76" s="66"/>
      <c r="E76" s="66"/>
      <c r="F76" s="66"/>
      <c r="G76" s="66"/>
      <c r="H76" s="122"/>
      <c r="I76" s="66"/>
      <c r="J76" s="121"/>
      <c r="K76" s="121"/>
      <c r="L76" s="121"/>
      <c r="M76" s="122"/>
      <c r="N76" s="66"/>
      <c r="O76" s="121"/>
      <c r="P76" s="67"/>
      <c r="Q76" s="121"/>
      <c r="R76" s="67"/>
      <c r="S76" s="65"/>
      <c r="T76" s="67"/>
      <c r="U76" s="65"/>
      <c r="V76" s="64"/>
      <c r="W76" s="65"/>
      <c r="X76" s="161">
        <f t="shared" si="16"/>
        <v>0</v>
      </c>
      <c r="Y76" s="162">
        <f t="shared" si="17"/>
        <v>0</v>
      </c>
      <c r="Z76" s="67"/>
      <c r="AA76" s="65"/>
      <c r="AB76" s="65"/>
      <c r="AC76" s="65"/>
      <c r="AD76" s="123">
        <f t="shared" si="18"/>
        <v>0</v>
      </c>
      <c r="AE76" s="58" t="str">
        <f>'Sch2a-Imp Price by ECM'!K77</f>
        <v/>
      </c>
      <c r="AF76" s="291" t="str">
        <f t="shared" si="19"/>
        <v/>
      </c>
      <c r="AG76" s="1" t="str">
        <f>IF('Sch2a-Imp Price by ECM'!L77="","",'Sch2a-Imp Price by ECM'!L77)</f>
        <v/>
      </c>
    </row>
    <row r="77" spans="1:33" ht="17" thickBot="1">
      <c r="A77" s="290" t="str">
        <f>IF('Sch2a-Imp Price by ECM'!B78="","",'Sch2a-Imp Price by ECM'!B78)</f>
        <v/>
      </c>
      <c r="B77" s="71" t="str">
        <f>IF('Sch2a-Imp Price by ECM'!C78="","",'Sch2a-Imp Price by ECM'!C78)</f>
        <v/>
      </c>
      <c r="C77" s="120"/>
      <c r="D77" s="66"/>
      <c r="E77" s="66"/>
      <c r="F77" s="66"/>
      <c r="G77" s="66"/>
      <c r="H77" s="122"/>
      <c r="I77" s="66"/>
      <c r="J77" s="121"/>
      <c r="K77" s="121"/>
      <c r="L77" s="121"/>
      <c r="M77" s="122"/>
      <c r="N77" s="66"/>
      <c r="O77" s="121"/>
      <c r="P77" s="67"/>
      <c r="Q77" s="121"/>
      <c r="R77" s="67"/>
      <c r="S77" s="65"/>
      <c r="T77" s="67"/>
      <c r="U77" s="65"/>
      <c r="V77" s="64"/>
      <c r="W77" s="65"/>
      <c r="X77" s="161">
        <f t="shared" si="16"/>
        <v>0</v>
      </c>
      <c r="Y77" s="162">
        <f t="shared" si="17"/>
        <v>0</v>
      </c>
      <c r="Z77" s="67"/>
      <c r="AA77" s="65"/>
      <c r="AB77" s="65"/>
      <c r="AC77" s="65"/>
      <c r="AD77" s="123">
        <f t="shared" si="18"/>
        <v>0</v>
      </c>
      <c r="AE77" s="58" t="str">
        <f>'Sch2a-Imp Price by ECM'!K78</f>
        <v/>
      </c>
      <c r="AF77" s="291" t="str">
        <f t="shared" si="19"/>
        <v/>
      </c>
      <c r="AG77" s="1" t="str">
        <f>IF('Sch2a-Imp Price by ECM'!L78="","",'Sch2a-Imp Price by ECM'!L78)</f>
        <v/>
      </c>
    </row>
    <row r="78" spans="1:33" ht="17" thickBot="1">
      <c r="A78" s="290" t="str">
        <f>IF('Sch2a-Imp Price by ECM'!B79="","",'Sch2a-Imp Price by ECM'!B79)</f>
        <v/>
      </c>
      <c r="B78" s="71" t="str">
        <f>IF('Sch2a-Imp Price by ECM'!C79="","",'Sch2a-Imp Price by ECM'!C79)</f>
        <v/>
      </c>
      <c r="C78" s="120"/>
      <c r="D78" s="66"/>
      <c r="E78" s="66"/>
      <c r="F78" s="66"/>
      <c r="G78" s="66"/>
      <c r="H78" s="122"/>
      <c r="I78" s="66"/>
      <c r="J78" s="121"/>
      <c r="K78" s="121"/>
      <c r="L78" s="121"/>
      <c r="M78" s="122"/>
      <c r="N78" s="66"/>
      <c r="O78" s="121"/>
      <c r="P78" s="67"/>
      <c r="Q78" s="121"/>
      <c r="R78" s="67"/>
      <c r="S78" s="65"/>
      <c r="T78" s="67"/>
      <c r="U78" s="65"/>
      <c r="V78" s="64"/>
      <c r="W78" s="65"/>
      <c r="X78" s="161">
        <f t="shared" si="16"/>
        <v>0</v>
      </c>
      <c r="Y78" s="162">
        <f t="shared" si="17"/>
        <v>0</v>
      </c>
      <c r="Z78" s="67"/>
      <c r="AA78" s="65"/>
      <c r="AB78" s="65"/>
      <c r="AC78" s="65"/>
      <c r="AD78" s="123">
        <f t="shared" si="18"/>
        <v>0</v>
      </c>
      <c r="AE78" s="58" t="str">
        <f>'Sch2a-Imp Price by ECM'!K79</f>
        <v/>
      </c>
      <c r="AF78" s="291" t="str">
        <f t="shared" si="19"/>
        <v/>
      </c>
      <c r="AG78" s="1" t="str">
        <f>IF('Sch2a-Imp Price by ECM'!L79="","",'Sch2a-Imp Price by ECM'!L79)</f>
        <v/>
      </c>
    </row>
    <row r="79" spans="1:33" ht="17" thickBot="1">
      <c r="A79" s="290" t="str">
        <f>IF('Sch2a-Imp Price by ECM'!B80="","",'Sch2a-Imp Price by ECM'!B80)</f>
        <v/>
      </c>
      <c r="B79" s="71" t="str">
        <f>IF('Sch2a-Imp Price by ECM'!C80="","",'Sch2a-Imp Price by ECM'!C80)</f>
        <v/>
      </c>
      <c r="C79" s="120"/>
      <c r="D79" s="66"/>
      <c r="E79" s="66"/>
      <c r="F79" s="66"/>
      <c r="G79" s="66"/>
      <c r="H79" s="122"/>
      <c r="I79" s="66"/>
      <c r="J79" s="121"/>
      <c r="K79" s="121"/>
      <c r="L79" s="121"/>
      <c r="M79" s="116"/>
      <c r="N79" s="66"/>
      <c r="O79" s="121"/>
      <c r="P79" s="67"/>
      <c r="Q79" s="121"/>
      <c r="R79" s="67"/>
      <c r="S79" s="65"/>
      <c r="T79" s="67"/>
      <c r="U79" s="65"/>
      <c r="V79" s="64"/>
      <c r="W79" s="65"/>
      <c r="X79" s="161">
        <f t="shared" si="16"/>
        <v>0</v>
      </c>
      <c r="Y79" s="162">
        <f t="shared" si="17"/>
        <v>0</v>
      </c>
      <c r="Z79" s="67"/>
      <c r="AA79" s="65"/>
      <c r="AB79" s="65"/>
      <c r="AC79" s="65"/>
      <c r="AD79" s="123">
        <f t="shared" si="18"/>
        <v>0</v>
      </c>
      <c r="AE79" s="58" t="str">
        <f>'Sch2a-Imp Price by ECM'!K80</f>
        <v/>
      </c>
      <c r="AF79" s="291" t="str">
        <f t="shared" si="19"/>
        <v/>
      </c>
      <c r="AG79" s="1" t="str">
        <f>IF('Sch2a-Imp Price by ECM'!L80="","",'Sch2a-Imp Price by ECM'!L80)</f>
        <v/>
      </c>
    </row>
    <row r="80" spans="1:33" ht="17" thickBot="1">
      <c r="A80" s="290" t="str">
        <f>IF('Sch2a-Imp Price by ECM'!B81="","",'Sch2a-Imp Price by ECM'!B81)</f>
        <v/>
      </c>
      <c r="B80" s="71" t="str">
        <f>IF('Sch2a-Imp Price by ECM'!C81="","",'Sch2a-Imp Price by ECM'!C81)</f>
        <v/>
      </c>
      <c r="C80" s="120"/>
      <c r="D80" s="66"/>
      <c r="E80" s="66"/>
      <c r="F80" s="66"/>
      <c r="G80" s="66"/>
      <c r="H80" s="122"/>
      <c r="I80" s="66"/>
      <c r="J80" s="121"/>
      <c r="K80" s="121"/>
      <c r="L80" s="121"/>
      <c r="M80" s="116"/>
      <c r="N80" s="66"/>
      <c r="O80" s="121"/>
      <c r="P80" s="67"/>
      <c r="Q80" s="121"/>
      <c r="R80" s="67"/>
      <c r="S80" s="65"/>
      <c r="T80" s="67"/>
      <c r="U80" s="65"/>
      <c r="V80" s="64"/>
      <c r="W80" s="65"/>
      <c r="X80" s="161">
        <f t="shared" si="16"/>
        <v>0</v>
      </c>
      <c r="Y80" s="162">
        <f t="shared" si="17"/>
        <v>0</v>
      </c>
      <c r="Z80" s="67"/>
      <c r="AA80" s="65"/>
      <c r="AB80" s="65"/>
      <c r="AC80" s="65"/>
      <c r="AD80" s="123">
        <f t="shared" si="18"/>
        <v>0</v>
      </c>
      <c r="AE80" s="58" t="str">
        <f>'Sch2a-Imp Price by ECM'!K81</f>
        <v/>
      </c>
      <c r="AF80" s="291" t="str">
        <f t="shared" si="19"/>
        <v/>
      </c>
      <c r="AG80" s="1" t="str">
        <f>IF('Sch2a-Imp Price by ECM'!L81="","",'Sch2a-Imp Price by ECM'!L81)</f>
        <v/>
      </c>
    </row>
    <row r="81" spans="1:33" ht="17" thickBot="1">
      <c r="A81" s="290" t="str">
        <f>IF('Sch2a-Imp Price by ECM'!B82="","",'Sch2a-Imp Price by ECM'!B82)</f>
        <v/>
      </c>
      <c r="B81" s="71" t="str">
        <f>IF('Sch2a-Imp Price by ECM'!C82="","",'Sch2a-Imp Price by ECM'!C82)</f>
        <v/>
      </c>
      <c r="C81" s="120"/>
      <c r="D81" s="66"/>
      <c r="E81" s="66"/>
      <c r="F81" s="66"/>
      <c r="G81" s="66"/>
      <c r="H81" s="122"/>
      <c r="I81" s="66"/>
      <c r="J81" s="121"/>
      <c r="K81" s="121"/>
      <c r="L81" s="121"/>
      <c r="M81" s="116"/>
      <c r="N81" s="66"/>
      <c r="O81" s="121"/>
      <c r="P81" s="67"/>
      <c r="Q81" s="121"/>
      <c r="R81" s="67"/>
      <c r="S81" s="65"/>
      <c r="T81" s="67"/>
      <c r="U81" s="65"/>
      <c r="V81" s="64"/>
      <c r="W81" s="65"/>
      <c r="X81" s="161">
        <f t="shared" si="16"/>
        <v>0</v>
      </c>
      <c r="Y81" s="162">
        <f t="shared" si="17"/>
        <v>0</v>
      </c>
      <c r="Z81" s="67"/>
      <c r="AA81" s="65"/>
      <c r="AB81" s="65"/>
      <c r="AC81" s="65"/>
      <c r="AD81" s="123">
        <f t="shared" si="18"/>
        <v>0</v>
      </c>
      <c r="AE81" s="58" t="str">
        <f>'Sch2a-Imp Price by ECM'!K82</f>
        <v/>
      </c>
      <c r="AF81" s="291" t="str">
        <f t="shared" si="19"/>
        <v/>
      </c>
      <c r="AG81" s="1" t="str">
        <f>IF('Sch2a-Imp Price by ECM'!L82="","",'Sch2a-Imp Price by ECM'!L82)</f>
        <v/>
      </c>
    </row>
    <row r="82" spans="1:33" ht="17" thickBot="1">
      <c r="A82" s="290" t="str">
        <f>IF('Sch2a-Imp Price by ECM'!B83="","",'Sch2a-Imp Price by ECM'!B83)</f>
        <v/>
      </c>
      <c r="B82" s="71" t="str">
        <f>IF('Sch2a-Imp Price by ECM'!C83="","",'Sch2a-Imp Price by ECM'!C83)</f>
        <v/>
      </c>
      <c r="C82" s="120"/>
      <c r="D82" s="66"/>
      <c r="E82" s="66"/>
      <c r="F82" s="66"/>
      <c r="G82" s="66"/>
      <c r="H82" s="122"/>
      <c r="I82" s="66"/>
      <c r="J82" s="121"/>
      <c r="K82" s="121"/>
      <c r="L82" s="121"/>
      <c r="M82" s="116"/>
      <c r="N82" s="66"/>
      <c r="O82" s="121"/>
      <c r="P82" s="67"/>
      <c r="Q82" s="121"/>
      <c r="R82" s="67"/>
      <c r="S82" s="65"/>
      <c r="T82" s="67"/>
      <c r="U82" s="65"/>
      <c r="V82" s="64"/>
      <c r="W82" s="65"/>
      <c r="X82" s="161">
        <f t="shared" si="16"/>
        <v>0</v>
      </c>
      <c r="Y82" s="162">
        <f t="shared" si="17"/>
        <v>0</v>
      </c>
      <c r="Z82" s="67"/>
      <c r="AA82" s="65"/>
      <c r="AB82" s="65"/>
      <c r="AC82" s="65"/>
      <c r="AD82" s="123">
        <f t="shared" si="18"/>
        <v>0</v>
      </c>
      <c r="AE82" s="58" t="str">
        <f>'Sch2a-Imp Price by ECM'!K83</f>
        <v/>
      </c>
      <c r="AF82" s="291" t="str">
        <f t="shared" si="19"/>
        <v/>
      </c>
      <c r="AG82" s="1" t="str">
        <f>IF('Sch2a-Imp Price by ECM'!L83="","",'Sch2a-Imp Price by ECM'!L83)</f>
        <v/>
      </c>
    </row>
    <row r="83" spans="1:33" ht="17" thickBot="1">
      <c r="A83" s="290" t="str">
        <f>IF('Sch2a-Imp Price by ECM'!B84="","",'Sch2a-Imp Price by ECM'!B84)</f>
        <v/>
      </c>
      <c r="B83" s="71" t="str">
        <f>IF('Sch2a-Imp Price by ECM'!C84="","",'Sch2a-Imp Price by ECM'!C84)</f>
        <v/>
      </c>
      <c r="C83" s="120"/>
      <c r="D83" s="66"/>
      <c r="E83" s="66"/>
      <c r="F83" s="66"/>
      <c r="G83" s="66"/>
      <c r="H83" s="122"/>
      <c r="I83" s="66"/>
      <c r="J83" s="121"/>
      <c r="K83" s="121"/>
      <c r="L83" s="121"/>
      <c r="M83" s="116"/>
      <c r="N83" s="66"/>
      <c r="O83" s="121"/>
      <c r="P83" s="67"/>
      <c r="Q83" s="121"/>
      <c r="R83" s="67"/>
      <c r="S83" s="65"/>
      <c r="T83" s="67"/>
      <c r="U83" s="65"/>
      <c r="V83" s="64"/>
      <c r="W83" s="65"/>
      <c r="X83" s="161">
        <f t="shared" si="16"/>
        <v>0</v>
      </c>
      <c r="Y83" s="162">
        <f t="shared" si="17"/>
        <v>0</v>
      </c>
      <c r="Z83" s="67"/>
      <c r="AA83" s="65"/>
      <c r="AB83" s="65"/>
      <c r="AC83" s="65"/>
      <c r="AD83" s="123">
        <f t="shared" si="18"/>
        <v>0</v>
      </c>
      <c r="AE83" s="58" t="str">
        <f>'Sch2a-Imp Price by ECM'!K84</f>
        <v/>
      </c>
      <c r="AF83" s="291" t="str">
        <f t="shared" si="19"/>
        <v/>
      </c>
      <c r="AG83" s="1" t="str">
        <f>IF('Sch2a-Imp Price by ECM'!L84="","",'Sch2a-Imp Price by ECM'!L84)</f>
        <v/>
      </c>
    </row>
    <row r="84" spans="1:33" ht="17" thickBot="1">
      <c r="A84" s="290" t="str">
        <f>IF('Sch2a-Imp Price by ECM'!B85="","",'Sch2a-Imp Price by ECM'!B85)</f>
        <v/>
      </c>
      <c r="B84" s="71" t="str">
        <f>IF('Sch2a-Imp Price by ECM'!C85="","",'Sch2a-Imp Price by ECM'!C85)</f>
        <v/>
      </c>
      <c r="C84" s="120"/>
      <c r="D84" s="66"/>
      <c r="E84" s="66"/>
      <c r="F84" s="66"/>
      <c r="G84" s="66"/>
      <c r="H84" s="122"/>
      <c r="I84" s="66"/>
      <c r="J84" s="121"/>
      <c r="K84" s="121"/>
      <c r="L84" s="121"/>
      <c r="M84" s="116"/>
      <c r="N84" s="66"/>
      <c r="O84" s="121"/>
      <c r="P84" s="67"/>
      <c r="Q84" s="121"/>
      <c r="R84" s="67"/>
      <c r="S84" s="65"/>
      <c r="T84" s="67"/>
      <c r="U84" s="65"/>
      <c r="V84" s="64"/>
      <c r="W84" s="65"/>
      <c r="X84" s="161">
        <f t="shared" si="16"/>
        <v>0</v>
      </c>
      <c r="Y84" s="162">
        <f t="shared" si="17"/>
        <v>0</v>
      </c>
      <c r="Z84" s="67"/>
      <c r="AA84" s="65"/>
      <c r="AB84" s="65"/>
      <c r="AC84" s="65"/>
      <c r="AD84" s="123">
        <f t="shared" si="18"/>
        <v>0</v>
      </c>
      <c r="AE84" s="58" t="str">
        <f>'Sch2a-Imp Price by ECM'!K85</f>
        <v/>
      </c>
      <c r="AF84" s="291" t="str">
        <f t="shared" si="19"/>
        <v/>
      </c>
      <c r="AG84" s="1" t="str">
        <f>IF('Sch2a-Imp Price by ECM'!L85="","",'Sch2a-Imp Price by ECM'!L85)</f>
        <v/>
      </c>
    </row>
    <row r="85" spans="1:33" ht="17" thickBot="1">
      <c r="A85" s="290" t="str">
        <f>IF('Sch2a-Imp Price by ECM'!B86="","",'Sch2a-Imp Price by ECM'!B86)</f>
        <v/>
      </c>
      <c r="B85" s="71" t="str">
        <f>IF('Sch2a-Imp Price by ECM'!C86="","",'Sch2a-Imp Price by ECM'!C86)</f>
        <v/>
      </c>
      <c r="C85" s="120"/>
      <c r="D85" s="66"/>
      <c r="E85" s="66"/>
      <c r="F85" s="66"/>
      <c r="G85" s="66"/>
      <c r="H85" s="122"/>
      <c r="I85" s="66"/>
      <c r="J85" s="121"/>
      <c r="K85" s="121"/>
      <c r="L85" s="121"/>
      <c r="M85" s="116"/>
      <c r="N85" s="66"/>
      <c r="O85" s="121"/>
      <c r="P85" s="67"/>
      <c r="Q85" s="121"/>
      <c r="R85" s="67"/>
      <c r="S85" s="65"/>
      <c r="T85" s="67"/>
      <c r="U85" s="65"/>
      <c r="V85" s="64"/>
      <c r="W85" s="65"/>
      <c r="X85" s="161">
        <f t="shared" si="16"/>
        <v>0</v>
      </c>
      <c r="Y85" s="162">
        <f t="shared" si="17"/>
        <v>0</v>
      </c>
      <c r="Z85" s="67"/>
      <c r="AA85" s="65"/>
      <c r="AB85" s="65"/>
      <c r="AC85" s="65"/>
      <c r="AD85" s="123">
        <f t="shared" si="18"/>
        <v>0</v>
      </c>
      <c r="AE85" s="58" t="str">
        <f>'Sch2a-Imp Price by ECM'!K86</f>
        <v/>
      </c>
      <c r="AF85" s="291" t="str">
        <f t="shared" si="19"/>
        <v/>
      </c>
      <c r="AG85" s="1" t="str">
        <f>IF('Sch2a-Imp Price by ECM'!L86="","",'Sch2a-Imp Price by ECM'!L86)</f>
        <v/>
      </c>
    </row>
    <row r="86" spans="1:33" ht="17" thickBot="1">
      <c r="A86" s="290" t="str">
        <f>IF('Sch2a-Imp Price by ECM'!B87="","",'Sch2a-Imp Price by ECM'!B87)</f>
        <v/>
      </c>
      <c r="B86" s="71" t="str">
        <f>IF('Sch2a-Imp Price by ECM'!C87="","",'Sch2a-Imp Price by ECM'!C87)</f>
        <v/>
      </c>
      <c r="C86" s="120"/>
      <c r="D86" s="66"/>
      <c r="E86" s="66"/>
      <c r="F86" s="66"/>
      <c r="G86" s="66"/>
      <c r="H86" s="122"/>
      <c r="I86" s="66"/>
      <c r="J86" s="121"/>
      <c r="K86" s="121"/>
      <c r="L86" s="121"/>
      <c r="M86" s="116"/>
      <c r="N86" s="66"/>
      <c r="O86" s="121"/>
      <c r="P86" s="67"/>
      <c r="Q86" s="121"/>
      <c r="R86" s="67"/>
      <c r="S86" s="65"/>
      <c r="T86" s="67"/>
      <c r="U86" s="65"/>
      <c r="V86" s="64"/>
      <c r="W86" s="65"/>
      <c r="X86" s="161">
        <f t="shared" si="16"/>
        <v>0</v>
      </c>
      <c r="Y86" s="162">
        <f t="shared" si="17"/>
        <v>0</v>
      </c>
      <c r="Z86" s="67"/>
      <c r="AA86" s="65"/>
      <c r="AB86" s="65"/>
      <c r="AC86" s="65"/>
      <c r="AD86" s="123">
        <f t="shared" si="18"/>
        <v>0</v>
      </c>
      <c r="AE86" s="58" t="str">
        <f>'Sch2a-Imp Price by ECM'!K87</f>
        <v/>
      </c>
      <c r="AF86" s="291" t="str">
        <f t="shared" si="19"/>
        <v/>
      </c>
      <c r="AG86" s="1" t="str">
        <f>IF('Sch2a-Imp Price by ECM'!L87="","",'Sch2a-Imp Price by ECM'!L87)</f>
        <v/>
      </c>
    </row>
    <row r="87" spans="1:33" ht="17" thickBot="1">
      <c r="A87" s="290" t="str">
        <f>IF('Sch2a-Imp Price by ECM'!B88="","",'Sch2a-Imp Price by ECM'!B88)</f>
        <v/>
      </c>
      <c r="B87" s="71" t="str">
        <f>IF('Sch2a-Imp Price by ECM'!C88="","",'Sch2a-Imp Price by ECM'!C88)</f>
        <v/>
      </c>
      <c r="C87" s="120"/>
      <c r="D87" s="66"/>
      <c r="E87" s="66"/>
      <c r="F87" s="66"/>
      <c r="G87" s="66"/>
      <c r="H87" s="122"/>
      <c r="I87" s="66"/>
      <c r="J87" s="121"/>
      <c r="K87" s="121"/>
      <c r="L87" s="121"/>
      <c r="M87" s="116"/>
      <c r="N87" s="66"/>
      <c r="O87" s="121"/>
      <c r="P87" s="67"/>
      <c r="Q87" s="121"/>
      <c r="R87" s="67"/>
      <c r="S87" s="65"/>
      <c r="T87" s="67"/>
      <c r="U87" s="65"/>
      <c r="V87" s="64"/>
      <c r="W87" s="65"/>
      <c r="X87" s="161">
        <f t="shared" si="16"/>
        <v>0</v>
      </c>
      <c r="Y87" s="162">
        <f t="shared" si="17"/>
        <v>0</v>
      </c>
      <c r="Z87" s="67"/>
      <c r="AA87" s="65"/>
      <c r="AB87" s="65"/>
      <c r="AC87" s="65"/>
      <c r="AD87" s="123">
        <f t="shared" si="18"/>
        <v>0</v>
      </c>
      <c r="AE87" s="58" t="str">
        <f>'Sch2a-Imp Price by ECM'!K88</f>
        <v/>
      </c>
      <c r="AF87" s="291" t="str">
        <f t="shared" si="19"/>
        <v/>
      </c>
      <c r="AG87" s="1" t="str">
        <f>IF('Sch2a-Imp Price by ECM'!L88="","",'Sch2a-Imp Price by ECM'!L88)</f>
        <v/>
      </c>
    </row>
    <row r="88" spans="1:33" ht="17" thickBot="1">
      <c r="A88" s="290" t="str">
        <f>IF('Sch2a-Imp Price by ECM'!B89="","",'Sch2a-Imp Price by ECM'!B89)</f>
        <v/>
      </c>
      <c r="B88" s="71" t="str">
        <f>IF('Sch2a-Imp Price by ECM'!C89="","",'Sch2a-Imp Price by ECM'!C89)</f>
        <v/>
      </c>
      <c r="C88" s="120"/>
      <c r="D88" s="66"/>
      <c r="E88" s="66"/>
      <c r="F88" s="66"/>
      <c r="G88" s="66"/>
      <c r="H88" s="122"/>
      <c r="I88" s="66"/>
      <c r="J88" s="121"/>
      <c r="K88" s="121"/>
      <c r="L88" s="121"/>
      <c r="M88" s="116"/>
      <c r="N88" s="66"/>
      <c r="O88" s="121"/>
      <c r="P88" s="67"/>
      <c r="Q88" s="121"/>
      <c r="R88" s="67"/>
      <c r="S88" s="65"/>
      <c r="T88" s="67"/>
      <c r="U88" s="65"/>
      <c r="V88" s="64"/>
      <c r="W88" s="65"/>
      <c r="X88" s="161">
        <f t="shared" si="16"/>
        <v>0</v>
      </c>
      <c r="Y88" s="162">
        <f t="shared" si="17"/>
        <v>0</v>
      </c>
      <c r="Z88" s="67"/>
      <c r="AA88" s="65"/>
      <c r="AB88" s="65"/>
      <c r="AC88" s="65"/>
      <c r="AD88" s="123">
        <f t="shared" si="18"/>
        <v>0</v>
      </c>
      <c r="AE88" s="58" t="str">
        <f>'Sch2a-Imp Price by ECM'!K89</f>
        <v/>
      </c>
      <c r="AF88" s="291" t="str">
        <f t="shared" si="19"/>
        <v/>
      </c>
      <c r="AG88" s="1" t="str">
        <f>IF('Sch2a-Imp Price by ECM'!L89="","",'Sch2a-Imp Price by ECM'!L89)</f>
        <v/>
      </c>
    </row>
    <row r="89" spans="1:33" ht="17" thickBot="1">
      <c r="A89" s="290" t="str">
        <f>IF('Sch2a-Imp Price by ECM'!B90="","",'Sch2a-Imp Price by ECM'!B90)</f>
        <v/>
      </c>
      <c r="B89" s="71" t="str">
        <f>IF('Sch2a-Imp Price by ECM'!C90="","",'Sch2a-Imp Price by ECM'!C90)</f>
        <v/>
      </c>
      <c r="C89" s="120"/>
      <c r="D89" s="66"/>
      <c r="E89" s="66"/>
      <c r="F89" s="66"/>
      <c r="G89" s="66"/>
      <c r="H89" s="122"/>
      <c r="I89" s="66"/>
      <c r="J89" s="121"/>
      <c r="K89" s="121"/>
      <c r="L89" s="121"/>
      <c r="M89" s="116"/>
      <c r="N89" s="66"/>
      <c r="O89" s="121"/>
      <c r="P89" s="67"/>
      <c r="Q89" s="121"/>
      <c r="R89" s="67"/>
      <c r="S89" s="65"/>
      <c r="T89" s="67"/>
      <c r="U89" s="65"/>
      <c r="V89" s="64"/>
      <c r="W89" s="65"/>
      <c r="X89" s="161">
        <f t="shared" si="16"/>
        <v>0</v>
      </c>
      <c r="Y89" s="162">
        <f t="shared" si="17"/>
        <v>0</v>
      </c>
      <c r="Z89" s="67"/>
      <c r="AA89" s="65"/>
      <c r="AB89" s="65"/>
      <c r="AC89" s="65"/>
      <c r="AD89" s="123">
        <f t="shared" si="18"/>
        <v>0</v>
      </c>
      <c r="AE89" s="58" t="str">
        <f>'Sch2a-Imp Price by ECM'!K90</f>
        <v/>
      </c>
      <c r="AF89" s="291" t="str">
        <f t="shared" si="19"/>
        <v/>
      </c>
      <c r="AG89" s="1" t="str">
        <f>IF('Sch2a-Imp Price by ECM'!L90="","",'Sch2a-Imp Price by ECM'!L90)</f>
        <v/>
      </c>
    </row>
    <row r="90" spans="1:33" ht="17" thickBot="1">
      <c r="A90" s="290" t="str">
        <f>IF('Sch2a-Imp Price by ECM'!B91="","",'Sch2a-Imp Price by ECM'!B91)</f>
        <v/>
      </c>
      <c r="B90" s="71" t="str">
        <f>IF('Sch2a-Imp Price by ECM'!C91="","",'Sch2a-Imp Price by ECM'!C91)</f>
        <v/>
      </c>
      <c r="C90" s="120"/>
      <c r="D90" s="66"/>
      <c r="E90" s="66"/>
      <c r="F90" s="66"/>
      <c r="G90" s="66"/>
      <c r="H90" s="122"/>
      <c r="I90" s="66"/>
      <c r="J90" s="121"/>
      <c r="K90" s="121"/>
      <c r="L90" s="121"/>
      <c r="M90" s="116"/>
      <c r="N90" s="66"/>
      <c r="O90" s="121"/>
      <c r="P90" s="67"/>
      <c r="Q90" s="121"/>
      <c r="R90" s="67"/>
      <c r="S90" s="65"/>
      <c r="T90" s="67"/>
      <c r="U90" s="65"/>
      <c r="V90" s="64"/>
      <c r="W90" s="65"/>
      <c r="X90" s="161">
        <f t="shared" si="16"/>
        <v>0</v>
      </c>
      <c r="Y90" s="162">
        <f t="shared" si="17"/>
        <v>0</v>
      </c>
      <c r="Z90" s="67"/>
      <c r="AA90" s="65"/>
      <c r="AB90" s="65"/>
      <c r="AC90" s="65"/>
      <c r="AD90" s="123">
        <f t="shared" si="18"/>
        <v>0</v>
      </c>
      <c r="AE90" s="58" t="str">
        <f>'Sch2a-Imp Price by ECM'!K91</f>
        <v/>
      </c>
      <c r="AF90" s="291" t="str">
        <f t="shared" si="19"/>
        <v/>
      </c>
      <c r="AG90" s="1" t="str">
        <f>IF('Sch2a-Imp Price by ECM'!L91="","",'Sch2a-Imp Price by ECM'!L91)</f>
        <v/>
      </c>
    </row>
    <row r="91" spans="1:33" ht="17" thickBot="1">
      <c r="A91" s="290" t="str">
        <f>IF('Sch2a-Imp Price by ECM'!B92="","",'Sch2a-Imp Price by ECM'!B92)</f>
        <v/>
      </c>
      <c r="B91" s="71" t="str">
        <f>IF('Sch2a-Imp Price by ECM'!C92="","",'Sch2a-Imp Price by ECM'!C92)</f>
        <v/>
      </c>
      <c r="C91" s="120"/>
      <c r="D91" s="66"/>
      <c r="E91" s="66"/>
      <c r="F91" s="66"/>
      <c r="G91" s="66"/>
      <c r="H91" s="122"/>
      <c r="I91" s="66"/>
      <c r="J91" s="121"/>
      <c r="K91" s="121"/>
      <c r="L91" s="121"/>
      <c r="M91" s="116"/>
      <c r="N91" s="66"/>
      <c r="O91" s="121"/>
      <c r="P91" s="67"/>
      <c r="Q91" s="121"/>
      <c r="R91" s="67"/>
      <c r="S91" s="65"/>
      <c r="T91" s="67"/>
      <c r="U91" s="65"/>
      <c r="V91" s="64"/>
      <c r="W91" s="65"/>
      <c r="X91" s="161">
        <f t="shared" si="16"/>
        <v>0</v>
      </c>
      <c r="Y91" s="162">
        <f t="shared" si="17"/>
        <v>0</v>
      </c>
      <c r="Z91" s="67"/>
      <c r="AA91" s="65"/>
      <c r="AB91" s="65"/>
      <c r="AC91" s="65"/>
      <c r="AD91" s="123">
        <f t="shared" si="18"/>
        <v>0</v>
      </c>
      <c r="AE91" s="58" t="str">
        <f>'Sch2a-Imp Price by ECM'!K92</f>
        <v/>
      </c>
      <c r="AF91" s="291" t="str">
        <f t="shared" si="19"/>
        <v/>
      </c>
      <c r="AG91" s="1" t="str">
        <f>IF('Sch2a-Imp Price by ECM'!L92="","",'Sch2a-Imp Price by ECM'!L92)</f>
        <v/>
      </c>
    </row>
    <row r="92" spans="1:33" ht="17" thickBot="1">
      <c r="A92" s="290" t="str">
        <f>IF('Sch2a-Imp Price by ECM'!B93="","",'Sch2a-Imp Price by ECM'!B93)</f>
        <v/>
      </c>
      <c r="B92" s="71" t="str">
        <f>IF('Sch2a-Imp Price by ECM'!C93="","",'Sch2a-Imp Price by ECM'!C93)</f>
        <v/>
      </c>
      <c r="C92" s="120"/>
      <c r="D92" s="66"/>
      <c r="E92" s="66"/>
      <c r="F92" s="66"/>
      <c r="G92" s="66"/>
      <c r="H92" s="122"/>
      <c r="I92" s="66"/>
      <c r="J92" s="121"/>
      <c r="K92" s="121"/>
      <c r="L92" s="121"/>
      <c r="M92" s="116"/>
      <c r="N92" s="66"/>
      <c r="O92" s="121"/>
      <c r="P92" s="67"/>
      <c r="Q92" s="121"/>
      <c r="R92" s="67"/>
      <c r="S92" s="65"/>
      <c r="T92" s="67"/>
      <c r="U92" s="65"/>
      <c r="V92" s="64"/>
      <c r="W92" s="65"/>
      <c r="X92" s="161">
        <f t="shared" si="16"/>
        <v>0</v>
      </c>
      <c r="Y92" s="162">
        <f t="shared" si="17"/>
        <v>0</v>
      </c>
      <c r="Z92" s="67"/>
      <c r="AA92" s="65"/>
      <c r="AB92" s="65"/>
      <c r="AC92" s="65"/>
      <c r="AD92" s="123">
        <f t="shared" si="18"/>
        <v>0</v>
      </c>
      <c r="AE92" s="58" t="str">
        <f>'Sch2a-Imp Price by ECM'!K93</f>
        <v/>
      </c>
      <c r="AF92" s="291" t="str">
        <f t="shared" si="19"/>
        <v/>
      </c>
      <c r="AG92" s="1" t="str">
        <f>IF('Sch2a-Imp Price by ECM'!L93="","",'Sch2a-Imp Price by ECM'!L93)</f>
        <v/>
      </c>
    </row>
    <row r="93" spans="1:33" ht="17" thickBot="1">
      <c r="A93" s="290" t="str">
        <f>IF('Sch2a-Imp Price by ECM'!B94="","",'Sch2a-Imp Price by ECM'!B94)</f>
        <v/>
      </c>
      <c r="B93" s="71" t="str">
        <f>IF('Sch2a-Imp Price by ECM'!C94="","",'Sch2a-Imp Price by ECM'!C94)</f>
        <v/>
      </c>
      <c r="C93" s="120"/>
      <c r="D93" s="66"/>
      <c r="E93" s="66"/>
      <c r="F93" s="66"/>
      <c r="G93" s="66"/>
      <c r="H93" s="122"/>
      <c r="I93" s="66"/>
      <c r="J93" s="121"/>
      <c r="K93" s="121"/>
      <c r="L93" s="121"/>
      <c r="M93" s="122"/>
      <c r="N93" s="66"/>
      <c r="O93" s="121"/>
      <c r="P93" s="67"/>
      <c r="Q93" s="121"/>
      <c r="R93" s="67"/>
      <c r="S93" s="65"/>
      <c r="T93" s="67"/>
      <c r="U93" s="65"/>
      <c r="V93" s="64"/>
      <c r="W93" s="65"/>
      <c r="X93" s="161">
        <f t="shared" ref="X93:X113" si="20">(N93*3412/10^6)+R93+T93+V93</f>
        <v>0</v>
      </c>
      <c r="Y93" s="162">
        <f t="shared" ref="Y93:Y113" si="21">O93+Q93+U93+W93+S93</f>
        <v>0</v>
      </c>
      <c r="Z93" s="67"/>
      <c r="AA93" s="65"/>
      <c r="AB93" s="65"/>
      <c r="AC93" s="65"/>
      <c r="AD93" s="123">
        <f t="shared" ref="AD93:AD113" si="22">Y93+AA93+AB93+AC93</f>
        <v>0</v>
      </c>
      <c r="AE93" s="58" t="str">
        <f>'Sch2a-Imp Price by ECM'!K94</f>
        <v/>
      </c>
      <c r="AF93" s="291" t="str">
        <f t="shared" ref="AF93:AF113" si="23">IF(AD93=0,"",AE93/AD93)</f>
        <v/>
      </c>
      <c r="AG93" s="1" t="str">
        <f>IF('Sch2a-Imp Price by ECM'!L94="","",'Sch2a-Imp Price by ECM'!L94)</f>
        <v/>
      </c>
    </row>
    <row r="94" spans="1:33" ht="17" thickBot="1">
      <c r="A94" s="290" t="str">
        <f>IF('Sch2a-Imp Price by ECM'!B95="","",'Sch2a-Imp Price by ECM'!B95)</f>
        <v/>
      </c>
      <c r="B94" s="71" t="str">
        <f>IF('Sch2a-Imp Price by ECM'!C95="","",'Sch2a-Imp Price by ECM'!C95)</f>
        <v/>
      </c>
      <c r="C94" s="120"/>
      <c r="D94" s="66"/>
      <c r="E94" s="66"/>
      <c r="F94" s="66"/>
      <c r="G94" s="66"/>
      <c r="H94" s="122"/>
      <c r="I94" s="66"/>
      <c r="J94" s="121"/>
      <c r="K94" s="121"/>
      <c r="L94" s="121"/>
      <c r="M94" s="122"/>
      <c r="N94" s="66"/>
      <c r="O94" s="121"/>
      <c r="P94" s="67"/>
      <c r="Q94" s="121"/>
      <c r="R94" s="67"/>
      <c r="S94" s="65"/>
      <c r="T94" s="67"/>
      <c r="U94" s="65"/>
      <c r="V94" s="64"/>
      <c r="W94" s="65"/>
      <c r="X94" s="161">
        <f t="shared" si="20"/>
        <v>0</v>
      </c>
      <c r="Y94" s="162">
        <f t="shared" si="21"/>
        <v>0</v>
      </c>
      <c r="Z94" s="67"/>
      <c r="AA94" s="65"/>
      <c r="AB94" s="65"/>
      <c r="AC94" s="65"/>
      <c r="AD94" s="123">
        <f t="shared" si="22"/>
        <v>0</v>
      </c>
      <c r="AE94" s="58" t="str">
        <f>'Sch2a-Imp Price by ECM'!K95</f>
        <v/>
      </c>
      <c r="AF94" s="291" t="str">
        <f t="shared" si="23"/>
        <v/>
      </c>
      <c r="AG94" s="1" t="str">
        <f>IF('Sch2a-Imp Price by ECM'!L95="","",'Sch2a-Imp Price by ECM'!L95)</f>
        <v/>
      </c>
    </row>
    <row r="95" spans="1:33" ht="17" thickBot="1">
      <c r="A95" s="290" t="str">
        <f>IF('Sch2a-Imp Price by ECM'!B96="","",'Sch2a-Imp Price by ECM'!B96)</f>
        <v/>
      </c>
      <c r="B95" s="71" t="str">
        <f>IF('Sch2a-Imp Price by ECM'!C96="","",'Sch2a-Imp Price by ECM'!C96)</f>
        <v/>
      </c>
      <c r="C95" s="120"/>
      <c r="D95" s="66"/>
      <c r="E95" s="66"/>
      <c r="F95" s="66"/>
      <c r="G95" s="66"/>
      <c r="H95" s="122"/>
      <c r="I95" s="66"/>
      <c r="J95" s="121"/>
      <c r="K95" s="121"/>
      <c r="L95" s="121"/>
      <c r="M95" s="122"/>
      <c r="N95" s="66"/>
      <c r="O95" s="121"/>
      <c r="P95" s="67"/>
      <c r="Q95" s="121"/>
      <c r="R95" s="67"/>
      <c r="S95" s="65"/>
      <c r="T95" s="67"/>
      <c r="U95" s="65"/>
      <c r="V95" s="64"/>
      <c r="W95" s="65"/>
      <c r="X95" s="161">
        <f t="shared" si="20"/>
        <v>0</v>
      </c>
      <c r="Y95" s="162">
        <f t="shared" si="21"/>
        <v>0</v>
      </c>
      <c r="Z95" s="67"/>
      <c r="AA95" s="65"/>
      <c r="AB95" s="65"/>
      <c r="AC95" s="65"/>
      <c r="AD95" s="123">
        <f t="shared" si="22"/>
        <v>0</v>
      </c>
      <c r="AE95" s="58" t="str">
        <f>'Sch2a-Imp Price by ECM'!K96</f>
        <v/>
      </c>
      <c r="AF95" s="291" t="str">
        <f t="shared" si="23"/>
        <v/>
      </c>
      <c r="AG95" s="1" t="str">
        <f>IF('Sch2a-Imp Price by ECM'!L96="","",'Sch2a-Imp Price by ECM'!L96)</f>
        <v/>
      </c>
    </row>
    <row r="96" spans="1:33" ht="17" thickBot="1">
      <c r="A96" s="290" t="str">
        <f>IF('Sch2a-Imp Price by ECM'!B97="","",'Sch2a-Imp Price by ECM'!B97)</f>
        <v/>
      </c>
      <c r="B96" s="71" t="str">
        <f>IF('Sch2a-Imp Price by ECM'!C97="","",'Sch2a-Imp Price by ECM'!C97)</f>
        <v/>
      </c>
      <c r="C96" s="120"/>
      <c r="D96" s="66"/>
      <c r="E96" s="66"/>
      <c r="F96" s="66"/>
      <c r="G96" s="66"/>
      <c r="H96" s="122"/>
      <c r="I96" s="66"/>
      <c r="J96" s="121"/>
      <c r="K96" s="121"/>
      <c r="L96" s="121"/>
      <c r="M96" s="122"/>
      <c r="N96" s="66"/>
      <c r="O96" s="121"/>
      <c r="P96" s="67"/>
      <c r="Q96" s="121"/>
      <c r="R96" s="67"/>
      <c r="S96" s="65"/>
      <c r="T96" s="67"/>
      <c r="U96" s="65"/>
      <c r="V96" s="64"/>
      <c r="W96" s="65"/>
      <c r="X96" s="161">
        <f t="shared" si="20"/>
        <v>0</v>
      </c>
      <c r="Y96" s="162">
        <f t="shared" si="21"/>
        <v>0</v>
      </c>
      <c r="Z96" s="67"/>
      <c r="AA96" s="65"/>
      <c r="AB96" s="65"/>
      <c r="AC96" s="65"/>
      <c r="AD96" s="123">
        <f t="shared" si="22"/>
        <v>0</v>
      </c>
      <c r="AE96" s="58" t="str">
        <f>'Sch2a-Imp Price by ECM'!K97</f>
        <v/>
      </c>
      <c r="AF96" s="291" t="str">
        <f t="shared" si="23"/>
        <v/>
      </c>
      <c r="AG96" s="1" t="str">
        <f>IF('Sch2a-Imp Price by ECM'!L97="","",'Sch2a-Imp Price by ECM'!L97)</f>
        <v/>
      </c>
    </row>
    <row r="97" spans="1:33" ht="18" customHeight="1" thickBot="1">
      <c r="A97" s="290" t="str">
        <f>IF('Sch2a-Imp Price by ECM'!B98="","",'Sch2a-Imp Price by ECM'!B98)</f>
        <v/>
      </c>
      <c r="B97" s="71" t="str">
        <f>IF('Sch2a-Imp Price by ECM'!C98="","",'Sch2a-Imp Price by ECM'!C98)</f>
        <v/>
      </c>
      <c r="C97" s="120"/>
      <c r="D97" s="66"/>
      <c r="E97" s="66"/>
      <c r="F97" s="66"/>
      <c r="G97" s="66"/>
      <c r="H97" s="122"/>
      <c r="I97" s="66"/>
      <c r="J97" s="121"/>
      <c r="K97" s="121"/>
      <c r="L97" s="121"/>
      <c r="M97" s="122"/>
      <c r="N97" s="66"/>
      <c r="O97" s="121"/>
      <c r="P97" s="67"/>
      <c r="Q97" s="121"/>
      <c r="R97" s="67"/>
      <c r="S97" s="65"/>
      <c r="T97" s="67"/>
      <c r="U97" s="65"/>
      <c r="V97" s="64"/>
      <c r="W97" s="65"/>
      <c r="X97" s="161">
        <f t="shared" si="20"/>
        <v>0</v>
      </c>
      <c r="Y97" s="162">
        <f t="shared" si="21"/>
        <v>0</v>
      </c>
      <c r="Z97" s="67"/>
      <c r="AA97" s="65"/>
      <c r="AB97" s="65"/>
      <c r="AC97" s="65"/>
      <c r="AD97" s="123">
        <f t="shared" si="22"/>
        <v>0</v>
      </c>
      <c r="AE97" s="58" t="str">
        <f>'Sch2a-Imp Price by ECM'!K98</f>
        <v/>
      </c>
      <c r="AF97" s="291" t="str">
        <f t="shared" si="23"/>
        <v/>
      </c>
      <c r="AG97" s="1" t="str">
        <f>IF('Sch2a-Imp Price by ECM'!L98="","",'Sch2a-Imp Price by ECM'!L98)</f>
        <v/>
      </c>
    </row>
    <row r="98" spans="1:33" ht="17" thickBot="1">
      <c r="A98" s="290" t="str">
        <f>IF('Sch2a-Imp Price by ECM'!B99="","",'Sch2a-Imp Price by ECM'!B99)</f>
        <v/>
      </c>
      <c r="B98" s="71" t="str">
        <f>IF('Sch2a-Imp Price by ECM'!C99="","",'Sch2a-Imp Price by ECM'!C99)</f>
        <v/>
      </c>
      <c r="C98" s="120"/>
      <c r="D98" s="66"/>
      <c r="E98" s="66"/>
      <c r="F98" s="66"/>
      <c r="G98" s="66"/>
      <c r="H98" s="122"/>
      <c r="I98" s="66"/>
      <c r="J98" s="121"/>
      <c r="K98" s="121"/>
      <c r="L98" s="121"/>
      <c r="M98" s="122"/>
      <c r="N98" s="66"/>
      <c r="O98" s="121"/>
      <c r="P98" s="67"/>
      <c r="Q98" s="121"/>
      <c r="R98" s="67"/>
      <c r="S98" s="65"/>
      <c r="T98" s="67"/>
      <c r="U98" s="65"/>
      <c r="V98" s="64"/>
      <c r="W98" s="65"/>
      <c r="X98" s="161">
        <f t="shared" si="20"/>
        <v>0</v>
      </c>
      <c r="Y98" s="162">
        <f t="shared" si="21"/>
        <v>0</v>
      </c>
      <c r="Z98" s="67"/>
      <c r="AA98" s="65"/>
      <c r="AB98" s="65"/>
      <c r="AC98" s="65"/>
      <c r="AD98" s="123">
        <f t="shared" si="22"/>
        <v>0</v>
      </c>
      <c r="AE98" s="58" t="str">
        <f>'Sch2a-Imp Price by ECM'!K99</f>
        <v/>
      </c>
      <c r="AF98" s="291" t="str">
        <f t="shared" si="23"/>
        <v/>
      </c>
      <c r="AG98" s="1" t="str">
        <f>IF('Sch2a-Imp Price by ECM'!L99="","",'Sch2a-Imp Price by ECM'!L99)</f>
        <v/>
      </c>
    </row>
    <row r="99" spans="1:33" ht="17" thickBot="1">
      <c r="A99" s="290" t="str">
        <f>IF('Sch2a-Imp Price by ECM'!B100="","",'Sch2a-Imp Price by ECM'!B100)</f>
        <v/>
      </c>
      <c r="B99" s="71" t="str">
        <f>IF('Sch2a-Imp Price by ECM'!C100="","",'Sch2a-Imp Price by ECM'!C100)</f>
        <v/>
      </c>
      <c r="C99" s="120"/>
      <c r="D99" s="66"/>
      <c r="E99" s="66"/>
      <c r="F99" s="66"/>
      <c r="G99" s="66"/>
      <c r="H99" s="122"/>
      <c r="I99" s="66"/>
      <c r="J99" s="121"/>
      <c r="K99" s="121"/>
      <c r="L99" s="121"/>
      <c r="M99" s="122"/>
      <c r="N99" s="66"/>
      <c r="O99" s="121"/>
      <c r="P99" s="67"/>
      <c r="Q99" s="121"/>
      <c r="R99" s="67"/>
      <c r="S99" s="65"/>
      <c r="T99" s="67"/>
      <c r="U99" s="65"/>
      <c r="V99" s="64"/>
      <c r="W99" s="65"/>
      <c r="X99" s="161">
        <f t="shared" si="20"/>
        <v>0</v>
      </c>
      <c r="Y99" s="162">
        <f t="shared" si="21"/>
        <v>0</v>
      </c>
      <c r="Z99" s="67"/>
      <c r="AA99" s="65"/>
      <c r="AB99" s="65"/>
      <c r="AC99" s="65"/>
      <c r="AD99" s="123">
        <f t="shared" si="22"/>
        <v>0</v>
      </c>
      <c r="AE99" s="58" t="str">
        <f>'Sch2a-Imp Price by ECM'!K100</f>
        <v/>
      </c>
      <c r="AF99" s="291" t="str">
        <f t="shared" si="23"/>
        <v/>
      </c>
      <c r="AG99" s="1" t="str">
        <f>IF('Sch2a-Imp Price by ECM'!L100="","",'Sch2a-Imp Price by ECM'!L100)</f>
        <v/>
      </c>
    </row>
    <row r="100" spans="1:33" ht="17" thickBot="1">
      <c r="A100" s="290" t="str">
        <f>IF('Sch2a-Imp Price by ECM'!B101="","",'Sch2a-Imp Price by ECM'!B101)</f>
        <v/>
      </c>
      <c r="B100" s="71" t="str">
        <f>IF('Sch2a-Imp Price by ECM'!C101="","",'Sch2a-Imp Price by ECM'!C101)</f>
        <v/>
      </c>
      <c r="C100" s="120"/>
      <c r="D100" s="66"/>
      <c r="E100" s="66"/>
      <c r="F100" s="66"/>
      <c r="G100" s="66"/>
      <c r="H100" s="122"/>
      <c r="I100" s="66"/>
      <c r="J100" s="121"/>
      <c r="K100" s="121"/>
      <c r="L100" s="121"/>
      <c r="M100" s="116"/>
      <c r="N100" s="66"/>
      <c r="O100" s="121"/>
      <c r="P100" s="67"/>
      <c r="Q100" s="121"/>
      <c r="R100" s="67"/>
      <c r="S100" s="65"/>
      <c r="T100" s="67"/>
      <c r="U100" s="65"/>
      <c r="V100" s="64"/>
      <c r="W100" s="65"/>
      <c r="X100" s="161">
        <f t="shared" si="20"/>
        <v>0</v>
      </c>
      <c r="Y100" s="162">
        <f t="shared" si="21"/>
        <v>0</v>
      </c>
      <c r="Z100" s="67"/>
      <c r="AA100" s="65"/>
      <c r="AB100" s="65"/>
      <c r="AC100" s="65"/>
      <c r="AD100" s="123">
        <f t="shared" si="22"/>
        <v>0</v>
      </c>
      <c r="AE100" s="58" t="str">
        <f>'Sch2a-Imp Price by ECM'!K101</f>
        <v/>
      </c>
      <c r="AF100" s="291" t="str">
        <f t="shared" si="23"/>
        <v/>
      </c>
      <c r="AG100" s="1" t="str">
        <f>IF('Sch2a-Imp Price by ECM'!L101="","",'Sch2a-Imp Price by ECM'!L101)</f>
        <v/>
      </c>
    </row>
    <row r="101" spans="1:33" ht="17" thickBot="1">
      <c r="A101" s="290" t="str">
        <f>IF('Sch2a-Imp Price by ECM'!B102="","",'Sch2a-Imp Price by ECM'!B102)</f>
        <v/>
      </c>
      <c r="B101" s="71" t="str">
        <f>IF('Sch2a-Imp Price by ECM'!C102="","",'Sch2a-Imp Price by ECM'!C102)</f>
        <v/>
      </c>
      <c r="C101" s="120"/>
      <c r="D101" s="66"/>
      <c r="E101" s="66"/>
      <c r="F101" s="66"/>
      <c r="G101" s="66"/>
      <c r="H101" s="122"/>
      <c r="I101" s="66"/>
      <c r="J101" s="121"/>
      <c r="K101" s="121"/>
      <c r="L101" s="121"/>
      <c r="M101" s="116"/>
      <c r="N101" s="66"/>
      <c r="O101" s="121"/>
      <c r="P101" s="67"/>
      <c r="Q101" s="121"/>
      <c r="R101" s="67"/>
      <c r="S101" s="65"/>
      <c r="T101" s="67"/>
      <c r="U101" s="65"/>
      <c r="V101" s="64"/>
      <c r="W101" s="65"/>
      <c r="X101" s="161">
        <f t="shared" si="20"/>
        <v>0</v>
      </c>
      <c r="Y101" s="162">
        <f t="shared" si="21"/>
        <v>0</v>
      </c>
      <c r="Z101" s="67"/>
      <c r="AA101" s="65"/>
      <c r="AB101" s="65"/>
      <c r="AC101" s="65"/>
      <c r="AD101" s="123">
        <f t="shared" si="22"/>
        <v>0</v>
      </c>
      <c r="AE101" s="58" t="str">
        <f>'Sch2a-Imp Price by ECM'!K102</f>
        <v/>
      </c>
      <c r="AF101" s="291" t="str">
        <f t="shared" si="23"/>
        <v/>
      </c>
      <c r="AG101" s="1" t="str">
        <f>IF('Sch2a-Imp Price by ECM'!L102="","",'Sch2a-Imp Price by ECM'!L102)</f>
        <v/>
      </c>
    </row>
    <row r="102" spans="1:33" ht="17" thickBot="1">
      <c r="A102" s="290" t="str">
        <f>IF('Sch2a-Imp Price by ECM'!B103="","",'Sch2a-Imp Price by ECM'!B103)</f>
        <v/>
      </c>
      <c r="B102" s="71" t="str">
        <f>IF('Sch2a-Imp Price by ECM'!C103="","",'Sch2a-Imp Price by ECM'!C103)</f>
        <v/>
      </c>
      <c r="C102" s="120"/>
      <c r="D102" s="66"/>
      <c r="E102" s="66"/>
      <c r="F102" s="66"/>
      <c r="G102" s="66"/>
      <c r="H102" s="122"/>
      <c r="I102" s="66"/>
      <c r="J102" s="121"/>
      <c r="K102" s="121"/>
      <c r="L102" s="121"/>
      <c r="M102" s="116"/>
      <c r="N102" s="66"/>
      <c r="O102" s="121"/>
      <c r="P102" s="67"/>
      <c r="Q102" s="121"/>
      <c r="R102" s="67"/>
      <c r="S102" s="65"/>
      <c r="T102" s="67"/>
      <c r="U102" s="65"/>
      <c r="V102" s="64"/>
      <c r="W102" s="65"/>
      <c r="X102" s="161">
        <f t="shared" si="20"/>
        <v>0</v>
      </c>
      <c r="Y102" s="162">
        <f t="shared" si="21"/>
        <v>0</v>
      </c>
      <c r="Z102" s="67"/>
      <c r="AA102" s="65"/>
      <c r="AB102" s="65"/>
      <c r="AC102" s="65"/>
      <c r="AD102" s="123">
        <f t="shared" si="22"/>
        <v>0</v>
      </c>
      <c r="AE102" s="58" t="str">
        <f>'Sch2a-Imp Price by ECM'!K103</f>
        <v/>
      </c>
      <c r="AF102" s="291" t="str">
        <f t="shared" si="23"/>
        <v/>
      </c>
      <c r="AG102" s="1" t="str">
        <f>IF('Sch2a-Imp Price by ECM'!L103="","",'Sch2a-Imp Price by ECM'!L103)</f>
        <v/>
      </c>
    </row>
    <row r="103" spans="1:33" ht="17" thickBot="1">
      <c r="A103" s="290" t="str">
        <f>IF('Sch2a-Imp Price by ECM'!B104="","",'Sch2a-Imp Price by ECM'!B104)</f>
        <v/>
      </c>
      <c r="B103" s="71" t="str">
        <f>IF('Sch2a-Imp Price by ECM'!C104="","",'Sch2a-Imp Price by ECM'!C104)</f>
        <v/>
      </c>
      <c r="C103" s="120"/>
      <c r="D103" s="66"/>
      <c r="E103" s="66"/>
      <c r="F103" s="66"/>
      <c r="G103" s="66"/>
      <c r="H103" s="122"/>
      <c r="I103" s="66"/>
      <c r="J103" s="121"/>
      <c r="K103" s="121"/>
      <c r="L103" s="121"/>
      <c r="M103" s="116"/>
      <c r="N103" s="66"/>
      <c r="O103" s="121"/>
      <c r="P103" s="67"/>
      <c r="Q103" s="121"/>
      <c r="R103" s="67"/>
      <c r="S103" s="65"/>
      <c r="T103" s="67"/>
      <c r="U103" s="65"/>
      <c r="V103" s="64"/>
      <c r="W103" s="65"/>
      <c r="X103" s="161">
        <f t="shared" si="20"/>
        <v>0</v>
      </c>
      <c r="Y103" s="162">
        <f t="shared" si="21"/>
        <v>0</v>
      </c>
      <c r="Z103" s="67"/>
      <c r="AA103" s="65"/>
      <c r="AB103" s="65"/>
      <c r="AC103" s="65"/>
      <c r="AD103" s="123">
        <f t="shared" si="22"/>
        <v>0</v>
      </c>
      <c r="AE103" s="58" t="str">
        <f>'Sch2a-Imp Price by ECM'!K104</f>
        <v/>
      </c>
      <c r="AF103" s="291" t="str">
        <f t="shared" si="23"/>
        <v/>
      </c>
      <c r="AG103" s="1" t="str">
        <f>IF('Sch2a-Imp Price by ECM'!L104="","",'Sch2a-Imp Price by ECM'!L104)</f>
        <v/>
      </c>
    </row>
    <row r="104" spans="1:33" ht="17" thickBot="1">
      <c r="A104" s="290" t="str">
        <f>IF('Sch2a-Imp Price by ECM'!B105="","",'Sch2a-Imp Price by ECM'!B105)</f>
        <v/>
      </c>
      <c r="B104" s="71" t="str">
        <f>IF('Sch2a-Imp Price by ECM'!C105="","",'Sch2a-Imp Price by ECM'!C105)</f>
        <v/>
      </c>
      <c r="C104" s="120"/>
      <c r="D104" s="66"/>
      <c r="E104" s="66"/>
      <c r="F104" s="66"/>
      <c r="G104" s="66"/>
      <c r="H104" s="122"/>
      <c r="I104" s="66"/>
      <c r="J104" s="121"/>
      <c r="K104" s="121"/>
      <c r="L104" s="121"/>
      <c r="M104" s="116"/>
      <c r="N104" s="66"/>
      <c r="O104" s="121"/>
      <c r="P104" s="67"/>
      <c r="Q104" s="121"/>
      <c r="R104" s="67"/>
      <c r="S104" s="65"/>
      <c r="T104" s="67"/>
      <c r="U104" s="65"/>
      <c r="V104" s="64"/>
      <c r="W104" s="65"/>
      <c r="X104" s="161">
        <f t="shared" si="20"/>
        <v>0</v>
      </c>
      <c r="Y104" s="162">
        <f t="shared" si="21"/>
        <v>0</v>
      </c>
      <c r="Z104" s="67"/>
      <c r="AA104" s="65"/>
      <c r="AB104" s="65"/>
      <c r="AC104" s="65"/>
      <c r="AD104" s="123">
        <f t="shared" si="22"/>
        <v>0</v>
      </c>
      <c r="AE104" s="58" t="str">
        <f>'Sch2a-Imp Price by ECM'!K105</f>
        <v/>
      </c>
      <c r="AF104" s="291" t="str">
        <f t="shared" si="23"/>
        <v/>
      </c>
      <c r="AG104" s="1" t="str">
        <f>IF('Sch2a-Imp Price by ECM'!L105="","",'Sch2a-Imp Price by ECM'!L105)</f>
        <v/>
      </c>
    </row>
    <row r="105" spans="1:33" ht="17" thickBot="1">
      <c r="A105" s="290" t="str">
        <f>IF('Sch2a-Imp Price by ECM'!B106="","",'Sch2a-Imp Price by ECM'!B106)</f>
        <v/>
      </c>
      <c r="B105" s="71" t="str">
        <f>IF('Sch2a-Imp Price by ECM'!C106="","",'Sch2a-Imp Price by ECM'!C106)</f>
        <v/>
      </c>
      <c r="C105" s="120"/>
      <c r="D105" s="66"/>
      <c r="E105" s="66"/>
      <c r="F105" s="66"/>
      <c r="G105" s="66"/>
      <c r="H105" s="122"/>
      <c r="I105" s="66"/>
      <c r="J105" s="121"/>
      <c r="K105" s="121"/>
      <c r="L105" s="121"/>
      <c r="M105" s="116"/>
      <c r="N105" s="66"/>
      <c r="O105" s="121"/>
      <c r="P105" s="67"/>
      <c r="Q105" s="121"/>
      <c r="R105" s="67"/>
      <c r="S105" s="65"/>
      <c r="T105" s="67"/>
      <c r="U105" s="65"/>
      <c r="V105" s="64"/>
      <c r="W105" s="65"/>
      <c r="X105" s="161">
        <f t="shared" si="20"/>
        <v>0</v>
      </c>
      <c r="Y105" s="162">
        <f t="shared" si="21"/>
        <v>0</v>
      </c>
      <c r="Z105" s="67"/>
      <c r="AA105" s="65"/>
      <c r="AB105" s="65"/>
      <c r="AC105" s="65"/>
      <c r="AD105" s="123">
        <f t="shared" si="22"/>
        <v>0</v>
      </c>
      <c r="AE105" s="58" t="str">
        <f>'Sch2a-Imp Price by ECM'!K106</f>
        <v/>
      </c>
      <c r="AF105" s="291" t="str">
        <f t="shared" si="23"/>
        <v/>
      </c>
      <c r="AG105" s="1" t="str">
        <f>IF('Sch2a-Imp Price by ECM'!L106="","",'Sch2a-Imp Price by ECM'!L106)</f>
        <v/>
      </c>
    </row>
    <row r="106" spans="1:33" ht="17" thickBot="1">
      <c r="A106" s="290" t="str">
        <f>IF('Sch2a-Imp Price by ECM'!B107="","",'Sch2a-Imp Price by ECM'!B107)</f>
        <v/>
      </c>
      <c r="B106" s="71" t="str">
        <f>IF('Sch2a-Imp Price by ECM'!C107="","",'Sch2a-Imp Price by ECM'!C107)</f>
        <v/>
      </c>
      <c r="C106" s="120"/>
      <c r="D106" s="66"/>
      <c r="E106" s="66"/>
      <c r="F106" s="66"/>
      <c r="G106" s="66"/>
      <c r="H106" s="122"/>
      <c r="I106" s="66"/>
      <c r="J106" s="121"/>
      <c r="K106" s="121"/>
      <c r="L106" s="121"/>
      <c r="M106" s="116"/>
      <c r="N106" s="66"/>
      <c r="O106" s="121"/>
      <c r="P106" s="67"/>
      <c r="Q106" s="121"/>
      <c r="R106" s="67"/>
      <c r="S106" s="65"/>
      <c r="T106" s="67"/>
      <c r="U106" s="65"/>
      <c r="V106" s="64"/>
      <c r="W106" s="65"/>
      <c r="X106" s="161">
        <f t="shared" si="20"/>
        <v>0</v>
      </c>
      <c r="Y106" s="162">
        <f t="shared" si="21"/>
        <v>0</v>
      </c>
      <c r="Z106" s="67"/>
      <c r="AA106" s="65"/>
      <c r="AB106" s="65"/>
      <c r="AC106" s="65"/>
      <c r="AD106" s="123">
        <f t="shared" si="22"/>
        <v>0</v>
      </c>
      <c r="AE106" s="58" t="str">
        <f>'Sch2a-Imp Price by ECM'!K107</f>
        <v/>
      </c>
      <c r="AF106" s="291" t="str">
        <f t="shared" si="23"/>
        <v/>
      </c>
      <c r="AG106" s="1" t="str">
        <f>IF('Sch2a-Imp Price by ECM'!L107="","",'Sch2a-Imp Price by ECM'!L107)</f>
        <v/>
      </c>
    </row>
    <row r="107" spans="1:33" ht="17" thickBot="1">
      <c r="A107" s="290" t="str">
        <f>IF('Sch2a-Imp Price by ECM'!B108="","",'Sch2a-Imp Price by ECM'!B108)</f>
        <v/>
      </c>
      <c r="B107" s="71" t="str">
        <f>IF('Sch2a-Imp Price by ECM'!C108="","",'Sch2a-Imp Price by ECM'!C108)</f>
        <v/>
      </c>
      <c r="C107" s="120"/>
      <c r="D107" s="66"/>
      <c r="E107" s="66"/>
      <c r="F107" s="66"/>
      <c r="G107" s="66"/>
      <c r="H107" s="122"/>
      <c r="I107" s="66"/>
      <c r="J107" s="121"/>
      <c r="K107" s="121"/>
      <c r="L107" s="121"/>
      <c r="M107" s="116"/>
      <c r="N107" s="66"/>
      <c r="O107" s="121"/>
      <c r="P107" s="67"/>
      <c r="Q107" s="121"/>
      <c r="R107" s="67"/>
      <c r="S107" s="65"/>
      <c r="T107" s="67"/>
      <c r="U107" s="65"/>
      <c r="V107" s="64"/>
      <c r="W107" s="65"/>
      <c r="X107" s="161">
        <f t="shared" si="20"/>
        <v>0</v>
      </c>
      <c r="Y107" s="162">
        <f t="shared" si="21"/>
        <v>0</v>
      </c>
      <c r="Z107" s="67"/>
      <c r="AA107" s="65"/>
      <c r="AB107" s="65"/>
      <c r="AC107" s="65"/>
      <c r="AD107" s="123">
        <f t="shared" si="22"/>
        <v>0</v>
      </c>
      <c r="AE107" s="58" t="str">
        <f>'Sch2a-Imp Price by ECM'!K108</f>
        <v/>
      </c>
      <c r="AF107" s="291" t="str">
        <f t="shared" si="23"/>
        <v/>
      </c>
      <c r="AG107" s="1" t="str">
        <f>IF('Sch2a-Imp Price by ECM'!L108="","",'Sch2a-Imp Price by ECM'!L108)</f>
        <v/>
      </c>
    </row>
    <row r="108" spans="1:33" ht="17" thickBot="1">
      <c r="A108" s="290" t="str">
        <f>IF('Sch2a-Imp Price by ECM'!B109="","",'Sch2a-Imp Price by ECM'!B109)</f>
        <v/>
      </c>
      <c r="B108" s="71" t="str">
        <f>IF('Sch2a-Imp Price by ECM'!C109="","",'Sch2a-Imp Price by ECM'!C109)</f>
        <v/>
      </c>
      <c r="C108" s="120"/>
      <c r="D108" s="66"/>
      <c r="E108" s="66"/>
      <c r="F108" s="66"/>
      <c r="G108" s="66"/>
      <c r="H108" s="122"/>
      <c r="I108" s="66"/>
      <c r="J108" s="121"/>
      <c r="K108" s="121"/>
      <c r="L108" s="121"/>
      <c r="M108" s="116"/>
      <c r="N108" s="66"/>
      <c r="O108" s="121"/>
      <c r="P108" s="67"/>
      <c r="Q108" s="121"/>
      <c r="R108" s="67"/>
      <c r="S108" s="65"/>
      <c r="T108" s="67"/>
      <c r="U108" s="65"/>
      <c r="V108" s="64"/>
      <c r="W108" s="65"/>
      <c r="X108" s="161">
        <f t="shared" si="20"/>
        <v>0</v>
      </c>
      <c r="Y108" s="162">
        <f t="shared" si="21"/>
        <v>0</v>
      </c>
      <c r="Z108" s="67"/>
      <c r="AA108" s="65"/>
      <c r="AB108" s="65"/>
      <c r="AC108" s="65"/>
      <c r="AD108" s="123">
        <f t="shared" si="22"/>
        <v>0</v>
      </c>
      <c r="AE108" s="58" t="str">
        <f>'Sch2a-Imp Price by ECM'!K109</f>
        <v/>
      </c>
      <c r="AF108" s="291" t="str">
        <f t="shared" si="23"/>
        <v/>
      </c>
      <c r="AG108" s="1" t="str">
        <f>IF('Sch2a-Imp Price by ECM'!L109="","",'Sch2a-Imp Price by ECM'!L109)</f>
        <v/>
      </c>
    </row>
    <row r="109" spans="1:33" ht="17" thickBot="1">
      <c r="A109" s="290" t="str">
        <f>IF('Sch2a-Imp Price by ECM'!B110="","",'Sch2a-Imp Price by ECM'!B110)</f>
        <v/>
      </c>
      <c r="B109" s="71" t="str">
        <f>IF('Sch2a-Imp Price by ECM'!C110="","",'Sch2a-Imp Price by ECM'!C110)</f>
        <v/>
      </c>
      <c r="C109" s="120"/>
      <c r="D109" s="66"/>
      <c r="E109" s="66"/>
      <c r="F109" s="66"/>
      <c r="G109" s="66"/>
      <c r="H109" s="122"/>
      <c r="I109" s="66"/>
      <c r="J109" s="121"/>
      <c r="K109" s="121"/>
      <c r="L109" s="121"/>
      <c r="M109" s="116"/>
      <c r="N109" s="66"/>
      <c r="O109" s="121"/>
      <c r="P109" s="67"/>
      <c r="Q109" s="121"/>
      <c r="R109" s="67"/>
      <c r="S109" s="65"/>
      <c r="T109" s="67"/>
      <c r="U109" s="65"/>
      <c r="V109" s="64"/>
      <c r="W109" s="65"/>
      <c r="X109" s="161">
        <f t="shared" si="20"/>
        <v>0</v>
      </c>
      <c r="Y109" s="162">
        <f t="shared" si="21"/>
        <v>0</v>
      </c>
      <c r="Z109" s="67"/>
      <c r="AA109" s="65"/>
      <c r="AB109" s="65"/>
      <c r="AC109" s="65"/>
      <c r="AD109" s="123">
        <f t="shared" si="22"/>
        <v>0</v>
      </c>
      <c r="AE109" s="58" t="str">
        <f>'Sch2a-Imp Price by ECM'!K110</f>
        <v/>
      </c>
      <c r="AF109" s="291" t="str">
        <f t="shared" si="23"/>
        <v/>
      </c>
      <c r="AG109" s="1" t="str">
        <f>IF('Sch2a-Imp Price by ECM'!L110="","",'Sch2a-Imp Price by ECM'!L110)</f>
        <v/>
      </c>
    </row>
    <row r="110" spans="1:33" ht="17" thickBot="1">
      <c r="A110" s="290" t="str">
        <f>IF('Sch2a-Imp Price by ECM'!B111="","",'Sch2a-Imp Price by ECM'!B111)</f>
        <v/>
      </c>
      <c r="B110" s="71" t="str">
        <f>IF('Sch2a-Imp Price by ECM'!C111="","",'Sch2a-Imp Price by ECM'!C111)</f>
        <v/>
      </c>
      <c r="C110" s="120"/>
      <c r="D110" s="66"/>
      <c r="E110" s="66"/>
      <c r="F110" s="66"/>
      <c r="G110" s="66"/>
      <c r="H110" s="122"/>
      <c r="I110" s="66"/>
      <c r="J110" s="121"/>
      <c r="K110" s="121"/>
      <c r="L110" s="121"/>
      <c r="M110" s="116"/>
      <c r="N110" s="66"/>
      <c r="O110" s="121"/>
      <c r="P110" s="67"/>
      <c r="Q110" s="121"/>
      <c r="R110" s="67"/>
      <c r="S110" s="65"/>
      <c r="T110" s="67"/>
      <c r="U110" s="65"/>
      <c r="V110" s="64"/>
      <c r="W110" s="65"/>
      <c r="X110" s="161">
        <f t="shared" si="20"/>
        <v>0</v>
      </c>
      <c r="Y110" s="162">
        <f t="shared" si="21"/>
        <v>0</v>
      </c>
      <c r="Z110" s="67"/>
      <c r="AA110" s="65"/>
      <c r="AB110" s="65"/>
      <c r="AC110" s="65"/>
      <c r="AD110" s="123">
        <f t="shared" si="22"/>
        <v>0</v>
      </c>
      <c r="AE110" s="58" t="str">
        <f>'Sch2a-Imp Price by ECM'!K111</f>
        <v/>
      </c>
      <c r="AF110" s="291" t="str">
        <f t="shared" si="23"/>
        <v/>
      </c>
      <c r="AG110" s="1" t="str">
        <f>IF('Sch2a-Imp Price by ECM'!L111="","",'Sch2a-Imp Price by ECM'!L111)</f>
        <v/>
      </c>
    </row>
    <row r="111" spans="1:33" ht="17" thickBot="1">
      <c r="A111" s="290" t="str">
        <f>IF('Sch2a-Imp Price by ECM'!B112="","",'Sch2a-Imp Price by ECM'!B112)</f>
        <v/>
      </c>
      <c r="B111" s="71" t="str">
        <f>IF('Sch2a-Imp Price by ECM'!C112="","",'Sch2a-Imp Price by ECM'!C112)</f>
        <v/>
      </c>
      <c r="C111" s="120"/>
      <c r="D111" s="66"/>
      <c r="E111" s="66"/>
      <c r="F111" s="66"/>
      <c r="G111" s="66"/>
      <c r="H111" s="122"/>
      <c r="I111" s="66"/>
      <c r="J111" s="121"/>
      <c r="K111" s="121"/>
      <c r="L111" s="121"/>
      <c r="M111" s="116"/>
      <c r="N111" s="66"/>
      <c r="O111" s="121"/>
      <c r="P111" s="67"/>
      <c r="Q111" s="121"/>
      <c r="R111" s="67"/>
      <c r="S111" s="65"/>
      <c r="T111" s="67"/>
      <c r="U111" s="65"/>
      <c r="V111" s="64"/>
      <c r="W111" s="65"/>
      <c r="X111" s="161">
        <f t="shared" si="20"/>
        <v>0</v>
      </c>
      <c r="Y111" s="162">
        <f t="shared" si="21"/>
        <v>0</v>
      </c>
      <c r="Z111" s="67"/>
      <c r="AA111" s="65"/>
      <c r="AB111" s="65"/>
      <c r="AC111" s="65"/>
      <c r="AD111" s="123">
        <f t="shared" si="22"/>
        <v>0</v>
      </c>
      <c r="AE111" s="58" t="str">
        <f>'Sch2a-Imp Price by ECM'!K112</f>
        <v/>
      </c>
      <c r="AF111" s="291" t="str">
        <f t="shared" si="23"/>
        <v/>
      </c>
      <c r="AG111" s="1" t="str">
        <f>IF('Sch2a-Imp Price by ECM'!L112="","",'Sch2a-Imp Price by ECM'!L112)</f>
        <v/>
      </c>
    </row>
    <row r="112" spans="1:33" ht="17" thickBot="1">
      <c r="A112" s="290" t="str">
        <f>IF('Sch2a-Imp Price by ECM'!B113="","",'Sch2a-Imp Price by ECM'!B113)</f>
        <v/>
      </c>
      <c r="B112" s="71" t="str">
        <f>IF('Sch2a-Imp Price by ECM'!C113="","",'Sch2a-Imp Price by ECM'!C113)</f>
        <v/>
      </c>
      <c r="C112" s="120"/>
      <c r="D112" s="66"/>
      <c r="E112" s="66"/>
      <c r="F112" s="66"/>
      <c r="G112" s="66"/>
      <c r="H112" s="122"/>
      <c r="I112" s="66"/>
      <c r="J112" s="121"/>
      <c r="K112" s="121"/>
      <c r="L112" s="121"/>
      <c r="M112" s="116"/>
      <c r="N112" s="66"/>
      <c r="O112" s="121"/>
      <c r="P112" s="67"/>
      <c r="Q112" s="121"/>
      <c r="R112" s="67"/>
      <c r="S112" s="65"/>
      <c r="T112" s="67"/>
      <c r="U112" s="65"/>
      <c r="V112" s="64"/>
      <c r="W112" s="65"/>
      <c r="X112" s="161">
        <f t="shared" si="20"/>
        <v>0</v>
      </c>
      <c r="Y112" s="162">
        <f t="shared" si="21"/>
        <v>0</v>
      </c>
      <c r="Z112" s="67"/>
      <c r="AA112" s="65"/>
      <c r="AB112" s="65"/>
      <c r="AC112" s="65"/>
      <c r="AD112" s="123">
        <f t="shared" si="22"/>
        <v>0</v>
      </c>
      <c r="AE112" s="58" t="str">
        <f>'Sch2a-Imp Price by ECM'!K113</f>
        <v/>
      </c>
      <c r="AF112" s="291" t="str">
        <f t="shared" si="23"/>
        <v/>
      </c>
      <c r="AG112" s="1" t="str">
        <f>IF('Sch2a-Imp Price by ECM'!L113="","",'Sch2a-Imp Price by ECM'!L113)</f>
        <v/>
      </c>
    </row>
    <row r="113" spans="1:33" ht="17" thickBot="1">
      <c r="A113" s="290" t="str">
        <f>IF('Sch2a-Imp Price by ECM'!B114="","",'Sch2a-Imp Price by ECM'!B114)</f>
        <v/>
      </c>
      <c r="B113" s="71" t="str">
        <f>IF('Sch2a-Imp Price by ECM'!C114="","",'Sch2a-Imp Price by ECM'!C114)</f>
        <v/>
      </c>
      <c r="C113" s="120"/>
      <c r="D113" s="66"/>
      <c r="E113" s="66"/>
      <c r="F113" s="66"/>
      <c r="G113" s="66"/>
      <c r="H113" s="122"/>
      <c r="I113" s="66"/>
      <c r="J113" s="121"/>
      <c r="K113" s="121"/>
      <c r="L113" s="121"/>
      <c r="M113" s="116"/>
      <c r="N113" s="66"/>
      <c r="O113" s="121"/>
      <c r="P113" s="67"/>
      <c r="Q113" s="121"/>
      <c r="R113" s="67"/>
      <c r="S113" s="65"/>
      <c r="T113" s="67"/>
      <c r="U113" s="65"/>
      <c r="V113" s="64"/>
      <c r="W113" s="65"/>
      <c r="X113" s="161">
        <f t="shared" si="20"/>
        <v>0</v>
      </c>
      <c r="Y113" s="162">
        <f t="shared" si="21"/>
        <v>0</v>
      </c>
      <c r="Z113" s="67"/>
      <c r="AA113" s="65"/>
      <c r="AB113" s="65"/>
      <c r="AC113" s="65"/>
      <c r="AD113" s="123">
        <f t="shared" si="22"/>
        <v>0</v>
      </c>
      <c r="AE113" s="58" t="str">
        <f>'Sch2a-Imp Price by ECM'!K114</f>
        <v/>
      </c>
      <c r="AF113" s="291" t="str">
        <f t="shared" si="23"/>
        <v/>
      </c>
      <c r="AG113" s="1" t="str">
        <f>IF('Sch2a-Imp Price by ECM'!L114="","",'Sch2a-Imp Price by ECM'!L114)</f>
        <v/>
      </c>
    </row>
    <row r="114" spans="1:33" ht="17" thickBot="1">
      <c r="A114" s="290" t="str">
        <f>IF('Sch2a-Imp Price by ECM'!B115="","",'Sch2a-Imp Price by ECM'!B115)</f>
        <v/>
      </c>
      <c r="B114" s="71" t="str">
        <f>IF('Sch2a-Imp Price by ECM'!C115="","",'Sch2a-Imp Price by ECM'!C115)</f>
        <v/>
      </c>
      <c r="C114" s="120"/>
      <c r="D114" s="66"/>
      <c r="E114" s="66"/>
      <c r="F114" s="66"/>
      <c r="G114" s="66"/>
      <c r="H114" s="122"/>
      <c r="I114" s="66"/>
      <c r="J114" s="121"/>
      <c r="K114" s="121"/>
      <c r="L114" s="121"/>
      <c r="M114" s="122"/>
      <c r="N114" s="66"/>
      <c r="O114" s="121"/>
      <c r="P114" s="67"/>
      <c r="Q114" s="121"/>
      <c r="R114" s="67"/>
      <c r="S114" s="65"/>
      <c r="T114" s="67"/>
      <c r="U114" s="65"/>
      <c r="V114" s="64"/>
      <c r="W114" s="65"/>
      <c r="X114" s="161">
        <f t="shared" ref="X114:X134" si="24">(N114*3412/10^6)+R114+T114+V114</f>
        <v>0</v>
      </c>
      <c r="Y114" s="162">
        <f t="shared" ref="Y114:Y134" si="25">O114+Q114+U114+W114+S114</f>
        <v>0</v>
      </c>
      <c r="Z114" s="67"/>
      <c r="AA114" s="65"/>
      <c r="AB114" s="65"/>
      <c r="AC114" s="65"/>
      <c r="AD114" s="123">
        <f t="shared" ref="AD114:AD134" si="26">Y114+AA114+AB114+AC114</f>
        <v>0</v>
      </c>
      <c r="AE114" s="58" t="str">
        <f>'Sch2a-Imp Price by ECM'!K115</f>
        <v/>
      </c>
      <c r="AF114" s="291" t="str">
        <f t="shared" ref="AF114:AF134" si="27">IF(AD114=0,"",AE114/AD114)</f>
        <v/>
      </c>
      <c r="AG114" s="1" t="str">
        <f>IF('Sch2a-Imp Price by ECM'!L115="","",'Sch2a-Imp Price by ECM'!L115)</f>
        <v/>
      </c>
    </row>
    <row r="115" spans="1:33" ht="17" thickBot="1">
      <c r="A115" s="290" t="str">
        <f>IF('Sch2a-Imp Price by ECM'!B116="","",'Sch2a-Imp Price by ECM'!B116)</f>
        <v/>
      </c>
      <c r="B115" s="71" t="str">
        <f>IF('Sch2a-Imp Price by ECM'!C116="","",'Sch2a-Imp Price by ECM'!C116)</f>
        <v/>
      </c>
      <c r="C115" s="120"/>
      <c r="D115" s="66"/>
      <c r="E115" s="66"/>
      <c r="F115" s="66"/>
      <c r="G115" s="66"/>
      <c r="H115" s="122"/>
      <c r="I115" s="66"/>
      <c r="J115" s="121"/>
      <c r="K115" s="121"/>
      <c r="L115" s="121"/>
      <c r="M115" s="122"/>
      <c r="N115" s="66"/>
      <c r="O115" s="121"/>
      <c r="P115" s="67"/>
      <c r="Q115" s="121"/>
      <c r="R115" s="67"/>
      <c r="S115" s="65"/>
      <c r="T115" s="67"/>
      <c r="U115" s="65"/>
      <c r="V115" s="64"/>
      <c r="W115" s="65"/>
      <c r="X115" s="161">
        <f t="shared" si="24"/>
        <v>0</v>
      </c>
      <c r="Y115" s="162">
        <f t="shared" si="25"/>
        <v>0</v>
      </c>
      <c r="Z115" s="67"/>
      <c r="AA115" s="65"/>
      <c r="AB115" s="65"/>
      <c r="AC115" s="65"/>
      <c r="AD115" s="123">
        <f t="shared" si="26"/>
        <v>0</v>
      </c>
      <c r="AE115" s="58" t="str">
        <f>'Sch2a-Imp Price by ECM'!K116</f>
        <v/>
      </c>
      <c r="AF115" s="291" t="str">
        <f t="shared" si="27"/>
        <v/>
      </c>
      <c r="AG115" s="1" t="str">
        <f>IF('Sch2a-Imp Price by ECM'!L116="","",'Sch2a-Imp Price by ECM'!L116)</f>
        <v/>
      </c>
    </row>
    <row r="116" spans="1:33" ht="17" thickBot="1">
      <c r="A116" s="290" t="str">
        <f>IF('Sch2a-Imp Price by ECM'!B117="","",'Sch2a-Imp Price by ECM'!B117)</f>
        <v/>
      </c>
      <c r="B116" s="71" t="str">
        <f>IF('Sch2a-Imp Price by ECM'!C117="","",'Sch2a-Imp Price by ECM'!C117)</f>
        <v/>
      </c>
      <c r="C116" s="120"/>
      <c r="D116" s="66"/>
      <c r="E116" s="66"/>
      <c r="F116" s="66"/>
      <c r="G116" s="66"/>
      <c r="H116" s="122"/>
      <c r="I116" s="66"/>
      <c r="J116" s="121"/>
      <c r="K116" s="121"/>
      <c r="L116" s="121"/>
      <c r="M116" s="122"/>
      <c r="N116" s="66"/>
      <c r="O116" s="121"/>
      <c r="P116" s="67"/>
      <c r="Q116" s="121"/>
      <c r="R116" s="67"/>
      <c r="S116" s="65"/>
      <c r="T116" s="67"/>
      <c r="U116" s="65"/>
      <c r="V116" s="64"/>
      <c r="W116" s="65"/>
      <c r="X116" s="161">
        <f t="shared" si="24"/>
        <v>0</v>
      </c>
      <c r="Y116" s="162">
        <f t="shared" si="25"/>
        <v>0</v>
      </c>
      <c r="Z116" s="67"/>
      <c r="AA116" s="65"/>
      <c r="AB116" s="65"/>
      <c r="AC116" s="65"/>
      <c r="AD116" s="123">
        <f t="shared" si="26"/>
        <v>0</v>
      </c>
      <c r="AE116" s="58" t="str">
        <f>'Sch2a-Imp Price by ECM'!K117</f>
        <v/>
      </c>
      <c r="AF116" s="291" t="str">
        <f t="shared" si="27"/>
        <v/>
      </c>
      <c r="AG116" s="1" t="str">
        <f>IF('Sch2a-Imp Price by ECM'!L117="","",'Sch2a-Imp Price by ECM'!L117)</f>
        <v/>
      </c>
    </row>
    <row r="117" spans="1:33" ht="17" thickBot="1">
      <c r="A117" s="290" t="str">
        <f>IF('Sch2a-Imp Price by ECM'!B118="","",'Sch2a-Imp Price by ECM'!B118)</f>
        <v/>
      </c>
      <c r="B117" s="71" t="str">
        <f>IF('Sch2a-Imp Price by ECM'!C118="","",'Sch2a-Imp Price by ECM'!C118)</f>
        <v/>
      </c>
      <c r="C117" s="120"/>
      <c r="D117" s="66"/>
      <c r="E117" s="66"/>
      <c r="F117" s="66"/>
      <c r="G117" s="66"/>
      <c r="H117" s="122"/>
      <c r="I117" s="66"/>
      <c r="J117" s="121"/>
      <c r="K117" s="121"/>
      <c r="L117" s="121"/>
      <c r="M117" s="122"/>
      <c r="N117" s="66"/>
      <c r="O117" s="121"/>
      <c r="P117" s="67"/>
      <c r="Q117" s="121"/>
      <c r="R117" s="67"/>
      <c r="S117" s="65"/>
      <c r="T117" s="67"/>
      <c r="U117" s="65"/>
      <c r="V117" s="64"/>
      <c r="W117" s="65"/>
      <c r="X117" s="161">
        <f t="shared" si="24"/>
        <v>0</v>
      </c>
      <c r="Y117" s="162">
        <f t="shared" si="25"/>
        <v>0</v>
      </c>
      <c r="Z117" s="67"/>
      <c r="AA117" s="65"/>
      <c r="AB117" s="65"/>
      <c r="AC117" s="65"/>
      <c r="AD117" s="123">
        <f t="shared" si="26"/>
        <v>0</v>
      </c>
      <c r="AE117" s="58" t="str">
        <f>'Sch2a-Imp Price by ECM'!K118</f>
        <v/>
      </c>
      <c r="AF117" s="291" t="str">
        <f t="shared" si="27"/>
        <v/>
      </c>
      <c r="AG117" s="1" t="str">
        <f>IF('Sch2a-Imp Price by ECM'!L118="","",'Sch2a-Imp Price by ECM'!L118)</f>
        <v/>
      </c>
    </row>
    <row r="118" spans="1:33" ht="18" customHeight="1" thickBot="1">
      <c r="A118" s="290" t="str">
        <f>IF('Sch2a-Imp Price by ECM'!B119="","",'Sch2a-Imp Price by ECM'!B119)</f>
        <v/>
      </c>
      <c r="B118" s="71" t="str">
        <f>IF('Sch2a-Imp Price by ECM'!C119="","",'Sch2a-Imp Price by ECM'!C119)</f>
        <v/>
      </c>
      <c r="C118" s="120"/>
      <c r="D118" s="66"/>
      <c r="E118" s="66"/>
      <c r="F118" s="66"/>
      <c r="G118" s="66"/>
      <c r="H118" s="122"/>
      <c r="I118" s="66"/>
      <c r="J118" s="121"/>
      <c r="K118" s="121"/>
      <c r="L118" s="121"/>
      <c r="M118" s="122"/>
      <c r="N118" s="66"/>
      <c r="O118" s="121"/>
      <c r="P118" s="67"/>
      <c r="Q118" s="121"/>
      <c r="R118" s="67"/>
      <c r="S118" s="65"/>
      <c r="T118" s="67"/>
      <c r="U118" s="65"/>
      <c r="V118" s="64"/>
      <c r="W118" s="65"/>
      <c r="X118" s="161">
        <f t="shared" si="24"/>
        <v>0</v>
      </c>
      <c r="Y118" s="162">
        <f t="shared" si="25"/>
        <v>0</v>
      </c>
      <c r="Z118" s="67"/>
      <c r="AA118" s="65"/>
      <c r="AB118" s="65"/>
      <c r="AC118" s="65"/>
      <c r="AD118" s="123">
        <f t="shared" si="26"/>
        <v>0</v>
      </c>
      <c r="AE118" s="58" t="str">
        <f>'Sch2a-Imp Price by ECM'!K119</f>
        <v/>
      </c>
      <c r="AF118" s="291" t="str">
        <f t="shared" si="27"/>
        <v/>
      </c>
      <c r="AG118" s="1" t="str">
        <f>IF('Sch2a-Imp Price by ECM'!L119="","",'Sch2a-Imp Price by ECM'!L119)</f>
        <v/>
      </c>
    </row>
    <row r="119" spans="1:33" ht="17" thickBot="1">
      <c r="A119" s="290" t="str">
        <f>IF('Sch2a-Imp Price by ECM'!B120="","",'Sch2a-Imp Price by ECM'!B120)</f>
        <v/>
      </c>
      <c r="B119" s="71" t="str">
        <f>IF('Sch2a-Imp Price by ECM'!C120="","",'Sch2a-Imp Price by ECM'!C120)</f>
        <v/>
      </c>
      <c r="C119" s="120"/>
      <c r="D119" s="66"/>
      <c r="E119" s="66"/>
      <c r="F119" s="66"/>
      <c r="G119" s="66"/>
      <c r="H119" s="122"/>
      <c r="I119" s="66"/>
      <c r="J119" s="121"/>
      <c r="K119" s="121"/>
      <c r="L119" s="121"/>
      <c r="M119" s="122"/>
      <c r="N119" s="66"/>
      <c r="O119" s="121"/>
      <c r="P119" s="67"/>
      <c r="Q119" s="121"/>
      <c r="R119" s="67"/>
      <c r="S119" s="65"/>
      <c r="T119" s="67"/>
      <c r="U119" s="65"/>
      <c r="V119" s="64"/>
      <c r="W119" s="65"/>
      <c r="X119" s="161">
        <f t="shared" si="24"/>
        <v>0</v>
      </c>
      <c r="Y119" s="162">
        <f t="shared" si="25"/>
        <v>0</v>
      </c>
      <c r="Z119" s="67"/>
      <c r="AA119" s="65"/>
      <c r="AB119" s="65"/>
      <c r="AC119" s="65"/>
      <c r="AD119" s="123">
        <f t="shared" si="26"/>
        <v>0</v>
      </c>
      <c r="AE119" s="58" t="str">
        <f>'Sch2a-Imp Price by ECM'!K120</f>
        <v/>
      </c>
      <c r="AF119" s="291" t="str">
        <f t="shared" si="27"/>
        <v/>
      </c>
      <c r="AG119" s="1" t="str">
        <f>IF('Sch2a-Imp Price by ECM'!L120="","",'Sch2a-Imp Price by ECM'!L120)</f>
        <v/>
      </c>
    </row>
    <row r="120" spans="1:33" ht="17" thickBot="1">
      <c r="A120" s="290" t="str">
        <f>IF('Sch2a-Imp Price by ECM'!B121="","",'Sch2a-Imp Price by ECM'!B121)</f>
        <v/>
      </c>
      <c r="B120" s="71" t="str">
        <f>IF('Sch2a-Imp Price by ECM'!C121="","",'Sch2a-Imp Price by ECM'!C121)</f>
        <v/>
      </c>
      <c r="C120" s="120"/>
      <c r="D120" s="66"/>
      <c r="E120" s="66"/>
      <c r="F120" s="66"/>
      <c r="G120" s="66"/>
      <c r="H120" s="122"/>
      <c r="I120" s="66"/>
      <c r="J120" s="121"/>
      <c r="K120" s="121"/>
      <c r="L120" s="121"/>
      <c r="M120" s="122"/>
      <c r="N120" s="66"/>
      <c r="O120" s="121"/>
      <c r="P120" s="67"/>
      <c r="Q120" s="121"/>
      <c r="R120" s="67"/>
      <c r="S120" s="65"/>
      <c r="T120" s="67"/>
      <c r="U120" s="65"/>
      <c r="V120" s="64"/>
      <c r="W120" s="65"/>
      <c r="X120" s="161">
        <f t="shared" si="24"/>
        <v>0</v>
      </c>
      <c r="Y120" s="162">
        <f t="shared" si="25"/>
        <v>0</v>
      </c>
      <c r="Z120" s="67"/>
      <c r="AA120" s="65"/>
      <c r="AB120" s="65"/>
      <c r="AC120" s="65"/>
      <c r="AD120" s="123">
        <f t="shared" si="26"/>
        <v>0</v>
      </c>
      <c r="AE120" s="58" t="str">
        <f>'Sch2a-Imp Price by ECM'!K121</f>
        <v/>
      </c>
      <c r="AF120" s="291" t="str">
        <f t="shared" si="27"/>
        <v/>
      </c>
      <c r="AG120" s="1" t="str">
        <f>IF('Sch2a-Imp Price by ECM'!L121="","",'Sch2a-Imp Price by ECM'!L121)</f>
        <v/>
      </c>
    </row>
    <row r="121" spans="1:33" ht="17" thickBot="1">
      <c r="A121" s="290" t="str">
        <f>IF('Sch2a-Imp Price by ECM'!B122="","",'Sch2a-Imp Price by ECM'!B122)</f>
        <v/>
      </c>
      <c r="B121" s="71" t="str">
        <f>IF('Sch2a-Imp Price by ECM'!C122="","",'Sch2a-Imp Price by ECM'!C122)</f>
        <v/>
      </c>
      <c r="C121" s="120"/>
      <c r="D121" s="66"/>
      <c r="E121" s="66"/>
      <c r="F121" s="66"/>
      <c r="G121" s="66"/>
      <c r="H121" s="122"/>
      <c r="I121" s="66"/>
      <c r="J121" s="121"/>
      <c r="K121" s="121"/>
      <c r="L121" s="121"/>
      <c r="M121" s="116"/>
      <c r="N121" s="66"/>
      <c r="O121" s="121"/>
      <c r="P121" s="67"/>
      <c r="Q121" s="121"/>
      <c r="R121" s="67"/>
      <c r="S121" s="65"/>
      <c r="T121" s="67"/>
      <c r="U121" s="65"/>
      <c r="V121" s="64"/>
      <c r="W121" s="65"/>
      <c r="X121" s="161">
        <f t="shared" si="24"/>
        <v>0</v>
      </c>
      <c r="Y121" s="162">
        <f t="shared" si="25"/>
        <v>0</v>
      </c>
      <c r="Z121" s="67"/>
      <c r="AA121" s="65"/>
      <c r="AB121" s="65"/>
      <c r="AC121" s="65"/>
      <c r="AD121" s="123">
        <f t="shared" si="26"/>
        <v>0</v>
      </c>
      <c r="AE121" s="58" t="str">
        <f>'Sch2a-Imp Price by ECM'!K122</f>
        <v/>
      </c>
      <c r="AF121" s="291" t="str">
        <f t="shared" si="27"/>
        <v/>
      </c>
      <c r="AG121" s="1" t="str">
        <f>IF('Sch2a-Imp Price by ECM'!L122="","",'Sch2a-Imp Price by ECM'!L122)</f>
        <v/>
      </c>
    </row>
    <row r="122" spans="1:33" ht="17" thickBot="1">
      <c r="A122" s="290" t="str">
        <f>IF('Sch2a-Imp Price by ECM'!B123="","",'Sch2a-Imp Price by ECM'!B123)</f>
        <v/>
      </c>
      <c r="B122" s="71" t="str">
        <f>IF('Sch2a-Imp Price by ECM'!C123="","",'Sch2a-Imp Price by ECM'!C123)</f>
        <v/>
      </c>
      <c r="C122" s="120"/>
      <c r="D122" s="66"/>
      <c r="E122" s="66"/>
      <c r="F122" s="66"/>
      <c r="G122" s="66"/>
      <c r="H122" s="122"/>
      <c r="I122" s="66"/>
      <c r="J122" s="121"/>
      <c r="K122" s="121"/>
      <c r="L122" s="121"/>
      <c r="M122" s="116"/>
      <c r="N122" s="66"/>
      <c r="O122" s="121"/>
      <c r="P122" s="67"/>
      <c r="Q122" s="121"/>
      <c r="R122" s="67"/>
      <c r="S122" s="65"/>
      <c r="T122" s="67"/>
      <c r="U122" s="65"/>
      <c r="V122" s="64"/>
      <c r="W122" s="65"/>
      <c r="X122" s="161">
        <f t="shared" si="24"/>
        <v>0</v>
      </c>
      <c r="Y122" s="162">
        <f t="shared" si="25"/>
        <v>0</v>
      </c>
      <c r="Z122" s="67"/>
      <c r="AA122" s="65"/>
      <c r="AB122" s="65"/>
      <c r="AC122" s="65"/>
      <c r="AD122" s="123">
        <f t="shared" si="26"/>
        <v>0</v>
      </c>
      <c r="AE122" s="58" t="str">
        <f>'Sch2a-Imp Price by ECM'!K123</f>
        <v/>
      </c>
      <c r="AF122" s="291" t="str">
        <f t="shared" si="27"/>
        <v/>
      </c>
      <c r="AG122" s="1" t="str">
        <f>IF('Sch2a-Imp Price by ECM'!L123="","",'Sch2a-Imp Price by ECM'!L123)</f>
        <v/>
      </c>
    </row>
    <row r="123" spans="1:33" ht="17" thickBot="1">
      <c r="A123" s="290" t="str">
        <f>IF('Sch2a-Imp Price by ECM'!B124="","",'Sch2a-Imp Price by ECM'!B124)</f>
        <v/>
      </c>
      <c r="B123" s="71" t="str">
        <f>IF('Sch2a-Imp Price by ECM'!C124="","",'Sch2a-Imp Price by ECM'!C124)</f>
        <v/>
      </c>
      <c r="C123" s="120"/>
      <c r="D123" s="66"/>
      <c r="E123" s="66"/>
      <c r="F123" s="66"/>
      <c r="G123" s="66"/>
      <c r="H123" s="122"/>
      <c r="I123" s="66"/>
      <c r="J123" s="121"/>
      <c r="K123" s="121"/>
      <c r="L123" s="121"/>
      <c r="M123" s="116"/>
      <c r="N123" s="66"/>
      <c r="O123" s="121"/>
      <c r="P123" s="67"/>
      <c r="Q123" s="121"/>
      <c r="R123" s="67"/>
      <c r="S123" s="65"/>
      <c r="T123" s="67"/>
      <c r="U123" s="65"/>
      <c r="V123" s="64"/>
      <c r="W123" s="65"/>
      <c r="X123" s="161">
        <f t="shared" si="24"/>
        <v>0</v>
      </c>
      <c r="Y123" s="162">
        <f t="shared" si="25"/>
        <v>0</v>
      </c>
      <c r="Z123" s="67"/>
      <c r="AA123" s="65"/>
      <c r="AB123" s="65"/>
      <c r="AC123" s="65"/>
      <c r="AD123" s="123">
        <f t="shared" si="26"/>
        <v>0</v>
      </c>
      <c r="AE123" s="58" t="str">
        <f>'Sch2a-Imp Price by ECM'!K124</f>
        <v/>
      </c>
      <c r="AF123" s="291" t="str">
        <f t="shared" si="27"/>
        <v/>
      </c>
      <c r="AG123" s="1" t="str">
        <f>IF('Sch2a-Imp Price by ECM'!L124="","",'Sch2a-Imp Price by ECM'!L124)</f>
        <v/>
      </c>
    </row>
    <row r="124" spans="1:33" ht="17" thickBot="1">
      <c r="A124" s="290" t="str">
        <f>IF('Sch2a-Imp Price by ECM'!B125="","",'Sch2a-Imp Price by ECM'!B125)</f>
        <v/>
      </c>
      <c r="B124" s="71" t="str">
        <f>IF('Sch2a-Imp Price by ECM'!C125="","",'Sch2a-Imp Price by ECM'!C125)</f>
        <v/>
      </c>
      <c r="C124" s="120"/>
      <c r="D124" s="66"/>
      <c r="E124" s="66"/>
      <c r="F124" s="66"/>
      <c r="G124" s="66"/>
      <c r="H124" s="122"/>
      <c r="I124" s="66"/>
      <c r="J124" s="121"/>
      <c r="K124" s="121"/>
      <c r="L124" s="121"/>
      <c r="M124" s="116"/>
      <c r="N124" s="66"/>
      <c r="O124" s="121"/>
      <c r="P124" s="67"/>
      <c r="Q124" s="121"/>
      <c r="R124" s="67"/>
      <c r="S124" s="65"/>
      <c r="T124" s="67"/>
      <c r="U124" s="65"/>
      <c r="V124" s="64"/>
      <c r="W124" s="65"/>
      <c r="X124" s="161">
        <f t="shared" si="24"/>
        <v>0</v>
      </c>
      <c r="Y124" s="162">
        <f t="shared" si="25"/>
        <v>0</v>
      </c>
      <c r="Z124" s="67"/>
      <c r="AA124" s="65"/>
      <c r="AB124" s="65"/>
      <c r="AC124" s="65"/>
      <c r="AD124" s="123">
        <f t="shared" si="26"/>
        <v>0</v>
      </c>
      <c r="AE124" s="58" t="str">
        <f>'Sch2a-Imp Price by ECM'!K125</f>
        <v/>
      </c>
      <c r="AF124" s="291" t="str">
        <f t="shared" si="27"/>
        <v/>
      </c>
      <c r="AG124" s="1" t="str">
        <f>IF('Sch2a-Imp Price by ECM'!L125="","",'Sch2a-Imp Price by ECM'!L125)</f>
        <v/>
      </c>
    </row>
    <row r="125" spans="1:33" ht="17" thickBot="1">
      <c r="A125" s="290" t="str">
        <f>IF('Sch2a-Imp Price by ECM'!B126="","",'Sch2a-Imp Price by ECM'!B126)</f>
        <v/>
      </c>
      <c r="B125" s="71" t="str">
        <f>IF('Sch2a-Imp Price by ECM'!C126="","",'Sch2a-Imp Price by ECM'!C126)</f>
        <v/>
      </c>
      <c r="C125" s="120"/>
      <c r="D125" s="66"/>
      <c r="E125" s="66"/>
      <c r="F125" s="66"/>
      <c r="G125" s="66"/>
      <c r="H125" s="122"/>
      <c r="I125" s="66"/>
      <c r="J125" s="121"/>
      <c r="K125" s="121"/>
      <c r="L125" s="121"/>
      <c r="M125" s="116"/>
      <c r="N125" s="66"/>
      <c r="O125" s="121"/>
      <c r="P125" s="67"/>
      <c r="Q125" s="121"/>
      <c r="R125" s="67"/>
      <c r="S125" s="65"/>
      <c r="T125" s="67"/>
      <c r="U125" s="65"/>
      <c r="V125" s="64"/>
      <c r="W125" s="65"/>
      <c r="X125" s="161">
        <f t="shared" si="24"/>
        <v>0</v>
      </c>
      <c r="Y125" s="162">
        <f t="shared" si="25"/>
        <v>0</v>
      </c>
      <c r="Z125" s="67"/>
      <c r="AA125" s="65"/>
      <c r="AB125" s="65"/>
      <c r="AC125" s="65"/>
      <c r="AD125" s="123">
        <f t="shared" si="26"/>
        <v>0</v>
      </c>
      <c r="AE125" s="58" t="str">
        <f>'Sch2a-Imp Price by ECM'!K126</f>
        <v/>
      </c>
      <c r="AF125" s="291" t="str">
        <f t="shared" si="27"/>
        <v/>
      </c>
      <c r="AG125" s="1" t="str">
        <f>IF('Sch2a-Imp Price by ECM'!L126="","",'Sch2a-Imp Price by ECM'!L126)</f>
        <v/>
      </c>
    </row>
    <row r="126" spans="1:33" ht="17" thickBot="1">
      <c r="A126" s="290" t="str">
        <f>IF('Sch2a-Imp Price by ECM'!B127="","",'Sch2a-Imp Price by ECM'!B127)</f>
        <v/>
      </c>
      <c r="B126" s="71" t="str">
        <f>IF('Sch2a-Imp Price by ECM'!C127="","",'Sch2a-Imp Price by ECM'!C127)</f>
        <v/>
      </c>
      <c r="C126" s="120"/>
      <c r="D126" s="66"/>
      <c r="E126" s="66"/>
      <c r="F126" s="66"/>
      <c r="G126" s="66"/>
      <c r="H126" s="122"/>
      <c r="I126" s="66"/>
      <c r="J126" s="121"/>
      <c r="K126" s="121"/>
      <c r="L126" s="121"/>
      <c r="M126" s="116"/>
      <c r="N126" s="66"/>
      <c r="O126" s="121"/>
      <c r="P126" s="67"/>
      <c r="Q126" s="121"/>
      <c r="R126" s="67"/>
      <c r="S126" s="65"/>
      <c r="T126" s="67"/>
      <c r="U126" s="65"/>
      <c r="V126" s="64"/>
      <c r="W126" s="65"/>
      <c r="X126" s="161">
        <f t="shared" si="24"/>
        <v>0</v>
      </c>
      <c r="Y126" s="162">
        <f t="shared" si="25"/>
        <v>0</v>
      </c>
      <c r="Z126" s="67"/>
      <c r="AA126" s="65"/>
      <c r="AB126" s="65"/>
      <c r="AC126" s="65"/>
      <c r="AD126" s="123">
        <f t="shared" si="26"/>
        <v>0</v>
      </c>
      <c r="AE126" s="58" t="str">
        <f>'Sch2a-Imp Price by ECM'!K127</f>
        <v/>
      </c>
      <c r="AF126" s="291" t="str">
        <f t="shared" si="27"/>
        <v/>
      </c>
      <c r="AG126" s="1" t="str">
        <f>IF('Sch2a-Imp Price by ECM'!L127="","",'Sch2a-Imp Price by ECM'!L127)</f>
        <v/>
      </c>
    </row>
    <row r="127" spans="1:33" ht="17" thickBot="1">
      <c r="A127" s="290" t="str">
        <f>IF('Sch2a-Imp Price by ECM'!B128="","",'Sch2a-Imp Price by ECM'!B128)</f>
        <v/>
      </c>
      <c r="B127" s="71" t="str">
        <f>IF('Sch2a-Imp Price by ECM'!C128="","",'Sch2a-Imp Price by ECM'!C128)</f>
        <v/>
      </c>
      <c r="C127" s="120"/>
      <c r="D127" s="66"/>
      <c r="E127" s="66"/>
      <c r="F127" s="66"/>
      <c r="G127" s="66"/>
      <c r="H127" s="122"/>
      <c r="I127" s="66"/>
      <c r="J127" s="121"/>
      <c r="K127" s="121"/>
      <c r="L127" s="121"/>
      <c r="M127" s="116"/>
      <c r="N127" s="66"/>
      <c r="O127" s="121"/>
      <c r="P127" s="67"/>
      <c r="Q127" s="121"/>
      <c r="R127" s="67"/>
      <c r="S127" s="65"/>
      <c r="T127" s="67"/>
      <c r="U127" s="65"/>
      <c r="V127" s="64"/>
      <c r="W127" s="65"/>
      <c r="X127" s="161">
        <f t="shared" si="24"/>
        <v>0</v>
      </c>
      <c r="Y127" s="162">
        <f t="shared" si="25"/>
        <v>0</v>
      </c>
      <c r="Z127" s="67"/>
      <c r="AA127" s="65"/>
      <c r="AB127" s="65"/>
      <c r="AC127" s="65"/>
      <c r="AD127" s="123">
        <f t="shared" si="26"/>
        <v>0</v>
      </c>
      <c r="AE127" s="58" t="str">
        <f>'Sch2a-Imp Price by ECM'!K128</f>
        <v/>
      </c>
      <c r="AF127" s="291" t="str">
        <f t="shared" si="27"/>
        <v/>
      </c>
      <c r="AG127" s="1" t="str">
        <f>IF('Sch2a-Imp Price by ECM'!L128="","",'Sch2a-Imp Price by ECM'!L128)</f>
        <v/>
      </c>
    </row>
    <row r="128" spans="1:33" ht="17" thickBot="1">
      <c r="A128" s="290" t="str">
        <f>IF('Sch2a-Imp Price by ECM'!B129="","",'Sch2a-Imp Price by ECM'!B129)</f>
        <v/>
      </c>
      <c r="B128" s="71" t="str">
        <f>IF('Sch2a-Imp Price by ECM'!C129="","",'Sch2a-Imp Price by ECM'!C129)</f>
        <v/>
      </c>
      <c r="C128" s="120"/>
      <c r="D128" s="66"/>
      <c r="E128" s="66"/>
      <c r="F128" s="66"/>
      <c r="G128" s="66"/>
      <c r="H128" s="122"/>
      <c r="I128" s="66"/>
      <c r="J128" s="121"/>
      <c r="K128" s="121"/>
      <c r="L128" s="121"/>
      <c r="M128" s="116"/>
      <c r="N128" s="66"/>
      <c r="O128" s="121"/>
      <c r="P128" s="67"/>
      <c r="Q128" s="121"/>
      <c r="R128" s="67"/>
      <c r="S128" s="65"/>
      <c r="T128" s="67"/>
      <c r="U128" s="65"/>
      <c r="V128" s="64"/>
      <c r="W128" s="65"/>
      <c r="X128" s="161">
        <f t="shared" si="24"/>
        <v>0</v>
      </c>
      <c r="Y128" s="162">
        <f t="shared" si="25"/>
        <v>0</v>
      </c>
      <c r="Z128" s="67"/>
      <c r="AA128" s="65"/>
      <c r="AB128" s="65"/>
      <c r="AC128" s="65"/>
      <c r="AD128" s="123">
        <f t="shared" si="26"/>
        <v>0</v>
      </c>
      <c r="AE128" s="58" t="str">
        <f>'Sch2a-Imp Price by ECM'!K129</f>
        <v/>
      </c>
      <c r="AF128" s="291" t="str">
        <f t="shared" si="27"/>
        <v/>
      </c>
      <c r="AG128" s="1" t="str">
        <f>IF('Sch2a-Imp Price by ECM'!L129="","",'Sch2a-Imp Price by ECM'!L129)</f>
        <v/>
      </c>
    </row>
    <row r="129" spans="1:33" ht="17" thickBot="1">
      <c r="A129" s="290" t="str">
        <f>IF('Sch2a-Imp Price by ECM'!B130="","",'Sch2a-Imp Price by ECM'!B130)</f>
        <v/>
      </c>
      <c r="B129" s="71" t="str">
        <f>IF('Sch2a-Imp Price by ECM'!C130="","",'Sch2a-Imp Price by ECM'!C130)</f>
        <v/>
      </c>
      <c r="C129" s="120"/>
      <c r="D129" s="66"/>
      <c r="E129" s="66"/>
      <c r="F129" s="66"/>
      <c r="G129" s="66"/>
      <c r="H129" s="122"/>
      <c r="I129" s="66"/>
      <c r="J129" s="121"/>
      <c r="K129" s="121"/>
      <c r="L129" s="121"/>
      <c r="M129" s="116"/>
      <c r="N129" s="66"/>
      <c r="O129" s="121"/>
      <c r="P129" s="67"/>
      <c r="Q129" s="121"/>
      <c r="R129" s="67"/>
      <c r="S129" s="65"/>
      <c r="T129" s="67"/>
      <c r="U129" s="65"/>
      <c r="V129" s="64"/>
      <c r="W129" s="65"/>
      <c r="X129" s="161">
        <f t="shared" si="24"/>
        <v>0</v>
      </c>
      <c r="Y129" s="162">
        <f t="shared" si="25"/>
        <v>0</v>
      </c>
      <c r="Z129" s="67"/>
      <c r="AA129" s="65"/>
      <c r="AB129" s="65"/>
      <c r="AC129" s="65"/>
      <c r="AD129" s="123">
        <f t="shared" si="26"/>
        <v>0</v>
      </c>
      <c r="AE129" s="58" t="str">
        <f>'Sch2a-Imp Price by ECM'!K130</f>
        <v/>
      </c>
      <c r="AF129" s="291" t="str">
        <f t="shared" si="27"/>
        <v/>
      </c>
      <c r="AG129" s="1" t="str">
        <f>IF('Sch2a-Imp Price by ECM'!L130="","",'Sch2a-Imp Price by ECM'!L130)</f>
        <v/>
      </c>
    </row>
    <row r="130" spans="1:33" ht="17" thickBot="1">
      <c r="A130" s="290" t="str">
        <f>IF('Sch2a-Imp Price by ECM'!B131="","",'Sch2a-Imp Price by ECM'!B131)</f>
        <v/>
      </c>
      <c r="B130" s="71" t="str">
        <f>IF('Sch2a-Imp Price by ECM'!C131="","",'Sch2a-Imp Price by ECM'!C131)</f>
        <v/>
      </c>
      <c r="C130" s="120"/>
      <c r="D130" s="66"/>
      <c r="E130" s="66"/>
      <c r="F130" s="66"/>
      <c r="G130" s="66"/>
      <c r="H130" s="122"/>
      <c r="I130" s="66"/>
      <c r="J130" s="121"/>
      <c r="K130" s="121"/>
      <c r="L130" s="121"/>
      <c r="M130" s="116"/>
      <c r="N130" s="66"/>
      <c r="O130" s="121"/>
      <c r="P130" s="67"/>
      <c r="Q130" s="121"/>
      <c r="R130" s="67"/>
      <c r="S130" s="65"/>
      <c r="T130" s="67"/>
      <c r="U130" s="65"/>
      <c r="V130" s="64"/>
      <c r="W130" s="65"/>
      <c r="X130" s="161">
        <f t="shared" si="24"/>
        <v>0</v>
      </c>
      <c r="Y130" s="162">
        <f t="shared" si="25"/>
        <v>0</v>
      </c>
      <c r="Z130" s="67"/>
      <c r="AA130" s="65"/>
      <c r="AB130" s="65"/>
      <c r="AC130" s="65"/>
      <c r="AD130" s="123">
        <f t="shared" si="26"/>
        <v>0</v>
      </c>
      <c r="AE130" s="58" t="str">
        <f>'Sch2a-Imp Price by ECM'!K131</f>
        <v/>
      </c>
      <c r="AF130" s="291" t="str">
        <f t="shared" si="27"/>
        <v/>
      </c>
      <c r="AG130" s="1" t="str">
        <f>IF('Sch2a-Imp Price by ECM'!L131="","",'Sch2a-Imp Price by ECM'!L131)</f>
        <v/>
      </c>
    </row>
    <row r="131" spans="1:33" ht="17" thickBot="1">
      <c r="A131" s="290" t="str">
        <f>IF('Sch2a-Imp Price by ECM'!B132="","",'Sch2a-Imp Price by ECM'!B132)</f>
        <v/>
      </c>
      <c r="B131" s="71" t="str">
        <f>IF('Sch2a-Imp Price by ECM'!C132="","",'Sch2a-Imp Price by ECM'!C132)</f>
        <v/>
      </c>
      <c r="C131" s="120"/>
      <c r="D131" s="66"/>
      <c r="E131" s="66"/>
      <c r="F131" s="66"/>
      <c r="G131" s="66"/>
      <c r="H131" s="122"/>
      <c r="I131" s="66"/>
      <c r="J131" s="121"/>
      <c r="K131" s="121"/>
      <c r="L131" s="121"/>
      <c r="M131" s="116"/>
      <c r="N131" s="66"/>
      <c r="O131" s="121"/>
      <c r="P131" s="67"/>
      <c r="Q131" s="121"/>
      <c r="R131" s="67"/>
      <c r="S131" s="65"/>
      <c r="T131" s="67"/>
      <c r="U131" s="65"/>
      <c r="V131" s="64"/>
      <c r="W131" s="65"/>
      <c r="X131" s="161">
        <f t="shared" si="24"/>
        <v>0</v>
      </c>
      <c r="Y131" s="162">
        <f t="shared" si="25"/>
        <v>0</v>
      </c>
      <c r="Z131" s="67"/>
      <c r="AA131" s="65"/>
      <c r="AB131" s="65"/>
      <c r="AC131" s="65"/>
      <c r="AD131" s="123">
        <f t="shared" si="26"/>
        <v>0</v>
      </c>
      <c r="AE131" s="58" t="str">
        <f>'Sch2a-Imp Price by ECM'!K132</f>
        <v/>
      </c>
      <c r="AF131" s="291" t="str">
        <f t="shared" si="27"/>
        <v/>
      </c>
      <c r="AG131" s="1" t="str">
        <f>IF('Sch2a-Imp Price by ECM'!L132="","",'Sch2a-Imp Price by ECM'!L132)</f>
        <v/>
      </c>
    </row>
    <row r="132" spans="1:33" ht="17" thickBot="1">
      <c r="A132" s="290" t="str">
        <f>IF('Sch2a-Imp Price by ECM'!B133="","",'Sch2a-Imp Price by ECM'!B133)</f>
        <v/>
      </c>
      <c r="B132" s="71" t="str">
        <f>IF('Sch2a-Imp Price by ECM'!C133="","",'Sch2a-Imp Price by ECM'!C133)</f>
        <v/>
      </c>
      <c r="C132" s="120"/>
      <c r="D132" s="66"/>
      <c r="E132" s="66"/>
      <c r="F132" s="66"/>
      <c r="G132" s="66"/>
      <c r="H132" s="122"/>
      <c r="I132" s="66"/>
      <c r="J132" s="121"/>
      <c r="K132" s="121"/>
      <c r="L132" s="121"/>
      <c r="M132" s="116"/>
      <c r="N132" s="66"/>
      <c r="O132" s="121"/>
      <c r="P132" s="67"/>
      <c r="Q132" s="121"/>
      <c r="R132" s="67"/>
      <c r="S132" s="65"/>
      <c r="T132" s="67"/>
      <c r="U132" s="65"/>
      <c r="V132" s="64"/>
      <c r="W132" s="65"/>
      <c r="X132" s="161">
        <f t="shared" si="24"/>
        <v>0</v>
      </c>
      <c r="Y132" s="162">
        <f t="shared" si="25"/>
        <v>0</v>
      </c>
      <c r="Z132" s="67"/>
      <c r="AA132" s="65"/>
      <c r="AB132" s="65"/>
      <c r="AC132" s="65"/>
      <c r="AD132" s="123">
        <f t="shared" si="26"/>
        <v>0</v>
      </c>
      <c r="AE132" s="58" t="str">
        <f>'Sch2a-Imp Price by ECM'!K133</f>
        <v/>
      </c>
      <c r="AF132" s="291" t="str">
        <f t="shared" si="27"/>
        <v/>
      </c>
      <c r="AG132" s="1" t="str">
        <f>IF('Sch2a-Imp Price by ECM'!L133="","",'Sch2a-Imp Price by ECM'!L133)</f>
        <v/>
      </c>
    </row>
    <row r="133" spans="1:33" ht="17" thickBot="1">
      <c r="A133" s="290" t="str">
        <f>IF('Sch2a-Imp Price by ECM'!B134="","",'Sch2a-Imp Price by ECM'!B134)</f>
        <v/>
      </c>
      <c r="B133" s="71" t="str">
        <f>IF('Sch2a-Imp Price by ECM'!C134="","",'Sch2a-Imp Price by ECM'!C134)</f>
        <v/>
      </c>
      <c r="C133" s="120"/>
      <c r="D133" s="66"/>
      <c r="E133" s="66"/>
      <c r="F133" s="66"/>
      <c r="G133" s="66"/>
      <c r="H133" s="122"/>
      <c r="I133" s="66"/>
      <c r="J133" s="121"/>
      <c r="K133" s="121"/>
      <c r="L133" s="121"/>
      <c r="M133" s="116"/>
      <c r="N133" s="66"/>
      <c r="O133" s="121"/>
      <c r="P133" s="67"/>
      <c r="Q133" s="121"/>
      <c r="R133" s="67"/>
      <c r="S133" s="65"/>
      <c r="T133" s="67"/>
      <c r="U133" s="65"/>
      <c r="V133" s="64"/>
      <c r="W133" s="65"/>
      <c r="X133" s="161">
        <f t="shared" si="24"/>
        <v>0</v>
      </c>
      <c r="Y133" s="162">
        <f t="shared" si="25"/>
        <v>0</v>
      </c>
      <c r="Z133" s="67"/>
      <c r="AA133" s="65"/>
      <c r="AB133" s="65"/>
      <c r="AC133" s="65"/>
      <c r="AD133" s="123">
        <f t="shared" si="26"/>
        <v>0</v>
      </c>
      <c r="AE133" s="58" t="str">
        <f>'Sch2a-Imp Price by ECM'!K134</f>
        <v/>
      </c>
      <c r="AF133" s="291" t="str">
        <f t="shared" si="27"/>
        <v/>
      </c>
      <c r="AG133" s="1" t="str">
        <f>IF('Sch2a-Imp Price by ECM'!L134="","",'Sch2a-Imp Price by ECM'!L134)</f>
        <v/>
      </c>
    </row>
    <row r="134" spans="1:33" ht="17" thickBot="1">
      <c r="A134" s="290" t="str">
        <f>IF('Sch2a-Imp Price by ECM'!B135="","",'Sch2a-Imp Price by ECM'!B135)</f>
        <v/>
      </c>
      <c r="B134" s="71" t="str">
        <f>IF('Sch2a-Imp Price by ECM'!C135="","",'Sch2a-Imp Price by ECM'!C135)</f>
        <v/>
      </c>
      <c r="C134" s="120"/>
      <c r="D134" s="66"/>
      <c r="E134" s="66"/>
      <c r="F134" s="66"/>
      <c r="G134" s="66"/>
      <c r="H134" s="122"/>
      <c r="I134" s="66"/>
      <c r="J134" s="121"/>
      <c r="K134" s="121"/>
      <c r="L134" s="121"/>
      <c r="M134" s="116"/>
      <c r="N134" s="66"/>
      <c r="O134" s="121"/>
      <c r="P134" s="67"/>
      <c r="Q134" s="121"/>
      <c r="R134" s="67"/>
      <c r="S134" s="65"/>
      <c r="T134" s="67"/>
      <c r="U134" s="65"/>
      <c r="V134" s="64"/>
      <c r="W134" s="65"/>
      <c r="X134" s="161">
        <f t="shared" si="24"/>
        <v>0</v>
      </c>
      <c r="Y134" s="162">
        <f t="shared" si="25"/>
        <v>0</v>
      </c>
      <c r="Z134" s="67"/>
      <c r="AA134" s="65"/>
      <c r="AB134" s="65"/>
      <c r="AC134" s="65"/>
      <c r="AD134" s="123">
        <f t="shared" si="26"/>
        <v>0</v>
      </c>
      <c r="AE134" s="58" t="str">
        <f>'Sch2a-Imp Price by ECM'!K135</f>
        <v/>
      </c>
      <c r="AF134" s="291" t="str">
        <f t="shared" si="27"/>
        <v/>
      </c>
      <c r="AG134" s="1" t="str">
        <f>IF('Sch2a-Imp Price by ECM'!L135="","",'Sch2a-Imp Price by ECM'!L135)</f>
        <v/>
      </c>
    </row>
    <row r="135" spans="1:33" ht="17" thickBot="1">
      <c r="A135" s="290" t="str">
        <f>IF('Sch2a-Imp Price by ECM'!B136="","",'Sch2a-Imp Price by ECM'!B136)</f>
        <v/>
      </c>
      <c r="B135" s="71" t="str">
        <f>IF('Sch2a-Imp Price by ECM'!C136="","",'Sch2a-Imp Price by ECM'!C136)</f>
        <v/>
      </c>
      <c r="C135" s="120"/>
      <c r="D135" s="66"/>
      <c r="E135" s="66"/>
      <c r="F135" s="66"/>
      <c r="G135" s="66"/>
      <c r="H135" s="122"/>
      <c r="I135" s="66"/>
      <c r="J135" s="121"/>
      <c r="K135" s="121"/>
      <c r="L135" s="121"/>
      <c r="M135" s="122"/>
      <c r="N135" s="66"/>
      <c r="O135" s="121"/>
      <c r="P135" s="67"/>
      <c r="Q135" s="121"/>
      <c r="R135" s="67"/>
      <c r="S135" s="65"/>
      <c r="T135" s="67"/>
      <c r="U135" s="65"/>
      <c r="V135" s="64"/>
      <c r="W135" s="65"/>
      <c r="X135" s="161">
        <f t="shared" ref="X135:X155" si="28">(N135*3412/10^6)+R135+T135+V135</f>
        <v>0</v>
      </c>
      <c r="Y135" s="162">
        <f t="shared" ref="Y135:Y155" si="29">O135+Q135+U135+W135+S135</f>
        <v>0</v>
      </c>
      <c r="Z135" s="67"/>
      <c r="AA135" s="65"/>
      <c r="AB135" s="65"/>
      <c r="AC135" s="65"/>
      <c r="AD135" s="123">
        <f t="shared" ref="AD135:AD155" si="30">Y135+AA135+AB135+AC135</f>
        <v>0</v>
      </c>
      <c r="AE135" s="58" t="str">
        <f>'Sch2a-Imp Price by ECM'!K136</f>
        <v/>
      </c>
      <c r="AF135" s="291" t="str">
        <f t="shared" ref="AF135:AF155" si="31">IF(AD135=0,"",AE135/AD135)</f>
        <v/>
      </c>
      <c r="AG135" s="1" t="str">
        <f>IF('Sch2a-Imp Price by ECM'!L136="","",'Sch2a-Imp Price by ECM'!L136)</f>
        <v/>
      </c>
    </row>
    <row r="136" spans="1:33" ht="17" thickBot="1">
      <c r="A136" s="290" t="str">
        <f>IF('Sch2a-Imp Price by ECM'!B137="","",'Sch2a-Imp Price by ECM'!B137)</f>
        <v/>
      </c>
      <c r="B136" s="71" t="str">
        <f>IF('Sch2a-Imp Price by ECM'!C137="","",'Sch2a-Imp Price by ECM'!C137)</f>
        <v/>
      </c>
      <c r="C136" s="120"/>
      <c r="D136" s="66"/>
      <c r="E136" s="66"/>
      <c r="F136" s="66"/>
      <c r="G136" s="66"/>
      <c r="H136" s="122"/>
      <c r="I136" s="66"/>
      <c r="J136" s="121"/>
      <c r="K136" s="121"/>
      <c r="L136" s="121"/>
      <c r="M136" s="122"/>
      <c r="N136" s="66"/>
      <c r="O136" s="121"/>
      <c r="P136" s="67"/>
      <c r="Q136" s="121"/>
      <c r="R136" s="67"/>
      <c r="S136" s="65"/>
      <c r="T136" s="67"/>
      <c r="U136" s="65"/>
      <c r="V136" s="64"/>
      <c r="W136" s="65"/>
      <c r="X136" s="161">
        <f t="shared" si="28"/>
        <v>0</v>
      </c>
      <c r="Y136" s="162">
        <f t="shared" si="29"/>
        <v>0</v>
      </c>
      <c r="Z136" s="67"/>
      <c r="AA136" s="65"/>
      <c r="AB136" s="65"/>
      <c r="AC136" s="65"/>
      <c r="AD136" s="123">
        <f t="shared" si="30"/>
        <v>0</v>
      </c>
      <c r="AE136" s="58" t="str">
        <f>'Sch2a-Imp Price by ECM'!K137</f>
        <v/>
      </c>
      <c r="AF136" s="291" t="str">
        <f t="shared" si="31"/>
        <v/>
      </c>
      <c r="AG136" s="1" t="str">
        <f>IF('Sch2a-Imp Price by ECM'!L137="","",'Sch2a-Imp Price by ECM'!L137)</f>
        <v/>
      </c>
    </row>
    <row r="137" spans="1:33" ht="17" thickBot="1">
      <c r="A137" s="290" t="str">
        <f>IF('Sch2a-Imp Price by ECM'!B138="","",'Sch2a-Imp Price by ECM'!B138)</f>
        <v/>
      </c>
      <c r="B137" s="71" t="str">
        <f>IF('Sch2a-Imp Price by ECM'!C138="","",'Sch2a-Imp Price by ECM'!C138)</f>
        <v/>
      </c>
      <c r="C137" s="120"/>
      <c r="D137" s="66"/>
      <c r="E137" s="66"/>
      <c r="F137" s="66"/>
      <c r="G137" s="66"/>
      <c r="H137" s="122"/>
      <c r="I137" s="66"/>
      <c r="J137" s="121"/>
      <c r="K137" s="121"/>
      <c r="L137" s="121"/>
      <c r="M137" s="122"/>
      <c r="N137" s="66"/>
      <c r="O137" s="121"/>
      <c r="P137" s="67"/>
      <c r="Q137" s="121"/>
      <c r="R137" s="67"/>
      <c r="S137" s="65"/>
      <c r="T137" s="67"/>
      <c r="U137" s="65"/>
      <c r="V137" s="64"/>
      <c r="W137" s="65"/>
      <c r="X137" s="161">
        <f t="shared" si="28"/>
        <v>0</v>
      </c>
      <c r="Y137" s="162">
        <f t="shared" si="29"/>
        <v>0</v>
      </c>
      <c r="Z137" s="67"/>
      <c r="AA137" s="65"/>
      <c r="AB137" s="65"/>
      <c r="AC137" s="65"/>
      <c r="AD137" s="123">
        <f t="shared" si="30"/>
        <v>0</v>
      </c>
      <c r="AE137" s="58" t="str">
        <f>'Sch2a-Imp Price by ECM'!K138</f>
        <v/>
      </c>
      <c r="AF137" s="291" t="str">
        <f t="shared" si="31"/>
        <v/>
      </c>
      <c r="AG137" s="1" t="str">
        <f>IF('Sch2a-Imp Price by ECM'!L138="","",'Sch2a-Imp Price by ECM'!L138)</f>
        <v/>
      </c>
    </row>
    <row r="138" spans="1:33" ht="17" thickBot="1">
      <c r="A138" s="290" t="str">
        <f>IF('Sch2a-Imp Price by ECM'!B139="","",'Sch2a-Imp Price by ECM'!B139)</f>
        <v/>
      </c>
      <c r="B138" s="71" t="str">
        <f>IF('Sch2a-Imp Price by ECM'!C139="","",'Sch2a-Imp Price by ECM'!C139)</f>
        <v/>
      </c>
      <c r="C138" s="120"/>
      <c r="D138" s="66"/>
      <c r="E138" s="66"/>
      <c r="F138" s="66"/>
      <c r="G138" s="66"/>
      <c r="H138" s="122"/>
      <c r="I138" s="66"/>
      <c r="J138" s="121"/>
      <c r="K138" s="121"/>
      <c r="L138" s="121"/>
      <c r="M138" s="122"/>
      <c r="N138" s="66"/>
      <c r="O138" s="121"/>
      <c r="P138" s="67"/>
      <c r="Q138" s="121"/>
      <c r="R138" s="67"/>
      <c r="S138" s="65"/>
      <c r="T138" s="67"/>
      <c r="U138" s="65"/>
      <c r="V138" s="64"/>
      <c r="W138" s="65"/>
      <c r="X138" s="161">
        <f t="shared" si="28"/>
        <v>0</v>
      </c>
      <c r="Y138" s="162">
        <f t="shared" si="29"/>
        <v>0</v>
      </c>
      <c r="Z138" s="67"/>
      <c r="AA138" s="65"/>
      <c r="AB138" s="65"/>
      <c r="AC138" s="65"/>
      <c r="AD138" s="123">
        <f t="shared" si="30"/>
        <v>0</v>
      </c>
      <c r="AE138" s="58" t="str">
        <f>'Sch2a-Imp Price by ECM'!K139</f>
        <v/>
      </c>
      <c r="AF138" s="291" t="str">
        <f t="shared" si="31"/>
        <v/>
      </c>
      <c r="AG138" s="1" t="str">
        <f>IF('Sch2a-Imp Price by ECM'!L139="","",'Sch2a-Imp Price by ECM'!L139)</f>
        <v/>
      </c>
    </row>
    <row r="139" spans="1:33" ht="18" customHeight="1" thickBot="1">
      <c r="A139" s="290" t="str">
        <f>IF('Sch2a-Imp Price by ECM'!B140="","",'Sch2a-Imp Price by ECM'!B140)</f>
        <v/>
      </c>
      <c r="B139" s="71" t="str">
        <f>IF('Sch2a-Imp Price by ECM'!C140="","",'Sch2a-Imp Price by ECM'!C140)</f>
        <v/>
      </c>
      <c r="C139" s="120"/>
      <c r="D139" s="66"/>
      <c r="E139" s="66"/>
      <c r="F139" s="66"/>
      <c r="G139" s="66"/>
      <c r="H139" s="122"/>
      <c r="I139" s="66"/>
      <c r="J139" s="121"/>
      <c r="K139" s="121"/>
      <c r="L139" s="121"/>
      <c r="M139" s="122"/>
      <c r="N139" s="66"/>
      <c r="O139" s="121"/>
      <c r="P139" s="67"/>
      <c r="Q139" s="121"/>
      <c r="R139" s="67"/>
      <c r="S139" s="65"/>
      <c r="T139" s="67"/>
      <c r="U139" s="65"/>
      <c r="V139" s="64"/>
      <c r="W139" s="65"/>
      <c r="X139" s="161">
        <f t="shared" si="28"/>
        <v>0</v>
      </c>
      <c r="Y139" s="162">
        <f t="shared" si="29"/>
        <v>0</v>
      </c>
      <c r="Z139" s="67"/>
      <c r="AA139" s="65"/>
      <c r="AB139" s="65"/>
      <c r="AC139" s="65"/>
      <c r="AD139" s="123">
        <f t="shared" si="30"/>
        <v>0</v>
      </c>
      <c r="AE139" s="58" t="str">
        <f>'Sch2a-Imp Price by ECM'!K140</f>
        <v/>
      </c>
      <c r="AF139" s="291" t="str">
        <f t="shared" si="31"/>
        <v/>
      </c>
      <c r="AG139" s="1" t="str">
        <f>IF('Sch2a-Imp Price by ECM'!L140="","",'Sch2a-Imp Price by ECM'!L140)</f>
        <v/>
      </c>
    </row>
    <row r="140" spans="1:33" ht="17" thickBot="1">
      <c r="A140" s="290" t="str">
        <f>IF('Sch2a-Imp Price by ECM'!B141="","",'Sch2a-Imp Price by ECM'!B141)</f>
        <v/>
      </c>
      <c r="B140" s="71" t="str">
        <f>IF('Sch2a-Imp Price by ECM'!C141="","",'Sch2a-Imp Price by ECM'!C141)</f>
        <v/>
      </c>
      <c r="C140" s="120"/>
      <c r="D140" s="66"/>
      <c r="E140" s="66"/>
      <c r="F140" s="66"/>
      <c r="G140" s="66"/>
      <c r="H140" s="122"/>
      <c r="I140" s="66"/>
      <c r="J140" s="121"/>
      <c r="K140" s="121"/>
      <c r="L140" s="121"/>
      <c r="M140" s="122"/>
      <c r="N140" s="66"/>
      <c r="O140" s="121"/>
      <c r="P140" s="67"/>
      <c r="Q140" s="121"/>
      <c r="R140" s="67"/>
      <c r="S140" s="65"/>
      <c r="T140" s="67"/>
      <c r="U140" s="65"/>
      <c r="V140" s="64"/>
      <c r="W140" s="65"/>
      <c r="X140" s="161">
        <f t="shared" si="28"/>
        <v>0</v>
      </c>
      <c r="Y140" s="162">
        <f t="shared" si="29"/>
        <v>0</v>
      </c>
      <c r="Z140" s="67"/>
      <c r="AA140" s="65"/>
      <c r="AB140" s="65"/>
      <c r="AC140" s="65"/>
      <c r="AD140" s="123">
        <f t="shared" si="30"/>
        <v>0</v>
      </c>
      <c r="AE140" s="58" t="str">
        <f>'Sch2a-Imp Price by ECM'!K141</f>
        <v/>
      </c>
      <c r="AF140" s="291" t="str">
        <f t="shared" si="31"/>
        <v/>
      </c>
      <c r="AG140" s="1" t="str">
        <f>IF('Sch2a-Imp Price by ECM'!L141="","",'Sch2a-Imp Price by ECM'!L141)</f>
        <v/>
      </c>
    </row>
    <row r="141" spans="1:33" ht="17" thickBot="1">
      <c r="A141" s="290" t="str">
        <f>IF('Sch2a-Imp Price by ECM'!B142="","",'Sch2a-Imp Price by ECM'!B142)</f>
        <v/>
      </c>
      <c r="B141" s="71" t="str">
        <f>IF('Sch2a-Imp Price by ECM'!C142="","",'Sch2a-Imp Price by ECM'!C142)</f>
        <v/>
      </c>
      <c r="C141" s="120"/>
      <c r="D141" s="66"/>
      <c r="E141" s="66"/>
      <c r="F141" s="66"/>
      <c r="G141" s="66"/>
      <c r="H141" s="122"/>
      <c r="I141" s="66"/>
      <c r="J141" s="121"/>
      <c r="K141" s="121"/>
      <c r="L141" s="121"/>
      <c r="M141" s="122"/>
      <c r="N141" s="66"/>
      <c r="O141" s="121"/>
      <c r="P141" s="67"/>
      <c r="Q141" s="121"/>
      <c r="R141" s="67"/>
      <c r="S141" s="65"/>
      <c r="T141" s="67"/>
      <c r="U141" s="65"/>
      <c r="V141" s="64"/>
      <c r="W141" s="65"/>
      <c r="X141" s="161">
        <f t="shared" si="28"/>
        <v>0</v>
      </c>
      <c r="Y141" s="162">
        <f t="shared" si="29"/>
        <v>0</v>
      </c>
      <c r="Z141" s="67"/>
      <c r="AA141" s="65"/>
      <c r="AB141" s="65"/>
      <c r="AC141" s="65"/>
      <c r="AD141" s="123">
        <f t="shared" si="30"/>
        <v>0</v>
      </c>
      <c r="AE141" s="58" t="str">
        <f>'Sch2a-Imp Price by ECM'!K142</f>
        <v/>
      </c>
      <c r="AF141" s="291" t="str">
        <f t="shared" si="31"/>
        <v/>
      </c>
      <c r="AG141" s="1" t="str">
        <f>IF('Sch2a-Imp Price by ECM'!L142="","",'Sch2a-Imp Price by ECM'!L142)</f>
        <v/>
      </c>
    </row>
    <row r="142" spans="1:33" ht="17" thickBot="1">
      <c r="A142" s="290" t="str">
        <f>IF('Sch2a-Imp Price by ECM'!B143="","",'Sch2a-Imp Price by ECM'!B143)</f>
        <v/>
      </c>
      <c r="B142" s="71" t="str">
        <f>IF('Sch2a-Imp Price by ECM'!C143="","",'Sch2a-Imp Price by ECM'!C143)</f>
        <v/>
      </c>
      <c r="C142" s="120"/>
      <c r="D142" s="66"/>
      <c r="E142" s="66"/>
      <c r="F142" s="66"/>
      <c r="G142" s="66"/>
      <c r="H142" s="122"/>
      <c r="I142" s="66"/>
      <c r="J142" s="121"/>
      <c r="K142" s="121"/>
      <c r="L142" s="121"/>
      <c r="M142" s="116"/>
      <c r="N142" s="66"/>
      <c r="O142" s="121"/>
      <c r="P142" s="67"/>
      <c r="Q142" s="121"/>
      <c r="R142" s="67"/>
      <c r="S142" s="65"/>
      <c r="T142" s="67"/>
      <c r="U142" s="65"/>
      <c r="V142" s="64"/>
      <c r="W142" s="65"/>
      <c r="X142" s="161">
        <f t="shared" si="28"/>
        <v>0</v>
      </c>
      <c r="Y142" s="162">
        <f t="shared" si="29"/>
        <v>0</v>
      </c>
      <c r="Z142" s="67"/>
      <c r="AA142" s="65"/>
      <c r="AB142" s="65"/>
      <c r="AC142" s="65"/>
      <c r="AD142" s="123">
        <f t="shared" si="30"/>
        <v>0</v>
      </c>
      <c r="AE142" s="58" t="str">
        <f>'Sch2a-Imp Price by ECM'!K143</f>
        <v/>
      </c>
      <c r="AF142" s="291" t="str">
        <f t="shared" si="31"/>
        <v/>
      </c>
      <c r="AG142" s="1" t="str">
        <f>IF('Sch2a-Imp Price by ECM'!L143="","",'Sch2a-Imp Price by ECM'!L143)</f>
        <v/>
      </c>
    </row>
    <row r="143" spans="1:33" ht="17" thickBot="1">
      <c r="A143" s="290" t="str">
        <f>IF('Sch2a-Imp Price by ECM'!B144="","",'Sch2a-Imp Price by ECM'!B144)</f>
        <v/>
      </c>
      <c r="B143" s="71" t="str">
        <f>IF('Sch2a-Imp Price by ECM'!C144="","",'Sch2a-Imp Price by ECM'!C144)</f>
        <v/>
      </c>
      <c r="C143" s="120"/>
      <c r="D143" s="66"/>
      <c r="E143" s="66"/>
      <c r="F143" s="66"/>
      <c r="G143" s="66"/>
      <c r="H143" s="122"/>
      <c r="I143" s="66"/>
      <c r="J143" s="121"/>
      <c r="K143" s="121"/>
      <c r="L143" s="121"/>
      <c r="M143" s="116"/>
      <c r="N143" s="66"/>
      <c r="O143" s="121"/>
      <c r="P143" s="67"/>
      <c r="Q143" s="121"/>
      <c r="R143" s="67"/>
      <c r="S143" s="65"/>
      <c r="T143" s="67"/>
      <c r="U143" s="65"/>
      <c r="V143" s="64"/>
      <c r="W143" s="65"/>
      <c r="X143" s="161">
        <f t="shared" si="28"/>
        <v>0</v>
      </c>
      <c r="Y143" s="162">
        <f t="shared" si="29"/>
        <v>0</v>
      </c>
      <c r="Z143" s="67"/>
      <c r="AA143" s="65"/>
      <c r="AB143" s="65"/>
      <c r="AC143" s="65"/>
      <c r="AD143" s="123">
        <f t="shared" si="30"/>
        <v>0</v>
      </c>
      <c r="AE143" s="58" t="str">
        <f>'Sch2a-Imp Price by ECM'!K144</f>
        <v/>
      </c>
      <c r="AF143" s="291" t="str">
        <f t="shared" si="31"/>
        <v/>
      </c>
      <c r="AG143" s="1" t="str">
        <f>IF('Sch2a-Imp Price by ECM'!L144="","",'Sch2a-Imp Price by ECM'!L144)</f>
        <v/>
      </c>
    </row>
    <row r="144" spans="1:33" ht="17" thickBot="1">
      <c r="A144" s="290" t="str">
        <f>IF('Sch2a-Imp Price by ECM'!B145="","",'Sch2a-Imp Price by ECM'!B145)</f>
        <v/>
      </c>
      <c r="B144" s="71" t="str">
        <f>IF('Sch2a-Imp Price by ECM'!C145="","",'Sch2a-Imp Price by ECM'!C145)</f>
        <v/>
      </c>
      <c r="C144" s="120"/>
      <c r="D144" s="66"/>
      <c r="E144" s="66"/>
      <c r="F144" s="66"/>
      <c r="G144" s="66"/>
      <c r="H144" s="122"/>
      <c r="I144" s="66"/>
      <c r="J144" s="121"/>
      <c r="K144" s="121"/>
      <c r="L144" s="121"/>
      <c r="M144" s="116"/>
      <c r="N144" s="66"/>
      <c r="O144" s="121"/>
      <c r="P144" s="67"/>
      <c r="Q144" s="121"/>
      <c r="R144" s="67"/>
      <c r="S144" s="65"/>
      <c r="T144" s="67"/>
      <c r="U144" s="65"/>
      <c r="V144" s="64"/>
      <c r="W144" s="65"/>
      <c r="X144" s="161">
        <f t="shared" si="28"/>
        <v>0</v>
      </c>
      <c r="Y144" s="162">
        <f t="shared" si="29"/>
        <v>0</v>
      </c>
      <c r="Z144" s="67"/>
      <c r="AA144" s="65"/>
      <c r="AB144" s="65"/>
      <c r="AC144" s="65"/>
      <c r="AD144" s="123">
        <f t="shared" si="30"/>
        <v>0</v>
      </c>
      <c r="AE144" s="58" t="str">
        <f>'Sch2a-Imp Price by ECM'!K145</f>
        <v/>
      </c>
      <c r="AF144" s="291" t="str">
        <f t="shared" si="31"/>
        <v/>
      </c>
      <c r="AG144" s="1" t="str">
        <f>IF('Sch2a-Imp Price by ECM'!L145="","",'Sch2a-Imp Price by ECM'!L145)</f>
        <v/>
      </c>
    </row>
    <row r="145" spans="1:33" ht="17" thickBot="1">
      <c r="A145" s="290" t="str">
        <f>IF('Sch2a-Imp Price by ECM'!B146="","",'Sch2a-Imp Price by ECM'!B146)</f>
        <v/>
      </c>
      <c r="B145" s="71" t="str">
        <f>IF('Sch2a-Imp Price by ECM'!C146="","",'Sch2a-Imp Price by ECM'!C146)</f>
        <v/>
      </c>
      <c r="C145" s="120"/>
      <c r="D145" s="66"/>
      <c r="E145" s="66"/>
      <c r="F145" s="66"/>
      <c r="G145" s="66"/>
      <c r="H145" s="122"/>
      <c r="I145" s="66"/>
      <c r="J145" s="121"/>
      <c r="K145" s="121"/>
      <c r="L145" s="121"/>
      <c r="M145" s="116"/>
      <c r="N145" s="66"/>
      <c r="O145" s="121"/>
      <c r="P145" s="67"/>
      <c r="Q145" s="121"/>
      <c r="R145" s="67"/>
      <c r="S145" s="65"/>
      <c r="T145" s="67"/>
      <c r="U145" s="65"/>
      <c r="V145" s="64"/>
      <c r="W145" s="65"/>
      <c r="X145" s="161">
        <f t="shared" si="28"/>
        <v>0</v>
      </c>
      <c r="Y145" s="162">
        <f t="shared" si="29"/>
        <v>0</v>
      </c>
      <c r="Z145" s="67"/>
      <c r="AA145" s="65"/>
      <c r="AB145" s="65"/>
      <c r="AC145" s="65"/>
      <c r="AD145" s="123">
        <f t="shared" si="30"/>
        <v>0</v>
      </c>
      <c r="AE145" s="58" t="str">
        <f>'Sch2a-Imp Price by ECM'!K146</f>
        <v/>
      </c>
      <c r="AF145" s="291" t="str">
        <f t="shared" si="31"/>
        <v/>
      </c>
      <c r="AG145" s="1" t="str">
        <f>IF('Sch2a-Imp Price by ECM'!L146="","",'Sch2a-Imp Price by ECM'!L146)</f>
        <v/>
      </c>
    </row>
    <row r="146" spans="1:33" ht="17" thickBot="1">
      <c r="A146" s="290" t="str">
        <f>IF('Sch2a-Imp Price by ECM'!B147="","",'Sch2a-Imp Price by ECM'!B147)</f>
        <v/>
      </c>
      <c r="B146" s="71" t="str">
        <f>IF('Sch2a-Imp Price by ECM'!C147="","",'Sch2a-Imp Price by ECM'!C147)</f>
        <v/>
      </c>
      <c r="C146" s="120"/>
      <c r="D146" s="66"/>
      <c r="E146" s="66"/>
      <c r="F146" s="66"/>
      <c r="G146" s="66"/>
      <c r="H146" s="122"/>
      <c r="I146" s="66"/>
      <c r="J146" s="121"/>
      <c r="K146" s="121"/>
      <c r="L146" s="121"/>
      <c r="M146" s="116"/>
      <c r="N146" s="66"/>
      <c r="O146" s="121"/>
      <c r="P146" s="67"/>
      <c r="Q146" s="121"/>
      <c r="R146" s="67"/>
      <c r="S146" s="65"/>
      <c r="T146" s="67"/>
      <c r="U146" s="65"/>
      <c r="V146" s="64"/>
      <c r="W146" s="65"/>
      <c r="X146" s="161">
        <f t="shared" si="28"/>
        <v>0</v>
      </c>
      <c r="Y146" s="162">
        <f t="shared" si="29"/>
        <v>0</v>
      </c>
      <c r="Z146" s="67"/>
      <c r="AA146" s="65"/>
      <c r="AB146" s="65"/>
      <c r="AC146" s="65"/>
      <c r="AD146" s="123">
        <f t="shared" si="30"/>
        <v>0</v>
      </c>
      <c r="AE146" s="58" t="str">
        <f>'Sch2a-Imp Price by ECM'!K147</f>
        <v/>
      </c>
      <c r="AF146" s="291" t="str">
        <f t="shared" si="31"/>
        <v/>
      </c>
      <c r="AG146" s="1" t="str">
        <f>IF('Sch2a-Imp Price by ECM'!L147="","",'Sch2a-Imp Price by ECM'!L147)</f>
        <v/>
      </c>
    </row>
    <row r="147" spans="1:33" ht="17" thickBot="1">
      <c r="A147" s="290" t="str">
        <f>IF('Sch2a-Imp Price by ECM'!B148="","",'Sch2a-Imp Price by ECM'!B148)</f>
        <v/>
      </c>
      <c r="B147" s="71" t="str">
        <f>IF('Sch2a-Imp Price by ECM'!C148="","",'Sch2a-Imp Price by ECM'!C148)</f>
        <v/>
      </c>
      <c r="C147" s="120"/>
      <c r="D147" s="66"/>
      <c r="E147" s="66"/>
      <c r="F147" s="66"/>
      <c r="G147" s="66"/>
      <c r="H147" s="122"/>
      <c r="I147" s="66"/>
      <c r="J147" s="121"/>
      <c r="K147" s="121"/>
      <c r="L147" s="121"/>
      <c r="M147" s="116"/>
      <c r="N147" s="66"/>
      <c r="O147" s="121"/>
      <c r="P147" s="67"/>
      <c r="Q147" s="121"/>
      <c r="R147" s="67"/>
      <c r="S147" s="65"/>
      <c r="T147" s="67"/>
      <c r="U147" s="65"/>
      <c r="V147" s="64"/>
      <c r="W147" s="65"/>
      <c r="X147" s="161">
        <f t="shared" si="28"/>
        <v>0</v>
      </c>
      <c r="Y147" s="162">
        <f t="shared" si="29"/>
        <v>0</v>
      </c>
      <c r="Z147" s="67"/>
      <c r="AA147" s="65"/>
      <c r="AB147" s="65"/>
      <c r="AC147" s="65"/>
      <c r="AD147" s="123">
        <f t="shared" si="30"/>
        <v>0</v>
      </c>
      <c r="AE147" s="58" t="str">
        <f>'Sch2a-Imp Price by ECM'!K148</f>
        <v/>
      </c>
      <c r="AF147" s="291" t="str">
        <f t="shared" si="31"/>
        <v/>
      </c>
      <c r="AG147" s="1" t="str">
        <f>IF('Sch2a-Imp Price by ECM'!L148="","",'Sch2a-Imp Price by ECM'!L148)</f>
        <v/>
      </c>
    </row>
    <row r="148" spans="1:33" ht="17" thickBot="1">
      <c r="A148" s="290" t="str">
        <f>IF('Sch2a-Imp Price by ECM'!B149="","",'Sch2a-Imp Price by ECM'!B149)</f>
        <v/>
      </c>
      <c r="B148" s="71" t="str">
        <f>IF('Sch2a-Imp Price by ECM'!C149="","",'Sch2a-Imp Price by ECM'!C149)</f>
        <v/>
      </c>
      <c r="C148" s="120"/>
      <c r="D148" s="66"/>
      <c r="E148" s="66"/>
      <c r="F148" s="66"/>
      <c r="G148" s="66"/>
      <c r="H148" s="122"/>
      <c r="I148" s="66"/>
      <c r="J148" s="121"/>
      <c r="K148" s="121"/>
      <c r="L148" s="121"/>
      <c r="M148" s="116"/>
      <c r="N148" s="66"/>
      <c r="O148" s="121"/>
      <c r="P148" s="67"/>
      <c r="Q148" s="121"/>
      <c r="R148" s="67"/>
      <c r="S148" s="65"/>
      <c r="T148" s="67"/>
      <c r="U148" s="65"/>
      <c r="V148" s="64"/>
      <c r="W148" s="65"/>
      <c r="X148" s="161">
        <f t="shared" si="28"/>
        <v>0</v>
      </c>
      <c r="Y148" s="162">
        <f t="shared" si="29"/>
        <v>0</v>
      </c>
      <c r="Z148" s="67"/>
      <c r="AA148" s="65"/>
      <c r="AB148" s="65"/>
      <c r="AC148" s="65"/>
      <c r="AD148" s="123">
        <f t="shared" si="30"/>
        <v>0</v>
      </c>
      <c r="AE148" s="58" t="str">
        <f>'Sch2a-Imp Price by ECM'!K149</f>
        <v/>
      </c>
      <c r="AF148" s="291" t="str">
        <f t="shared" si="31"/>
        <v/>
      </c>
      <c r="AG148" s="1" t="str">
        <f>IF('Sch2a-Imp Price by ECM'!L149="","",'Sch2a-Imp Price by ECM'!L149)</f>
        <v/>
      </c>
    </row>
    <row r="149" spans="1:33" ht="17" thickBot="1">
      <c r="A149" s="290" t="str">
        <f>IF('Sch2a-Imp Price by ECM'!B150="","",'Sch2a-Imp Price by ECM'!B150)</f>
        <v/>
      </c>
      <c r="B149" s="71" t="str">
        <f>IF('Sch2a-Imp Price by ECM'!C150="","",'Sch2a-Imp Price by ECM'!C150)</f>
        <v/>
      </c>
      <c r="C149" s="120"/>
      <c r="D149" s="66"/>
      <c r="E149" s="66"/>
      <c r="F149" s="66"/>
      <c r="G149" s="66"/>
      <c r="H149" s="122"/>
      <c r="I149" s="66"/>
      <c r="J149" s="121"/>
      <c r="K149" s="121"/>
      <c r="L149" s="121"/>
      <c r="M149" s="116"/>
      <c r="N149" s="66"/>
      <c r="O149" s="121"/>
      <c r="P149" s="67"/>
      <c r="Q149" s="121"/>
      <c r="R149" s="67"/>
      <c r="S149" s="65"/>
      <c r="T149" s="67"/>
      <c r="U149" s="65"/>
      <c r="V149" s="64"/>
      <c r="W149" s="65"/>
      <c r="X149" s="161">
        <f t="shared" si="28"/>
        <v>0</v>
      </c>
      <c r="Y149" s="162">
        <f t="shared" si="29"/>
        <v>0</v>
      </c>
      <c r="Z149" s="67"/>
      <c r="AA149" s="65"/>
      <c r="AB149" s="65"/>
      <c r="AC149" s="65"/>
      <c r="AD149" s="123">
        <f t="shared" si="30"/>
        <v>0</v>
      </c>
      <c r="AE149" s="58" t="str">
        <f>'Sch2a-Imp Price by ECM'!K150</f>
        <v/>
      </c>
      <c r="AF149" s="291" t="str">
        <f t="shared" si="31"/>
        <v/>
      </c>
      <c r="AG149" s="1" t="str">
        <f>IF('Sch2a-Imp Price by ECM'!L150="","",'Sch2a-Imp Price by ECM'!L150)</f>
        <v/>
      </c>
    </row>
    <row r="150" spans="1:33" ht="17" thickBot="1">
      <c r="A150" s="290" t="str">
        <f>IF('Sch2a-Imp Price by ECM'!B151="","",'Sch2a-Imp Price by ECM'!B151)</f>
        <v/>
      </c>
      <c r="B150" s="71" t="str">
        <f>IF('Sch2a-Imp Price by ECM'!C151="","",'Sch2a-Imp Price by ECM'!C151)</f>
        <v/>
      </c>
      <c r="C150" s="120"/>
      <c r="D150" s="66"/>
      <c r="E150" s="66"/>
      <c r="F150" s="66"/>
      <c r="G150" s="66"/>
      <c r="H150" s="122"/>
      <c r="I150" s="66"/>
      <c r="J150" s="121"/>
      <c r="K150" s="121"/>
      <c r="L150" s="121"/>
      <c r="M150" s="116"/>
      <c r="N150" s="66"/>
      <c r="O150" s="121"/>
      <c r="P150" s="67"/>
      <c r="Q150" s="121"/>
      <c r="R150" s="67"/>
      <c r="S150" s="65"/>
      <c r="T150" s="67"/>
      <c r="U150" s="65"/>
      <c r="V150" s="64"/>
      <c r="W150" s="65"/>
      <c r="X150" s="161">
        <f t="shared" si="28"/>
        <v>0</v>
      </c>
      <c r="Y150" s="162">
        <f t="shared" si="29"/>
        <v>0</v>
      </c>
      <c r="Z150" s="67"/>
      <c r="AA150" s="65"/>
      <c r="AB150" s="65"/>
      <c r="AC150" s="65"/>
      <c r="AD150" s="123">
        <f t="shared" si="30"/>
        <v>0</v>
      </c>
      <c r="AE150" s="58" t="str">
        <f>'Sch2a-Imp Price by ECM'!K151</f>
        <v/>
      </c>
      <c r="AF150" s="291" t="str">
        <f t="shared" si="31"/>
        <v/>
      </c>
      <c r="AG150" s="1" t="str">
        <f>IF('Sch2a-Imp Price by ECM'!L151="","",'Sch2a-Imp Price by ECM'!L151)</f>
        <v/>
      </c>
    </row>
    <row r="151" spans="1:33" ht="17" thickBot="1">
      <c r="A151" s="290" t="str">
        <f>IF('Sch2a-Imp Price by ECM'!B152="","",'Sch2a-Imp Price by ECM'!B152)</f>
        <v/>
      </c>
      <c r="B151" s="71" t="str">
        <f>IF('Sch2a-Imp Price by ECM'!C152="","",'Sch2a-Imp Price by ECM'!C152)</f>
        <v/>
      </c>
      <c r="C151" s="120"/>
      <c r="D151" s="66"/>
      <c r="E151" s="66"/>
      <c r="F151" s="66"/>
      <c r="G151" s="66"/>
      <c r="H151" s="122"/>
      <c r="I151" s="66"/>
      <c r="J151" s="121"/>
      <c r="K151" s="121"/>
      <c r="L151" s="121"/>
      <c r="M151" s="116"/>
      <c r="N151" s="66"/>
      <c r="O151" s="121"/>
      <c r="P151" s="67"/>
      <c r="Q151" s="121"/>
      <c r="R151" s="67"/>
      <c r="S151" s="65"/>
      <c r="T151" s="67"/>
      <c r="U151" s="65"/>
      <c r="V151" s="64"/>
      <c r="W151" s="65"/>
      <c r="X151" s="161">
        <f t="shared" si="28"/>
        <v>0</v>
      </c>
      <c r="Y151" s="162">
        <f t="shared" si="29"/>
        <v>0</v>
      </c>
      <c r="Z151" s="67"/>
      <c r="AA151" s="65"/>
      <c r="AB151" s="65"/>
      <c r="AC151" s="65"/>
      <c r="AD151" s="123">
        <f t="shared" si="30"/>
        <v>0</v>
      </c>
      <c r="AE151" s="58" t="str">
        <f>'Sch2a-Imp Price by ECM'!K152</f>
        <v/>
      </c>
      <c r="AF151" s="291" t="str">
        <f t="shared" si="31"/>
        <v/>
      </c>
      <c r="AG151" s="1" t="str">
        <f>IF('Sch2a-Imp Price by ECM'!L152="","",'Sch2a-Imp Price by ECM'!L152)</f>
        <v/>
      </c>
    </row>
    <row r="152" spans="1:33" ht="17" thickBot="1">
      <c r="A152" s="290" t="str">
        <f>IF('Sch2a-Imp Price by ECM'!B153="","",'Sch2a-Imp Price by ECM'!B153)</f>
        <v/>
      </c>
      <c r="B152" s="71" t="str">
        <f>IF('Sch2a-Imp Price by ECM'!C153="","",'Sch2a-Imp Price by ECM'!C153)</f>
        <v/>
      </c>
      <c r="C152" s="120"/>
      <c r="D152" s="66"/>
      <c r="E152" s="66"/>
      <c r="F152" s="66"/>
      <c r="G152" s="66"/>
      <c r="H152" s="122"/>
      <c r="I152" s="66"/>
      <c r="J152" s="121"/>
      <c r="K152" s="121"/>
      <c r="L152" s="121"/>
      <c r="M152" s="116"/>
      <c r="N152" s="66"/>
      <c r="O152" s="121"/>
      <c r="P152" s="67"/>
      <c r="Q152" s="121"/>
      <c r="R152" s="67"/>
      <c r="S152" s="65"/>
      <c r="T152" s="67"/>
      <c r="U152" s="65"/>
      <c r="V152" s="64"/>
      <c r="W152" s="65"/>
      <c r="X152" s="161">
        <f t="shared" si="28"/>
        <v>0</v>
      </c>
      <c r="Y152" s="162">
        <f t="shared" si="29"/>
        <v>0</v>
      </c>
      <c r="Z152" s="67"/>
      <c r="AA152" s="65"/>
      <c r="AB152" s="65"/>
      <c r="AC152" s="65"/>
      <c r="AD152" s="123">
        <f t="shared" si="30"/>
        <v>0</v>
      </c>
      <c r="AE152" s="58" t="str">
        <f>'Sch2a-Imp Price by ECM'!K153</f>
        <v/>
      </c>
      <c r="AF152" s="291" t="str">
        <f t="shared" si="31"/>
        <v/>
      </c>
      <c r="AG152" s="1" t="str">
        <f>IF('Sch2a-Imp Price by ECM'!L153="","",'Sch2a-Imp Price by ECM'!L153)</f>
        <v/>
      </c>
    </row>
    <row r="153" spans="1:33" ht="17" thickBot="1">
      <c r="A153" s="290" t="str">
        <f>IF('Sch2a-Imp Price by ECM'!B154="","",'Sch2a-Imp Price by ECM'!B154)</f>
        <v/>
      </c>
      <c r="B153" s="71" t="str">
        <f>IF('Sch2a-Imp Price by ECM'!C154="","",'Sch2a-Imp Price by ECM'!C154)</f>
        <v/>
      </c>
      <c r="C153" s="120"/>
      <c r="D153" s="66"/>
      <c r="E153" s="66"/>
      <c r="F153" s="66"/>
      <c r="G153" s="66"/>
      <c r="H153" s="122"/>
      <c r="I153" s="66"/>
      <c r="J153" s="121"/>
      <c r="K153" s="121"/>
      <c r="L153" s="121"/>
      <c r="M153" s="116"/>
      <c r="N153" s="66"/>
      <c r="O153" s="121"/>
      <c r="P153" s="67"/>
      <c r="Q153" s="121"/>
      <c r="R153" s="67"/>
      <c r="S153" s="65"/>
      <c r="T153" s="67"/>
      <c r="U153" s="65"/>
      <c r="V153" s="64"/>
      <c r="W153" s="65"/>
      <c r="X153" s="161">
        <f t="shared" si="28"/>
        <v>0</v>
      </c>
      <c r="Y153" s="162">
        <f t="shared" si="29"/>
        <v>0</v>
      </c>
      <c r="Z153" s="67"/>
      <c r="AA153" s="65"/>
      <c r="AB153" s="65"/>
      <c r="AC153" s="65"/>
      <c r="AD153" s="123">
        <f t="shared" si="30"/>
        <v>0</v>
      </c>
      <c r="AE153" s="58" t="str">
        <f>'Sch2a-Imp Price by ECM'!K154</f>
        <v/>
      </c>
      <c r="AF153" s="291" t="str">
        <f t="shared" si="31"/>
        <v/>
      </c>
      <c r="AG153" s="1" t="str">
        <f>IF('Sch2a-Imp Price by ECM'!L154="","",'Sch2a-Imp Price by ECM'!L154)</f>
        <v/>
      </c>
    </row>
    <row r="154" spans="1:33" ht="17" thickBot="1">
      <c r="A154" s="290" t="str">
        <f>IF('Sch2a-Imp Price by ECM'!B155="","",'Sch2a-Imp Price by ECM'!B155)</f>
        <v/>
      </c>
      <c r="B154" s="71" t="str">
        <f>IF('Sch2a-Imp Price by ECM'!C155="","",'Sch2a-Imp Price by ECM'!C155)</f>
        <v/>
      </c>
      <c r="C154" s="120"/>
      <c r="D154" s="66"/>
      <c r="E154" s="66"/>
      <c r="F154" s="66"/>
      <c r="G154" s="66"/>
      <c r="H154" s="122"/>
      <c r="I154" s="66"/>
      <c r="J154" s="121"/>
      <c r="K154" s="121"/>
      <c r="L154" s="121"/>
      <c r="M154" s="116"/>
      <c r="N154" s="66"/>
      <c r="O154" s="121"/>
      <c r="P154" s="67"/>
      <c r="Q154" s="121"/>
      <c r="R154" s="67"/>
      <c r="S154" s="65"/>
      <c r="T154" s="67"/>
      <c r="U154" s="65"/>
      <c r="V154" s="64"/>
      <c r="W154" s="65"/>
      <c r="X154" s="161">
        <f t="shared" si="28"/>
        <v>0</v>
      </c>
      <c r="Y154" s="162">
        <f t="shared" si="29"/>
        <v>0</v>
      </c>
      <c r="Z154" s="67"/>
      <c r="AA154" s="65"/>
      <c r="AB154" s="65"/>
      <c r="AC154" s="65"/>
      <c r="AD154" s="123">
        <f t="shared" si="30"/>
        <v>0</v>
      </c>
      <c r="AE154" s="58" t="str">
        <f>'Sch2a-Imp Price by ECM'!K155</f>
        <v/>
      </c>
      <c r="AF154" s="291" t="str">
        <f t="shared" si="31"/>
        <v/>
      </c>
      <c r="AG154" s="1" t="str">
        <f>IF('Sch2a-Imp Price by ECM'!L155="","",'Sch2a-Imp Price by ECM'!L155)</f>
        <v/>
      </c>
    </row>
    <row r="155" spans="1:33" ht="17" thickBot="1">
      <c r="A155" s="290" t="str">
        <f>IF('Sch2a-Imp Price by ECM'!B156="","",'Sch2a-Imp Price by ECM'!B156)</f>
        <v/>
      </c>
      <c r="B155" s="71" t="str">
        <f>IF('Sch2a-Imp Price by ECM'!C156="","",'Sch2a-Imp Price by ECM'!C156)</f>
        <v/>
      </c>
      <c r="C155" s="120"/>
      <c r="D155" s="66"/>
      <c r="E155" s="66"/>
      <c r="F155" s="66"/>
      <c r="G155" s="66"/>
      <c r="H155" s="122"/>
      <c r="I155" s="66"/>
      <c r="J155" s="121"/>
      <c r="K155" s="121"/>
      <c r="L155" s="121"/>
      <c r="M155" s="116"/>
      <c r="N155" s="66"/>
      <c r="O155" s="121"/>
      <c r="P155" s="67"/>
      <c r="Q155" s="121"/>
      <c r="R155" s="67"/>
      <c r="S155" s="65"/>
      <c r="T155" s="67"/>
      <c r="U155" s="65"/>
      <c r="V155" s="64"/>
      <c r="W155" s="65"/>
      <c r="X155" s="161">
        <f t="shared" si="28"/>
        <v>0</v>
      </c>
      <c r="Y155" s="162">
        <f t="shared" si="29"/>
        <v>0</v>
      </c>
      <c r="Z155" s="67"/>
      <c r="AA155" s="65"/>
      <c r="AB155" s="65"/>
      <c r="AC155" s="65"/>
      <c r="AD155" s="123">
        <f t="shared" si="30"/>
        <v>0</v>
      </c>
      <c r="AE155" s="58" t="str">
        <f>'Sch2a-Imp Price by ECM'!K156</f>
        <v/>
      </c>
      <c r="AF155" s="291" t="str">
        <f t="shared" si="31"/>
        <v/>
      </c>
      <c r="AG155" s="1" t="str">
        <f>IF('Sch2a-Imp Price by ECM'!L156="","",'Sch2a-Imp Price by ECM'!L156)</f>
        <v/>
      </c>
    </row>
    <row r="156" spans="1:33" ht="17" thickBot="1">
      <c r="A156" s="290" t="str">
        <f>IF('Sch2a-Imp Price by ECM'!B157="","",'Sch2a-Imp Price by ECM'!B157)</f>
        <v/>
      </c>
      <c r="B156" s="71" t="str">
        <f>IF('Sch2a-Imp Price by ECM'!C157="","",'Sch2a-Imp Price by ECM'!C157)</f>
        <v/>
      </c>
      <c r="C156" s="120"/>
      <c r="D156" s="66"/>
      <c r="E156" s="66"/>
      <c r="F156" s="66"/>
      <c r="G156" s="66"/>
      <c r="H156" s="122"/>
      <c r="I156" s="66"/>
      <c r="J156" s="121"/>
      <c r="K156" s="121"/>
      <c r="L156" s="121"/>
      <c r="M156" s="122"/>
      <c r="N156" s="66"/>
      <c r="O156" s="121"/>
      <c r="P156" s="67"/>
      <c r="Q156" s="121"/>
      <c r="R156" s="67"/>
      <c r="S156" s="65"/>
      <c r="T156" s="67"/>
      <c r="U156" s="65"/>
      <c r="V156" s="64"/>
      <c r="W156" s="65"/>
      <c r="X156" s="161">
        <f t="shared" ref="X156:X176" si="32">(N156*3412/10^6)+R156+T156+V156</f>
        <v>0</v>
      </c>
      <c r="Y156" s="162">
        <f t="shared" ref="Y156:Y176" si="33">O156+Q156+U156+W156+S156</f>
        <v>0</v>
      </c>
      <c r="Z156" s="67"/>
      <c r="AA156" s="65"/>
      <c r="AB156" s="65"/>
      <c r="AC156" s="65"/>
      <c r="AD156" s="123">
        <f t="shared" ref="AD156:AD176" si="34">Y156+AA156+AB156+AC156</f>
        <v>0</v>
      </c>
      <c r="AE156" s="58" t="str">
        <f>'Sch2a-Imp Price by ECM'!K157</f>
        <v/>
      </c>
      <c r="AF156" s="291" t="str">
        <f t="shared" ref="AF156:AF176" si="35">IF(AD156=0,"",AE156/AD156)</f>
        <v/>
      </c>
      <c r="AG156" s="1" t="str">
        <f>IF('Sch2a-Imp Price by ECM'!L157="","",'Sch2a-Imp Price by ECM'!L157)</f>
        <v/>
      </c>
    </row>
    <row r="157" spans="1:33" ht="17" thickBot="1">
      <c r="A157" s="290" t="str">
        <f>IF('Sch2a-Imp Price by ECM'!B158="","",'Sch2a-Imp Price by ECM'!B158)</f>
        <v/>
      </c>
      <c r="B157" s="71" t="str">
        <f>IF('Sch2a-Imp Price by ECM'!C158="","",'Sch2a-Imp Price by ECM'!C158)</f>
        <v/>
      </c>
      <c r="C157" s="120"/>
      <c r="D157" s="66"/>
      <c r="E157" s="66"/>
      <c r="F157" s="66"/>
      <c r="G157" s="66"/>
      <c r="H157" s="122"/>
      <c r="I157" s="66"/>
      <c r="J157" s="121"/>
      <c r="K157" s="121"/>
      <c r="L157" s="121"/>
      <c r="M157" s="122"/>
      <c r="N157" s="66"/>
      <c r="O157" s="121"/>
      <c r="P157" s="67"/>
      <c r="Q157" s="121"/>
      <c r="R157" s="67"/>
      <c r="S157" s="65"/>
      <c r="T157" s="67"/>
      <c r="U157" s="65"/>
      <c r="V157" s="64"/>
      <c r="W157" s="65"/>
      <c r="X157" s="161">
        <f t="shared" si="32"/>
        <v>0</v>
      </c>
      <c r="Y157" s="162">
        <f t="shared" si="33"/>
        <v>0</v>
      </c>
      <c r="Z157" s="67"/>
      <c r="AA157" s="65"/>
      <c r="AB157" s="65"/>
      <c r="AC157" s="65"/>
      <c r="AD157" s="123">
        <f t="shared" si="34"/>
        <v>0</v>
      </c>
      <c r="AE157" s="58" t="str">
        <f>'Sch2a-Imp Price by ECM'!K158</f>
        <v/>
      </c>
      <c r="AF157" s="291" t="str">
        <f t="shared" si="35"/>
        <v/>
      </c>
      <c r="AG157" s="1" t="str">
        <f>IF('Sch2a-Imp Price by ECM'!L158="","",'Sch2a-Imp Price by ECM'!L158)</f>
        <v/>
      </c>
    </row>
    <row r="158" spans="1:33" ht="17" thickBot="1">
      <c r="A158" s="290" t="str">
        <f>IF('Sch2a-Imp Price by ECM'!B159="","",'Sch2a-Imp Price by ECM'!B159)</f>
        <v/>
      </c>
      <c r="B158" s="71" t="str">
        <f>IF('Sch2a-Imp Price by ECM'!C159="","",'Sch2a-Imp Price by ECM'!C159)</f>
        <v/>
      </c>
      <c r="C158" s="120"/>
      <c r="D158" s="66"/>
      <c r="E158" s="66"/>
      <c r="F158" s="66"/>
      <c r="G158" s="66"/>
      <c r="H158" s="122"/>
      <c r="I158" s="66"/>
      <c r="J158" s="121"/>
      <c r="K158" s="121"/>
      <c r="L158" s="121"/>
      <c r="M158" s="122"/>
      <c r="N158" s="66"/>
      <c r="O158" s="121"/>
      <c r="P158" s="67"/>
      <c r="Q158" s="121"/>
      <c r="R158" s="67"/>
      <c r="S158" s="65"/>
      <c r="T158" s="67"/>
      <c r="U158" s="65"/>
      <c r="V158" s="64"/>
      <c r="W158" s="65"/>
      <c r="X158" s="161">
        <f t="shared" si="32"/>
        <v>0</v>
      </c>
      <c r="Y158" s="162">
        <f t="shared" si="33"/>
        <v>0</v>
      </c>
      <c r="Z158" s="67"/>
      <c r="AA158" s="65"/>
      <c r="AB158" s="65"/>
      <c r="AC158" s="65"/>
      <c r="AD158" s="123">
        <f t="shared" si="34"/>
        <v>0</v>
      </c>
      <c r="AE158" s="58" t="str">
        <f>'Sch2a-Imp Price by ECM'!K159</f>
        <v/>
      </c>
      <c r="AF158" s="291" t="str">
        <f t="shared" si="35"/>
        <v/>
      </c>
      <c r="AG158" s="1" t="str">
        <f>IF('Sch2a-Imp Price by ECM'!L159="","",'Sch2a-Imp Price by ECM'!L159)</f>
        <v/>
      </c>
    </row>
    <row r="159" spans="1:33" ht="17" thickBot="1">
      <c r="A159" s="290" t="str">
        <f>IF('Sch2a-Imp Price by ECM'!B160="","",'Sch2a-Imp Price by ECM'!B160)</f>
        <v/>
      </c>
      <c r="B159" s="71" t="str">
        <f>IF('Sch2a-Imp Price by ECM'!C160="","",'Sch2a-Imp Price by ECM'!C160)</f>
        <v/>
      </c>
      <c r="C159" s="120"/>
      <c r="D159" s="66"/>
      <c r="E159" s="66"/>
      <c r="F159" s="66"/>
      <c r="G159" s="66"/>
      <c r="H159" s="122"/>
      <c r="I159" s="66"/>
      <c r="J159" s="121"/>
      <c r="K159" s="121"/>
      <c r="L159" s="121"/>
      <c r="M159" s="122"/>
      <c r="N159" s="66"/>
      <c r="O159" s="121"/>
      <c r="P159" s="67"/>
      <c r="Q159" s="121"/>
      <c r="R159" s="67"/>
      <c r="S159" s="65"/>
      <c r="T159" s="67"/>
      <c r="U159" s="65"/>
      <c r="V159" s="64"/>
      <c r="W159" s="65"/>
      <c r="X159" s="161">
        <f t="shared" si="32"/>
        <v>0</v>
      </c>
      <c r="Y159" s="162">
        <f t="shared" si="33"/>
        <v>0</v>
      </c>
      <c r="Z159" s="67"/>
      <c r="AA159" s="65"/>
      <c r="AB159" s="65"/>
      <c r="AC159" s="65"/>
      <c r="AD159" s="123">
        <f t="shared" si="34"/>
        <v>0</v>
      </c>
      <c r="AE159" s="58" t="str">
        <f>'Sch2a-Imp Price by ECM'!K160</f>
        <v/>
      </c>
      <c r="AF159" s="291" t="str">
        <f t="shared" si="35"/>
        <v/>
      </c>
      <c r="AG159" s="1" t="str">
        <f>IF('Sch2a-Imp Price by ECM'!L160="","",'Sch2a-Imp Price by ECM'!L160)</f>
        <v/>
      </c>
    </row>
    <row r="160" spans="1:33" ht="18" customHeight="1" thickBot="1">
      <c r="A160" s="290" t="str">
        <f>IF('Sch2a-Imp Price by ECM'!B161="","",'Sch2a-Imp Price by ECM'!B161)</f>
        <v/>
      </c>
      <c r="B160" s="71" t="str">
        <f>IF('Sch2a-Imp Price by ECM'!C161="","",'Sch2a-Imp Price by ECM'!C161)</f>
        <v/>
      </c>
      <c r="C160" s="120"/>
      <c r="D160" s="66"/>
      <c r="E160" s="66"/>
      <c r="F160" s="66"/>
      <c r="G160" s="66"/>
      <c r="H160" s="122"/>
      <c r="I160" s="66"/>
      <c r="J160" s="121"/>
      <c r="K160" s="121"/>
      <c r="L160" s="121"/>
      <c r="M160" s="122"/>
      <c r="N160" s="66"/>
      <c r="O160" s="121"/>
      <c r="P160" s="67"/>
      <c r="Q160" s="121"/>
      <c r="R160" s="67"/>
      <c r="S160" s="65"/>
      <c r="T160" s="67"/>
      <c r="U160" s="65"/>
      <c r="V160" s="64"/>
      <c r="W160" s="65"/>
      <c r="X160" s="161">
        <f t="shared" si="32"/>
        <v>0</v>
      </c>
      <c r="Y160" s="162">
        <f t="shared" si="33"/>
        <v>0</v>
      </c>
      <c r="Z160" s="67"/>
      <c r="AA160" s="65"/>
      <c r="AB160" s="65"/>
      <c r="AC160" s="65"/>
      <c r="AD160" s="123">
        <f t="shared" si="34"/>
        <v>0</v>
      </c>
      <c r="AE160" s="58" t="str">
        <f>'Sch2a-Imp Price by ECM'!K161</f>
        <v/>
      </c>
      <c r="AF160" s="291" t="str">
        <f t="shared" si="35"/>
        <v/>
      </c>
      <c r="AG160" s="1" t="str">
        <f>IF('Sch2a-Imp Price by ECM'!L161="","",'Sch2a-Imp Price by ECM'!L161)</f>
        <v/>
      </c>
    </row>
    <row r="161" spans="1:33" ht="17" thickBot="1">
      <c r="A161" s="290" t="str">
        <f>IF('Sch2a-Imp Price by ECM'!B162="","",'Sch2a-Imp Price by ECM'!B162)</f>
        <v/>
      </c>
      <c r="B161" s="71" t="str">
        <f>IF('Sch2a-Imp Price by ECM'!C162="","",'Sch2a-Imp Price by ECM'!C162)</f>
        <v/>
      </c>
      <c r="C161" s="120"/>
      <c r="D161" s="66"/>
      <c r="E161" s="66"/>
      <c r="F161" s="66"/>
      <c r="G161" s="66"/>
      <c r="H161" s="122"/>
      <c r="I161" s="66"/>
      <c r="J161" s="121"/>
      <c r="K161" s="121"/>
      <c r="L161" s="121"/>
      <c r="M161" s="122"/>
      <c r="N161" s="66"/>
      <c r="O161" s="121"/>
      <c r="P161" s="67"/>
      <c r="Q161" s="121"/>
      <c r="R161" s="67"/>
      <c r="S161" s="65"/>
      <c r="T161" s="67"/>
      <c r="U161" s="65"/>
      <c r="V161" s="64"/>
      <c r="W161" s="65"/>
      <c r="X161" s="161">
        <f t="shared" si="32"/>
        <v>0</v>
      </c>
      <c r="Y161" s="162">
        <f t="shared" si="33"/>
        <v>0</v>
      </c>
      <c r="Z161" s="67"/>
      <c r="AA161" s="65"/>
      <c r="AB161" s="65"/>
      <c r="AC161" s="65"/>
      <c r="AD161" s="123">
        <f t="shared" si="34"/>
        <v>0</v>
      </c>
      <c r="AE161" s="58" t="str">
        <f>'Sch2a-Imp Price by ECM'!K162</f>
        <v/>
      </c>
      <c r="AF161" s="291" t="str">
        <f t="shared" si="35"/>
        <v/>
      </c>
      <c r="AG161" s="1" t="str">
        <f>IF('Sch2a-Imp Price by ECM'!L162="","",'Sch2a-Imp Price by ECM'!L162)</f>
        <v/>
      </c>
    </row>
    <row r="162" spans="1:33" ht="17" thickBot="1">
      <c r="A162" s="290" t="str">
        <f>IF('Sch2a-Imp Price by ECM'!B163="","",'Sch2a-Imp Price by ECM'!B163)</f>
        <v/>
      </c>
      <c r="B162" s="71" t="str">
        <f>IF('Sch2a-Imp Price by ECM'!C163="","",'Sch2a-Imp Price by ECM'!C163)</f>
        <v/>
      </c>
      <c r="C162" s="120"/>
      <c r="D162" s="66"/>
      <c r="E162" s="66"/>
      <c r="F162" s="66"/>
      <c r="G162" s="66"/>
      <c r="H162" s="122"/>
      <c r="I162" s="66"/>
      <c r="J162" s="121"/>
      <c r="K162" s="121"/>
      <c r="L162" s="121"/>
      <c r="M162" s="122"/>
      <c r="N162" s="66"/>
      <c r="O162" s="121"/>
      <c r="P162" s="67"/>
      <c r="Q162" s="121"/>
      <c r="R162" s="67"/>
      <c r="S162" s="65"/>
      <c r="T162" s="67"/>
      <c r="U162" s="65"/>
      <c r="V162" s="64"/>
      <c r="W162" s="65"/>
      <c r="X162" s="161">
        <f t="shared" si="32"/>
        <v>0</v>
      </c>
      <c r="Y162" s="162">
        <f t="shared" si="33"/>
        <v>0</v>
      </c>
      <c r="Z162" s="67"/>
      <c r="AA162" s="65"/>
      <c r="AB162" s="65"/>
      <c r="AC162" s="65"/>
      <c r="AD162" s="123">
        <f t="shared" si="34"/>
        <v>0</v>
      </c>
      <c r="AE162" s="58" t="str">
        <f>'Sch2a-Imp Price by ECM'!K163</f>
        <v/>
      </c>
      <c r="AF162" s="291" t="str">
        <f t="shared" si="35"/>
        <v/>
      </c>
      <c r="AG162" s="1" t="str">
        <f>IF('Sch2a-Imp Price by ECM'!L163="","",'Sch2a-Imp Price by ECM'!L163)</f>
        <v/>
      </c>
    </row>
    <row r="163" spans="1:33" ht="17" thickBot="1">
      <c r="A163" s="290" t="str">
        <f>IF('Sch2a-Imp Price by ECM'!B164="","",'Sch2a-Imp Price by ECM'!B164)</f>
        <v/>
      </c>
      <c r="B163" s="71" t="str">
        <f>IF('Sch2a-Imp Price by ECM'!C164="","",'Sch2a-Imp Price by ECM'!C164)</f>
        <v/>
      </c>
      <c r="C163" s="120"/>
      <c r="D163" s="66"/>
      <c r="E163" s="66"/>
      <c r="F163" s="66"/>
      <c r="G163" s="66"/>
      <c r="H163" s="122"/>
      <c r="I163" s="66"/>
      <c r="J163" s="121"/>
      <c r="K163" s="121"/>
      <c r="L163" s="121"/>
      <c r="M163" s="116"/>
      <c r="N163" s="66"/>
      <c r="O163" s="121"/>
      <c r="P163" s="67"/>
      <c r="Q163" s="121"/>
      <c r="R163" s="67"/>
      <c r="S163" s="65"/>
      <c r="T163" s="67"/>
      <c r="U163" s="65"/>
      <c r="V163" s="64"/>
      <c r="W163" s="65"/>
      <c r="X163" s="161">
        <f t="shared" si="32"/>
        <v>0</v>
      </c>
      <c r="Y163" s="162">
        <f t="shared" si="33"/>
        <v>0</v>
      </c>
      <c r="Z163" s="67"/>
      <c r="AA163" s="65"/>
      <c r="AB163" s="65"/>
      <c r="AC163" s="65"/>
      <c r="AD163" s="123">
        <f t="shared" si="34"/>
        <v>0</v>
      </c>
      <c r="AE163" s="58" t="str">
        <f>'Sch2a-Imp Price by ECM'!K164</f>
        <v/>
      </c>
      <c r="AF163" s="291" t="str">
        <f t="shared" si="35"/>
        <v/>
      </c>
      <c r="AG163" s="1" t="str">
        <f>IF('Sch2a-Imp Price by ECM'!L164="","",'Sch2a-Imp Price by ECM'!L164)</f>
        <v/>
      </c>
    </row>
    <row r="164" spans="1:33" ht="17" thickBot="1">
      <c r="A164" s="290" t="str">
        <f>IF('Sch2a-Imp Price by ECM'!B165="","",'Sch2a-Imp Price by ECM'!B165)</f>
        <v/>
      </c>
      <c r="B164" s="71" t="str">
        <f>IF('Sch2a-Imp Price by ECM'!C165="","",'Sch2a-Imp Price by ECM'!C165)</f>
        <v/>
      </c>
      <c r="C164" s="120"/>
      <c r="D164" s="66"/>
      <c r="E164" s="66"/>
      <c r="F164" s="66"/>
      <c r="G164" s="66"/>
      <c r="H164" s="122"/>
      <c r="I164" s="66"/>
      <c r="J164" s="121"/>
      <c r="K164" s="121"/>
      <c r="L164" s="121"/>
      <c r="M164" s="116"/>
      <c r="N164" s="66"/>
      <c r="O164" s="121"/>
      <c r="P164" s="67"/>
      <c r="Q164" s="121"/>
      <c r="R164" s="67"/>
      <c r="S164" s="65"/>
      <c r="T164" s="67"/>
      <c r="U164" s="65"/>
      <c r="V164" s="64"/>
      <c r="W164" s="65"/>
      <c r="X164" s="161">
        <f t="shared" si="32"/>
        <v>0</v>
      </c>
      <c r="Y164" s="162">
        <f t="shared" si="33"/>
        <v>0</v>
      </c>
      <c r="Z164" s="67"/>
      <c r="AA164" s="65"/>
      <c r="AB164" s="65"/>
      <c r="AC164" s="65"/>
      <c r="AD164" s="123">
        <f t="shared" si="34"/>
        <v>0</v>
      </c>
      <c r="AE164" s="58" t="str">
        <f>'Sch2a-Imp Price by ECM'!K165</f>
        <v/>
      </c>
      <c r="AF164" s="291" t="str">
        <f t="shared" si="35"/>
        <v/>
      </c>
      <c r="AG164" s="1" t="str">
        <f>IF('Sch2a-Imp Price by ECM'!L165="","",'Sch2a-Imp Price by ECM'!L165)</f>
        <v/>
      </c>
    </row>
    <row r="165" spans="1:33" ht="17" thickBot="1">
      <c r="A165" s="290" t="str">
        <f>IF('Sch2a-Imp Price by ECM'!B166="","",'Sch2a-Imp Price by ECM'!B166)</f>
        <v/>
      </c>
      <c r="B165" s="71" t="str">
        <f>IF('Sch2a-Imp Price by ECM'!C166="","",'Sch2a-Imp Price by ECM'!C166)</f>
        <v/>
      </c>
      <c r="C165" s="120"/>
      <c r="D165" s="66"/>
      <c r="E165" s="66"/>
      <c r="F165" s="66"/>
      <c r="G165" s="66"/>
      <c r="H165" s="122"/>
      <c r="I165" s="66"/>
      <c r="J165" s="121"/>
      <c r="K165" s="121"/>
      <c r="L165" s="121"/>
      <c r="M165" s="116"/>
      <c r="N165" s="66"/>
      <c r="O165" s="121"/>
      <c r="P165" s="67"/>
      <c r="Q165" s="121"/>
      <c r="R165" s="67"/>
      <c r="S165" s="65"/>
      <c r="T165" s="67"/>
      <c r="U165" s="65"/>
      <c r="V165" s="64"/>
      <c r="W165" s="65"/>
      <c r="X165" s="161">
        <f t="shared" si="32"/>
        <v>0</v>
      </c>
      <c r="Y165" s="162">
        <f t="shared" si="33"/>
        <v>0</v>
      </c>
      <c r="Z165" s="67"/>
      <c r="AA165" s="65"/>
      <c r="AB165" s="65"/>
      <c r="AC165" s="65"/>
      <c r="AD165" s="123">
        <f t="shared" si="34"/>
        <v>0</v>
      </c>
      <c r="AE165" s="58" t="str">
        <f>'Sch2a-Imp Price by ECM'!K166</f>
        <v/>
      </c>
      <c r="AF165" s="291" t="str">
        <f t="shared" si="35"/>
        <v/>
      </c>
      <c r="AG165" s="1" t="str">
        <f>IF('Sch2a-Imp Price by ECM'!L166="","",'Sch2a-Imp Price by ECM'!L166)</f>
        <v/>
      </c>
    </row>
    <row r="166" spans="1:33" ht="17" thickBot="1">
      <c r="A166" s="290" t="str">
        <f>IF('Sch2a-Imp Price by ECM'!B167="","",'Sch2a-Imp Price by ECM'!B167)</f>
        <v/>
      </c>
      <c r="B166" s="71" t="str">
        <f>IF('Sch2a-Imp Price by ECM'!C167="","",'Sch2a-Imp Price by ECM'!C167)</f>
        <v/>
      </c>
      <c r="C166" s="120"/>
      <c r="D166" s="66"/>
      <c r="E166" s="66"/>
      <c r="F166" s="66"/>
      <c r="G166" s="66"/>
      <c r="H166" s="122"/>
      <c r="I166" s="66"/>
      <c r="J166" s="121"/>
      <c r="K166" s="121"/>
      <c r="L166" s="121"/>
      <c r="M166" s="116"/>
      <c r="N166" s="66"/>
      <c r="O166" s="121"/>
      <c r="P166" s="67"/>
      <c r="Q166" s="121"/>
      <c r="R166" s="67"/>
      <c r="S166" s="65"/>
      <c r="T166" s="67"/>
      <c r="U166" s="65"/>
      <c r="V166" s="64"/>
      <c r="W166" s="65"/>
      <c r="X166" s="161">
        <f t="shared" si="32"/>
        <v>0</v>
      </c>
      <c r="Y166" s="162">
        <f t="shared" si="33"/>
        <v>0</v>
      </c>
      <c r="Z166" s="67"/>
      <c r="AA166" s="65"/>
      <c r="AB166" s="65"/>
      <c r="AC166" s="65"/>
      <c r="AD166" s="123">
        <f t="shared" si="34"/>
        <v>0</v>
      </c>
      <c r="AE166" s="58" t="str">
        <f>'Sch2a-Imp Price by ECM'!K167</f>
        <v/>
      </c>
      <c r="AF166" s="291" t="str">
        <f t="shared" si="35"/>
        <v/>
      </c>
      <c r="AG166" s="1" t="str">
        <f>IF('Sch2a-Imp Price by ECM'!L167="","",'Sch2a-Imp Price by ECM'!L167)</f>
        <v/>
      </c>
    </row>
    <row r="167" spans="1:33" ht="17" thickBot="1">
      <c r="A167" s="290" t="str">
        <f>IF('Sch2a-Imp Price by ECM'!B168="","",'Sch2a-Imp Price by ECM'!B168)</f>
        <v/>
      </c>
      <c r="B167" s="71" t="str">
        <f>IF('Sch2a-Imp Price by ECM'!C168="","",'Sch2a-Imp Price by ECM'!C168)</f>
        <v/>
      </c>
      <c r="C167" s="120"/>
      <c r="D167" s="66"/>
      <c r="E167" s="66"/>
      <c r="F167" s="66"/>
      <c r="G167" s="66"/>
      <c r="H167" s="122"/>
      <c r="I167" s="66"/>
      <c r="J167" s="121"/>
      <c r="K167" s="121"/>
      <c r="L167" s="121"/>
      <c r="M167" s="116"/>
      <c r="N167" s="66"/>
      <c r="O167" s="121"/>
      <c r="P167" s="67"/>
      <c r="Q167" s="121"/>
      <c r="R167" s="67"/>
      <c r="S167" s="65"/>
      <c r="T167" s="67"/>
      <c r="U167" s="65"/>
      <c r="V167" s="64"/>
      <c r="W167" s="65"/>
      <c r="X167" s="161">
        <f t="shared" si="32"/>
        <v>0</v>
      </c>
      <c r="Y167" s="162">
        <f t="shared" si="33"/>
        <v>0</v>
      </c>
      <c r="Z167" s="67"/>
      <c r="AA167" s="65"/>
      <c r="AB167" s="65"/>
      <c r="AC167" s="65"/>
      <c r="AD167" s="123">
        <f t="shared" si="34"/>
        <v>0</v>
      </c>
      <c r="AE167" s="58" t="str">
        <f>'Sch2a-Imp Price by ECM'!K168</f>
        <v/>
      </c>
      <c r="AF167" s="291" t="str">
        <f t="shared" si="35"/>
        <v/>
      </c>
      <c r="AG167" s="1" t="str">
        <f>IF('Sch2a-Imp Price by ECM'!L168="","",'Sch2a-Imp Price by ECM'!L168)</f>
        <v/>
      </c>
    </row>
    <row r="168" spans="1:33" ht="17" thickBot="1">
      <c r="A168" s="290" t="str">
        <f>IF('Sch2a-Imp Price by ECM'!B169="","",'Sch2a-Imp Price by ECM'!B169)</f>
        <v/>
      </c>
      <c r="B168" s="71" t="str">
        <f>IF('Sch2a-Imp Price by ECM'!C169="","",'Sch2a-Imp Price by ECM'!C169)</f>
        <v/>
      </c>
      <c r="C168" s="120"/>
      <c r="D168" s="66"/>
      <c r="E168" s="66"/>
      <c r="F168" s="66"/>
      <c r="G168" s="66"/>
      <c r="H168" s="122"/>
      <c r="I168" s="66"/>
      <c r="J168" s="121"/>
      <c r="K168" s="121"/>
      <c r="L168" s="121"/>
      <c r="M168" s="116"/>
      <c r="N168" s="66"/>
      <c r="O168" s="121"/>
      <c r="P168" s="67"/>
      <c r="Q168" s="121"/>
      <c r="R168" s="67"/>
      <c r="S168" s="65"/>
      <c r="T168" s="67"/>
      <c r="U168" s="65"/>
      <c r="V168" s="64"/>
      <c r="W168" s="65"/>
      <c r="X168" s="161">
        <f t="shared" si="32"/>
        <v>0</v>
      </c>
      <c r="Y168" s="162">
        <f t="shared" si="33"/>
        <v>0</v>
      </c>
      <c r="Z168" s="67"/>
      <c r="AA168" s="65"/>
      <c r="AB168" s="65"/>
      <c r="AC168" s="65"/>
      <c r="AD168" s="123">
        <f t="shared" si="34"/>
        <v>0</v>
      </c>
      <c r="AE168" s="58" t="str">
        <f>'Sch2a-Imp Price by ECM'!K169</f>
        <v/>
      </c>
      <c r="AF168" s="291" t="str">
        <f t="shared" si="35"/>
        <v/>
      </c>
      <c r="AG168" s="1" t="str">
        <f>IF('Sch2a-Imp Price by ECM'!L169="","",'Sch2a-Imp Price by ECM'!L169)</f>
        <v/>
      </c>
    </row>
    <row r="169" spans="1:33" ht="17" thickBot="1">
      <c r="A169" s="290" t="str">
        <f>IF('Sch2a-Imp Price by ECM'!B170="","",'Sch2a-Imp Price by ECM'!B170)</f>
        <v/>
      </c>
      <c r="B169" s="71" t="str">
        <f>IF('Sch2a-Imp Price by ECM'!C170="","",'Sch2a-Imp Price by ECM'!C170)</f>
        <v/>
      </c>
      <c r="C169" s="120"/>
      <c r="D169" s="66"/>
      <c r="E169" s="66"/>
      <c r="F169" s="66"/>
      <c r="G169" s="66"/>
      <c r="H169" s="122"/>
      <c r="I169" s="66"/>
      <c r="J169" s="121"/>
      <c r="K169" s="121"/>
      <c r="L169" s="121"/>
      <c r="M169" s="116"/>
      <c r="N169" s="66"/>
      <c r="O169" s="121"/>
      <c r="P169" s="67"/>
      <c r="Q169" s="121"/>
      <c r="R169" s="67"/>
      <c r="S169" s="65"/>
      <c r="T169" s="67"/>
      <c r="U169" s="65"/>
      <c r="V169" s="64"/>
      <c r="W169" s="65"/>
      <c r="X169" s="161">
        <f t="shared" si="32"/>
        <v>0</v>
      </c>
      <c r="Y169" s="162">
        <f t="shared" si="33"/>
        <v>0</v>
      </c>
      <c r="Z169" s="67"/>
      <c r="AA169" s="65"/>
      <c r="AB169" s="65"/>
      <c r="AC169" s="65"/>
      <c r="AD169" s="123">
        <f t="shared" si="34"/>
        <v>0</v>
      </c>
      <c r="AE169" s="58" t="str">
        <f>'Sch2a-Imp Price by ECM'!K170</f>
        <v/>
      </c>
      <c r="AF169" s="291" t="str">
        <f t="shared" si="35"/>
        <v/>
      </c>
      <c r="AG169" s="1" t="str">
        <f>IF('Sch2a-Imp Price by ECM'!L170="","",'Sch2a-Imp Price by ECM'!L170)</f>
        <v/>
      </c>
    </row>
    <row r="170" spans="1:33" ht="17" thickBot="1">
      <c r="A170" s="290" t="str">
        <f>IF('Sch2a-Imp Price by ECM'!B171="","",'Sch2a-Imp Price by ECM'!B171)</f>
        <v/>
      </c>
      <c r="B170" s="71" t="str">
        <f>IF('Sch2a-Imp Price by ECM'!C171="","",'Sch2a-Imp Price by ECM'!C171)</f>
        <v/>
      </c>
      <c r="C170" s="120"/>
      <c r="D170" s="66"/>
      <c r="E170" s="66"/>
      <c r="F170" s="66"/>
      <c r="G170" s="66"/>
      <c r="H170" s="122"/>
      <c r="I170" s="66"/>
      <c r="J170" s="121"/>
      <c r="K170" s="121"/>
      <c r="L170" s="121"/>
      <c r="M170" s="116"/>
      <c r="N170" s="66"/>
      <c r="O170" s="121"/>
      <c r="P170" s="67"/>
      <c r="Q170" s="121"/>
      <c r="R170" s="67"/>
      <c r="S170" s="65"/>
      <c r="T170" s="67"/>
      <c r="U170" s="65"/>
      <c r="V170" s="64"/>
      <c r="W170" s="65"/>
      <c r="X170" s="161">
        <f t="shared" si="32"/>
        <v>0</v>
      </c>
      <c r="Y170" s="162">
        <f t="shared" si="33"/>
        <v>0</v>
      </c>
      <c r="Z170" s="67"/>
      <c r="AA170" s="65"/>
      <c r="AB170" s="65"/>
      <c r="AC170" s="65"/>
      <c r="AD170" s="123">
        <f t="shared" si="34"/>
        <v>0</v>
      </c>
      <c r="AE170" s="58" t="str">
        <f>'Sch2a-Imp Price by ECM'!K171</f>
        <v/>
      </c>
      <c r="AF170" s="291" t="str">
        <f t="shared" si="35"/>
        <v/>
      </c>
      <c r="AG170" s="1" t="str">
        <f>IF('Sch2a-Imp Price by ECM'!L171="","",'Sch2a-Imp Price by ECM'!L171)</f>
        <v/>
      </c>
    </row>
    <row r="171" spans="1:33" ht="17" thickBot="1">
      <c r="A171" s="290" t="str">
        <f>IF('Sch2a-Imp Price by ECM'!B172="","",'Sch2a-Imp Price by ECM'!B172)</f>
        <v/>
      </c>
      <c r="B171" s="71" t="str">
        <f>IF('Sch2a-Imp Price by ECM'!C172="","",'Sch2a-Imp Price by ECM'!C172)</f>
        <v/>
      </c>
      <c r="C171" s="120"/>
      <c r="D171" s="66"/>
      <c r="E171" s="66"/>
      <c r="F171" s="66"/>
      <c r="G171" s="66"/>
      <c r="H171" s="122"/>
      <c r="I171" s="66"/>
      <c r="J171" s="121"/>
      <c r="K171" s="121"/>
      <c r="L171" s="121"/>
      <c r="M171" s="116"/>
      <c r="N171" s="66"/>
      <c r="O171" s="121"/>
      <c r="P171" s="67"/>
      <c r="Q171" s="121"/>
      <c r="R171" s="67"/>
      <c r="S171" s="65"/>
      <c r="T171" s="67"/>
      <c r="U171" s="65"/>
      <c r="V171" s="64"/>
      <c r="W171" s="65"/>
      <c r="X171" s="161">
        <f t="shared" si="32"/>
        <v>0</v>
      </c>
      <c r="Y171" s="162">
        <f t="shared" si="33"/>
        <v>0</v>
      </c>
      <c r="Z171" s="67"/>
      <c r="AA171" s="65"/>
      <c r="AB171" s="65"/>
      <c r="AC171" s="65"/>
      <c r="AD171" s="123">
        <f t="shared" si="34"/>
        <v>0</v>
      </c>
      <c r="AE171" s="58" t="str">
        <f>'Sch2a-Imp Price by ECM'!K172</f>
        <v/>
      </c>
      <c r="AF171" s="291" t="str">
        <f t="shared" si="35"/>
        <v/>
      </c>
      <c r="AG171" s="1" t="str">
        <f>IF('Sch2a-Imp Price by ECM'!L172="","",'Sch2a-Imp Price by ECM'!L172)</f>
        <v/>
      </c>
    </row>
    <row r="172" spans="1:33" ht="17" thickBot="1">
      <c r="A172" s="290" t="str">
        <f>IF('Sch2a-Imp Price by ECM'!B173="","",'Sch2a-Imp Price by ECM'!B173)</f>
        <v/>
      </c>
      <c r="B172" s="71" t="str">
        <f>IF('Sch2a-Imp Price by ECM'!C173="","",'Sch2a-Imp Price by ECM'!C173)</f>
        <v/>
      </c>
      <c r="C172" s="120"/>
      <c r="D172" s="66"/>
      <c r="E172" s="66"/>
      <c r="F172" s="66"/>
      <c r="G172" s="66"/>
      <c r="H172" s="122"/>
      <c r="I172" s="66"/>
      <c r="J172" s="121"/>
      <c r="K172" s="121"/>
      <c r="L172" s="121"/>
      <c r="M172" s="116"/>
      <c r="N172" s="66"/>
      <c r="O172" s="121"/>
      <c r="P172" s="67"/>
      <c r="Q172" s="121"/>
      <c r="R172" s="67"/>
      <c r="S172" s="65"/>
      <c r="T172" s="67"/>
      <c r="U172" s="65"/>
      <c r="V172" s="64"/>
      <c r="W172" s="65"/>
      <c r="X172" s="161">
        <f t="shared" si="32"/>
        <v>0</v>
      </c>
      <c r="Y172" s="162">
        <f t="shared" si="33"/>
        <v>0</v>
      </c>
      <c r="Z172" s="67"/>
      <c r="AA172" s="65"/>
      <c r="AB172" s="65"/>
      <c r="AC172" s="65"/>
      <c r="AD172" s="123">
        <f t="shared" si="34"/>
        <v>0</v>
      </c>
      <c r="AE172" s="58" t="str">
        <f>'Sch2a-Imp Price by ECM'!K173</f>
        <v/>
      </c>
      <c r="AF172" s="291" t="str">
        <f t="shared" si="35"/>
        <v/>
      </c>
      <c r="AG172" s="1" t="str">
        <f>IF('Sch2a-Imp Price by ECM'!L173="","",'Sch2a-Imp Price by ECM'!L173)</f>
        <v/>
      </c>
    </row>
    <row r="173" spans="1:33" ht="17" thickBot="1">
      <c r="A173" s="290" t="str">
        <f>IF('Sch2a-Imp Price by ECM'!B174="","",'Sch2a-Imp Price by ECM'!B174)</f>
        <v/>
      </c>
      <c r="B173" s="71" t="str">
        <f>IF('Sch2a-Imp Price by ECM'!C174="","",'Sch2a-Imp Price by ECM'!C174)</f>
        <v/>
      </c>
      <c r="C173" s="120"/>
      <c r="D173" s="66"/>
      <c r="E173" s="66"/>
      <c r="F173" s="66"/>
      <c r="G173" s="66"/>
      <c r="H173" s="122"/>
      <c r="I173" s="66"/>
      <c r="J173" s="121"/>
      <c r="K173" s="121"/>
      <c r="L173" s="121"/>
      <c r="M173" s="116"/>
      <c r="N173" s="66"/>
      <c r="O173" s="121"/>
      <c r="P173" s="67"/>
      <c r="Q173" s="121"/>
      <c r="R173" s="67"/>
      <c r="S173" s="65"/>
      <c r="T173" s="67"/>
      <c r="U173" s="65"/>
      <c r="V173" s="64"/>
      <c r="W173" s="65"/>
      <c r="X173" s="161">
        <f t="shared" si="32"/>
        <v>0</v>
      </c>
      <c r="Y173" s="162">
        <f t="shared" si="33"/>
        <v>0</v>
      </c>
      <c r="Z173" s="67"/>
      <c r="AA173" s="65"/>
      <c r="AB173" s="65"/>
      <c r="AC173" s="65"/>
      <c r="AD173" s="123">
        <f t="shared" si="34"/>
        <v>0</v>
      </c>
      <c r="AE173" s="58" t="str">
        <f>'Sch2a-Imp Price by ECM'!K174</f>
        <v/>
      </c>
      <c r="AF173" s="291" t="str">
        <f t="shared" si="35"/>
        <v/>
      </c>
      <c r="AG173" s="1" t="str">
        <f>IF('Sch2a-Imp Price by ECM'!L174="","",'Sch2a-Imp Price by ECM'!L174)</f>
        <v/>
      </c>
    </row>
    <row r="174" spans="1:33" ht="17" thickBot="1">
      <c r="A174" s="290" t="str">
        <f>IF('Sch2a-Imp Price by ECM'!B175="","",'Sch2a-Imp Price by ECM'!B175)</f>
        <v/>
      </c>
      <c r="B174" s="71" t="str">
        <f>IF('Sch2a-Imp Price by ECM'!C175="","",'Sch2a-Imp Price by ECM'!C175)</f>
        <v/>
      </c>
      <c r="C174" s="120"/>
      <c r="D174" s="66"/>
      <c r="E174" s="66"/>
      <c r="F174" s="66"/>
      <c r="G174" s="66"/>
      <c r="H174" s="122"/>
      <c r="I174" s="66"/>
      <c r="J174" s="121"/>
      <c r="K174" s="121"/>
      <c r="L174" s="121"/>
      <c r="M174" s="116"/>
      <c r="N174" s="66"/>
      <c r="O174" s="121"/>
      <c r="P174" s="67"/>
      <c r="Q174" s="121"/>
      <c r="R174" s="67"/>
      <c r="S174" s="65"/>
      <c r="T174" s="67"/>
      <c r="U174" s="65"/>
      <c r="V174" s="64"/>
      <c r="W174" s="65"/>
      <c r="X174" s="161">
        <f t="shared" si="32"/>
        <v>0</v>
      </c>
      <c r="Y174" s="162">
        <f t="shared" si="33"/>
        <v>0</v>
      </c>
      <c r="Z174" s="67"/>
      <c r="AA174" s="65"/>
      <c r="AB174" s="65"/>
      <c r="AC174" s="65"/>
      <c r="AD174" s="123">
        <f t="shared" si="34"/>
        <v>0</v>
      </c>
      <c r="AE174" s="58" t="str">
        <f>'Sch2a-Imp Price by ECM'!K175</f>
        <v/>
      </c>
      <c r="AF174" s="291" t="str">
        <f t="shared" si="35"/>
        <v/>
      </c>
      <c r="AG174" s="1" t="str">
        <f>IF('Sch2a-Imp Price by ECM'!L175="","",'Sch2a-Imp Price by ECM'!L175)</f>
        <v/>
      </c>
    </row>
    <row r="175" spans="1:33" ht="17" thickBot="1">
      <c r="A175" s="290" t="str">
        <f>IF('Sch2a-Imp Price by ECM'!B176="","",'Sch2a-Imp Price by ECM'!B176)</f>
        <v/>
      </c>
      <c r="B175" s="71" t="str">
        <f>IF('Sch2a-Imp Price by ECM'!C176="","",'Sch2a-Imp Price by ECM'!C176)</f>
        <v/>
      </c>
      <c r="C175" s="120"/>
      <c r="D175" s="66"/>
      <c r="E175" s="66"/>
      <c r="F175" s="66"/>
      <c r="G175" s="66"/>
      <c r="H175" s="122"/>
      <c r="I175" s="66"/>
      <c r="J175" s="121"/>
      <c r="K175" s="121"/>
      <c r="L175" s="121"/>
      <c r="M175" s="116"/>
      <c r="N175" s="66"/>
      <c r="O175" s="121"/>
      <c r="P175" s="67"/>
      <c r="Q175" s="121"/>
      <c r="R175" s="67"/>
      <c r="S175" s="65"/>
      <c r="T175" s="67"/>
      <c r="U175" s="65"/>
      <c r="V175" s="64"/>
      <c r="W175" s="65"/>
      <c r="X175" s="161">
        <f t="shared" si="32"/>
        <v>0</v>
      </c>
      <c r="Y175" s="162">
        <f t="shared" si="33"/>
        <v>0</v>
      </c>
      <c r="Z175" s="67"/>
      <c r="AA175" s="65"/>
      <c r="AB175" s="65"/>
      <c r="AC175" s="65"/>
      <c r="AD175" s="123">
        <f t="shared" si="34"/>
        <v>0</v>
      </c>
      <c r="AE175" s="58" t="str">
        <f>'Sch2a-Imp Price by ECM'!K176</f>
        <v/>
      </c>
      <c r="AF175" s="291" t="str">
        <f t="shared" si="35"/>
        <v/>
      </c>
      <c r="AG175" s="1" t="str">
        <f>IF('Sch2a-Imp Price by ECM'!L176="","",'Sch2a-Imp Price by ECM'!L176)</f>
        <v/>
      </c>
    </row>
    <row r="176" spans="1:33" ht="17" thickBot="1">
      <c r="A176" s="290" t="str">
        <f>IF('Sch2a-Imp Price by ECM'!B177="","",'Sch2a-Imp Price by ECM'!B177)</f>
        <v/>
      </c>
      <c r="B176" s="71" t="str">
        <f>IF('Sch2a-Imp Price by ECM'!C177="","",'Sch2a-Imp Price by ECM'!C177)</f>
        <v/>
      </c>
      <c r="C176" s="120"/>
      <c r="D176" s="66"/>
      <c r="E176" s="66"/>
      <c r="F176" s="66"/>
      <c r="G176" s="66"/>
      <c r="H176" s="122"/>
      <c r="I176" s="66"/>
      <c r="J176" s="121"/>
      <c r="K176" s="121"/>
      <c r="L176" s="121"/>
      <c r="M176" s="116"/>
      <c r="N176" s="66"/>
      <c r="O176" s="121"/>
      <c r="P176" s="67"/>
      <c r="Q176" s="121"/>
      <c r="R176" s="67"/>
      <c r="S176" s="65"/>
      <c r="T176" s="67"/>
      <c r="U176" s="65"/>
      <c r="V176" s="64"/>
      <c r="W176" s="65"/>
      <c r="X176" s="161">
        <f t="shared" si="32"/>
        <v>0</v>
      </c>
      <c r="Y176" s="162">
        <f t="shared" si="33"/>
        <v>0</v>
      </c>
      <c r="Z176" s="67"/>
      <c r="AA176" s="65"/>
      <c r="AB176" s="65"/>
      <c r="AC176" s="65"/>
      <c r="AD176" s="123">
        <f t="shared" si="34"/>
        <v>0</v>
      </c>
      <c r="AE176" s="58" t="str">
        <f>'Sch2a-Imp Price by ECM'!K177</f>
        <v/>
      </c>
      <c r="AF176" s="291" t="str">
        <f t="shared" si="35"/>
        <v/>
      </c>
      <c r="AG176" s="1" t="str">
        <f>IF('Sch2a-Imp Price by ECM'!L177="","",'Sch2a-Imp Price by ECM'!L177)</f>
        <v/>
      </c>
    </row>
    <row r="177" spans="1:33" ht="17" thickBot="1">
      <c r="A177" s="290" t="str">
        <f>IF('Sch2a-Imp Price by ECM'!B178="","",'Sch2a-Imp Price by ECM'!B178)</f>
        <v/>
      </c>
      <c r="B177" s="71" t="str">
        <f>IF('Sch2a-Imp Price by ECM'!C178="","",'Sch2a-Imp Price by ECM'!C178)</f>
        <v/>
      </c>
      <c r="C177" s="120"/>
      <c r="D177" s="66"/>
      <c r="E177" s="66"/>
      <c r="F177" s="66"/>
      <c r="G177" s="66"/>
      <c r="H177" s="122"/>
      <c r="I177" s="66"/>
      <c r="J177" s="121"/>
      <c r="K177" s="121"/>
      <c r="L177" s="121"/>
      <c r="M177" s="122"/>
      <c r="N177" s="66"/>
      <c r="O177" s="121"/>
      <c r="P177" s="67"/>
      <c r="Q177" s="121"/>
      <c r="R177" s="67"/>
      <c r="S177" s="65"/>
      <c r="T177" s="67"/>
      <c r="U177" s="65"/>
      <c r="V177" s="64"/>
      <c r="W177" s="65"/>
      <c r="X177" s="161">
        <f t="shared" ref="X177:X197" si="36">(N177*3412/10^6)+R177+T177+V177</f>
        <v>0</v>
      </c>
      <c r="Y177" s="162">
        <f t="shared" ref="Y177:Y197" si="37">O177+Q177+U177+W177+S177</f>
        <v>0</v>
      </c>
      <c r="Z177" s="67"/>
      <c r="AA177" s="65"/>
      <c r="AB177" s="65"/>
      <c r="AC177" s="65"/>
      <c r="AD177" s="123">
        <f t="shared" ref="AD177:AD197" si="38">Y177+AA177+AB177+AC177</f>
        <v>0</v>
      </c>
      <c r="AE177" s="58" t="str">
        <f>'Sch2a-Imp Price by ECM'!K178</f>
        <v/>
      </c>
      <c r="AF177" s="291" t="str">
        <f t="shared" ref="AF177:AF197" si="39">IF(AD177=0,"",AE177/AD177)</f>
        <v/>
      </c>
      <c r="AG177" s="1" t="str">
        <f>IF('Sch2a-Imp Price by ECM'!L178="","",'Sch2a-Imp Price by ECM'!L178)</f>
        <v/>
      </c>
    </row>
    <row r="178" spans="1:33" ht="17" thickBot="1">
      <c r="A178" s="290" t="str">
        <f>IF('Sch2a-Imp Price by ECM'!B179="","",'Sch2a-Imp Price by ECM'!B179)</f>
        <v/>
      </c>
      <c r="B178" s="71" t="str">
        <f>IF('Sch2a-Imp Price by ECM'!C179="","",'Sch2a-Imp Price by ECM'!C179)</f>
        <v/>
      </c>
      <c r="C178" s="120"/>
      <c r="D178" s="66"/>
      <c r="E178" s="66"/>
      <c r="F178" s="66"/>
      <c r="G178" s="66"/>
      <c r="H178" s="122"/>
      <c r="I178" s="66"/>
      <c r="J178" s="121"/>
      <c r="K178" s="121"/>
      <c r="L178" s="121"/>
      <c r="M178" s="122"/>
      <c r="N178" s="66"/>
      <c r="O178" s="121"/>
      <c r="P178" s="67"/>
      <c r="Q178" s="121"/>
      <c r="R178" s="67"/>
      <c r="S178" s="65"/>
      <c r="T178" s="67"/>
      <c r="U178" s="65"/>
      <c r="V178" s="64"/>
      <c r="W178" s="65"/>
      <c r="X178" s="161">
        <f t="shared" si="36"/>
        <v>0</v>
      </c>
      <c r="Y178" s="162">
        <f t="shared" si="37"/>
        <v>0</v>
      </c>
      <c r="Z178" s="67"/>
      <c r="AA178" s="65"/>
      <c r="AB178" s="65"/>
      <c r="AC178" s="65"/>
      <c r="AD178" s="123">
        <f t="shared" si="38"/>
        <v>0</v>
      </c>
      <c r="AE178" s="58" t="str">
        <f>'Sch2a-Imp Price by ECM'!K179</f>
        <v/>
      </c>
      <c r="AF178" s="291" t="str">
        <f t="shared" si="39"/>
        <v/>
      </c>
      <c r="AG178" s="1" t="str">
        <f>IF('Sch2a-Imp Price by ECM'!L179="","",'Sch2a-Imp Price by ECM'!L179)</f>
        <v/>
      </c>
    </row>
    <row r="179" spans="1:33" ht="17" thickBot="1">
      <c r="A179" s="290" t="str">
        <f>IF('Sch2a-Imp Price by ECM'!B180="","",'Sch2a-Imp Price by ECM'!B180)</f>
        <v/>
      </c>
      <c r="B179" s="71" t="str">
        <f>IF('Sch2a-Imp Price by ECM'!C180="","",'Sch2a-Imp Price by ECM'!C180)</f>
        <v/>
      </c>
      <c r="C179" s="120"/>
      <c r="D179" s="66"/>
      <c r="E179" s="66"/>
      <c r="F179" s="66"/>
      <c r="G179" s="66"/>
      <c r="H179" s="122"/>
      <c r="I179" s="66"/>
      <c r="J179" s="121"/>
      <c r="K179" s="121"/>
      <c r="L179" s="121"/>
      <c r="M179" s="122"/>
      <c r="N179" s="66"/>
      <c r="O179" s="121"/>
      <c r="P179" s="67"/>
      <c r="Q179" s="121"/>
      <c r="R179" s="67"/>
      <c r="S179" s="65"/>
      <c r="T179" s="67"/>
      <c r="U179" s="65"/>
      <c r="V179" s="64"/>
      <c r="W179" s="65"/>
      <c r="X179" s="161">
        <f t="shared" si="36"/>
        <v>0</v>
      </c>
      <c r="Y179" s="162">
        <f t="shared" si="37"/>
        <v>0</v>
      </c>
      <c r="Z179" s="67"/>
      <c r="AA179" s="65"/>
      <c r="AB179" s="65"/>
      <c r="AC179" s="65"/>
      <c r="AD179" s="123">
        <f t="shared" si="38"/>
        <v>0</v>
      </c>
      <c r="AE179" s="58" t="str">
        <f>'Sch2a-Imp Price by ECM'!K180</f>
        <v/>
      </c>
      <c r="AF179" s="291" t="str">
        <f t="shared" si="39"/>
        <v/>
      </c>
      <c r="AG179" s="1" t="str">
        <f>IF('Sch2a-Imp Price by ECM'!L180="","",'Sch2a-Imp Price by ECM'!L180)</f>
        <v/>
      </c>
    </row>
    <row r="180" spans="1:33" ht="17" thickBot="1">
      <c r="A180" s="290" t="str">
        <f>IF('Sch2a-Imp Price by ECM'!B181="","",'Sch2a-Imp Price by ECM'!B181)</f>
        <v/>
      </c>
      <c r="B180" s="71" t="str">
        <f>IF('Sch2a-Imp Price by ECM'!C181="","",'Sch2a-Imp Price by ECM'!C181)</f>
        <v/>
      </c>
      <c r="C180" s="120"/>
      <c r="D180" s="66"/>
      <c r="E180" s="66"/>
      <c r="F180" s="66"/>
      <c r="G180" s="66"/>
      <c r="H180" s="122"/>
      <c r="I180" s="66"/>
      <c r="J180" s="121"/>
      <c r="K180" s="121"/>
      <c r="L180" s="121"/>
      <c r="M180" s="122"/>
      <c r="N180" s="66"/>
      <c r="O180" s="121"/>
      <c r="P180" s="67"/>
      <c r="Q180" s="121"/>
      <c r="R180" s="67"/>
      <c r="S180" s="65"/>
      <c r="T180" s="67"/>
      <c r="U180" s="65"/>
      <c r="V180" s="64"/>
      <c r="W180" s="65"/>
      <c r="X180" s="161">
        <f t="shared" si="36"/>
        <v>0</v>
      </c>
      <c r="Y180" s="162">
        <f t="shared" si="37"/>
        <v>0</v>
      </c>
      <c r="Z180" s="67"/>
      <c r="AA180" s="65"/>
      <c r="AB180" s="65"/>
      <c r="AC180" s="65"/>
      <c r="AD180" s="123">
        <f t="shared" si="38"/>
        <v>0</v>
      </c>
      <c r="AE180" s="58" t="str">
        <f>'Sch2a-Imp Price by ECM'!K181</f>
        <v/>
      </c>
      <c r="AF180" s="291" t="str">
        <f t="shared" si="39"/>
        <v/>
      </c>
      <c r="AG180" s="1" t="str">
        <f>IF('Sch2a-Imp Price by ECM'!L181="","",'Sch2a-Imp Price by ECM'!L181)</f>
        <v/>
      </c>
    </row>
    <row r="181" spans="1:33" ht="18" customHeight="1" thickBot="1">
      <c r="A181" s="290" t="str">
        <f>IF('Sch2a-Imp Price by ECM'!B182="","",'Sch2a-Imp Price by ECM'!B182)</f>
        <v/>
      </c>
      <c r="B181" s="71" t="str">
        <f>IF('Sch2a-Imp Price by ECM'!C182="","",'Sch2a-Imp Price by ECM'!C182)</f>
        <v/>
      </c>
      <c r="C181" s="120"/>
      <c r="D181" s="66"/>
      <c r="E181" s="66"/>
      <c r="F181" s="66"/>
      <c r="G181" s="66"/>
      <c r="H181" s="122"/>
      <c r="I181" s="66"/>
      <c r="J181" s="121"/>
      <c r="K181" s="121"/>
      <c r="L181" s="121"/>
      <c r="M181" s="122"/>
      <c r="N181" s="66"/>
      <c r="O181" s="121"/>
      <c r="P181" s="67"/>
      <c r="Q181" s="121"/>
      <c r="R181" s="67"/>
      <c r="S181" s="65"/>
      <c r="T181" s="67"/>
      <c r="U181" s="65"/>
      <c r="V181" s="64"/>
      <c r="W181" s="65"/>
      <c r="X181" s="161">
        <f t="shared" si="36"/>
        <v>0</v>
      </c>
      <c r="Y181" s="162">
        <f t="shared" si="37"/>
        <v>0</v>
      </c>
      <c r="Z181" s="67"/>
      <c r="AA181" s="65"/>
      <c r="AB181" s="65"/>
      <c r="AC181" s="65"/>
      <c r="AD181" s="123">
        <f t="shared" si="38"/>
        <v>0</v>
      </c>
      <c r="AE181" s="58" t="str">
        <f>'Sch2a-Imp Price by ECM'!K182</f>
        <v/>
      </c>
      <c r="AF181" s="291" t="str">
        <f t="shared" si="39"/>
        <v/>
      </c>
      <c r="AG181" s="1" t="str">
        <f>IF('Sch2a-Imp Price by ECM'!L182="","",'Sch2a-Imp Price by ECM'!L182)</f>
        <v/>
      </c>
    </row>
    <row r="182" spans="1:33" ht="17" thickBot="1">
      <c r="A182" s="290" t="str">
        <f>IF('Sch2a-Imp Price by ECM'!B183="","",'Sch2a-Imp Price by ECM'!B183)</f>
        <v/>
      </c>
      <c r="B182" s="71" t="str">
        <f>IF('Sch2a-Imp Price by ECM'!C183="","",'Sch2a-Imp Price by ECM'!C183)</f>
        <v/>
      </c>
      <c r="C182" s="120"/>
      <c r="D182" s="66"/>
      <c r="E182" s="66"/>
      <c r="F182" s="66"/>
      <c r="G182" s="66"/>
      <c r="H182" s="122"/>
      <c r="I182" s="66"/>
      <c r="J182" s="121"/>
      <c r="K182" s="121"/>
      <c r="L182" s="121"/>
      <c r="M182" s="122"/>
      <c r="N182" s="66"/>
      <c r="O182" s="121"/>
      <c r="P182" s="67"/>
      <c r="Q182" s="121"/>
      <c r="R182" s="67"/>
      <c r="S182" s="65"/>
      <c r="T182" s="67"/>
      <c r="U182" s="65"/>
      <c r="V182" s="64"/>
      <c r="W182" s="65"/>
      <c r="X182" s="161">
        <f t="shared" si="36"/>
        <v>0</v>
      </c>
      <c r="Y182" s="162">
        <f t="shared" si="37"/>
        <v>0</v>
      </c>
      <c r="Z182" s="67"/>
      <c r="AA182" s="65"/>
      <c r="AB182" s="65"/>
      <c r="AC182" s="65"/>
      <c r="AD182" s="123">
        <f t="shared" si="38"/>
        <v>0</v>
      </c>
      <c r="AE182" s="58" t="str">
        <f>'Sch2a-Imp Price by ECM'!K183</f>
        <v/>
      </c>
      <c r="AF182" s="291" t="str">
        <f t="shared" si="39"/>
        <v/>
      </c>
      <c r="AG182" s="1" t="str">
        <f>IF('Sch2a-Imp Price by ECM'!L183="","",'Sch2a-Imp Price by ECM'!L183)</f>
        <v/>
      </c>
    </row>
    <row r="183" spans="1:33" ht="17" thickBot="1">
      <c r="A183" s="290" t="str">
        <f>IF('Sch2a-Imp Price by ECM'!B184="","",'Sch2a-Imp Price by ECM'!B184)</f>
        <v/>
      </c>
      <c r="B183" s="71" t="str">
        <f>IF('Sch2a-Imp Price by ECM'!C184="","",'Sch2a-Imp Price by ECM'!C184)</f>
        <v/>
      </c>
      <c r="C183" s="120"/>
      <c r="D183" s="66"/>
      <c r="E183" s="66"/>
      <c r="F183" s="66"/>
      <c r="G183" s="66"/>
      <c r="H183" s="122"/>
      <c r="I183" s="66"/>
      <c r="J183" s="121"/>
      <c r="K183" s="121"/>
      <c r="L183" s="121"/>
      <c r="M183" s="122"/>
      <c r="N183" s="66"/>
      <c r="O183" s="121"/>
      <c r="P183" s="67"/>
      <c r="Q183" s="121"/>
      <c r="R183" s="67"/>
      <c r="S183" s="65"/>
      <c r="T183" s="67"/>
      <c r="U183" s="65"/>
      <c r="V183" s="64"/>
      <c r="W183" s="65"/>
      <c r="X183" s="161">
        <f t="shared" si="36"/>
        <v>0</v>
      </c>
      <c r="Y183" s="162">
        <f t="shared" si="37"/>
        <v>0</v>
      </c>
      <c r="Z183" s="67"/>
      <c r="AA183" s="65"/>
      <c r="AB183" s="65"/>
      <c r="AC183" s="65"/>
      <c r="AD183" s="123">
        <f t="shared" si="38"/>
        <v>0</v>
      </c>
      <c r="AE183" s="58" t="str">
        <f>'Sch2a-Imp Price by ECM'!K184</f>
        <v/>
      </c>
      <c r="AF183" s="291" t="str">
        <f t="shared" si="39"/>
        <v/>
      </c>
      <c r="AG183" s="1" t="str">
        <f>IF('Sch2a-Imp Price by ECM'!L184="","",'Sch2a-Imp Price by ECM'!L184)</f>
        <v/>
      </c>
    </row>
    <row r="184" spans="1:33" ht="17" thickBot="1">
      <c r="A184" s="290" t="str">
        <f>IF('Sch2a-Imp Price by ECM'!B185="","",'Sch2a-Imp Price by ECM'!B185)</f>
        <v/>
      </c>
      <c r="B184" s="71" t="str">
        <f>IF('Sch2a-Imp Price by ECM'!C185="","",'Sch2a-Imp Price by ECM'!C185)</f>
        <v/>
      </c>
      <c r="C184" s="120"/>
      <c r="D184" s="66"/>
      <c r="E184" s="66"/>
      <c r="F184" s="66"/>
      <c r="G184" s="66"/>
      <c r="H184" s="122"/>
      <c r="I184" s="66"/>
      <c r="J184" s="121"/>
      <c r="K184" s="121"/>
      <c r="L184" s="121"/>
      <c r="M184" s="116"/>
      <c r="N184" s="66"/>
      <c r="O184" s="121"/>
      <c r="P184" s="67"/>
      <c r="Q184" s="121"/>
      <c r="R184" s="67"/>
      <c r="S184" s="65"/>
      <c r="T184" s="67"/>
      <c r="U184" s="65"/>
      <c r="V184" s="64"/>
      <c r="W184" s="65"/>
      <c r="X184" s="161">
        <f t="shared" si="36"/>
        <v>0</v>
      </c>
      <c r="Y184" s="162">
        <f t="shared" si="37"/>
        <v>0</v>
      </c>
      <c r="Z184" s="67"/>
      <c r="AA184" s="65"/>
      <c r="AB184" s="65"/>
      <c r="AC184" s="65"/>
      <c r="AD184" s="123">
        <f t="shared" si="38"/>
        <v>0</v>
      </c>
      <c r="AE184" s="58" t="str">
        <f>'Sch2a-Imp Price by ECM'!K185</f>
        <v/>
      </c>
      <c r="AF184" s="291" t="str">
        <f t="shared" si="39"/>
        <v/>
      </c>
      <c r="AG184" s="1" t="str">
        <f>IF('Sch2a-Imp Price by ECM'!L185="","",'Sch2a-Imp Price by ECM'!L185)</f>
        <v/>
      </c>
    </row>
    <row r="185" spans="1:33" ht="17" thickBot="1">
      <c r="A185" s="290" t="str">
        <f>IF('Sch2a-Imp Price by ECM'!B186="","",'Sch2a-Imp Price by ECM'!B186)</f>
        <v/>
      </c>
      <c r="B185" s="71" t="str">
        <f>IF('Sch2a-Imp Price by ECM'!C186="","",'Sch2a-Imp Price by ECM'!C186)</f>
        <v/>
      </c>
      <c r="C185" s="120"/>
      <c r="D185" s="66"/>
      <c r="E185" s="66"/>
      <c r="F185" s="66"/>
      <c r="G185" s="66"/>
      <c r="H185" s="122"/>
      <c r="I185" s="66"/>
      <c r="J185" s="121"/>
      <c r="K185" s="121"/>
      <c r="L185" s="121"/>
      <c r="M185" s="116"/>
      <c r="N185" s="66"/>
      <c r="O185" s="121"/>
      <c r="P185" s="67"/>
      <c r="Q185" s="121"/>
      <c r="R185" s="67"/>
      <c r="S185" s="65"/>
      <c r="T185" s="67"/>
      <c r="U185" s="65"/>
      <c r="V185" s="64"/>
      <c r="W185" s="65"/>
      <c r="X185" s="161">
        <f t="shared" si="36"/>
        <v>0</v>
      </c>
      <c r="Y185" s="162">
        <f t="shared" si="37"/>
        <v>0</v>
      </c>
      <c r="Z185" s="67"/>
      <c r="AA185" s="65"/>
      <c r="AB185" s="65"/>
      <c r="AC185" s="65"/>
      <c r="AD185" s="123">
        <f t="shared" si="38"/>
        <v>0</v>
      </c>
      <c r="AE185" s="58" t="str">
        <f>'Sch2a-Imp Price by ECM'!K186</f>
        <v/>
      </c>
      <c r="AF185" s="291" t="str">
        <f t="shared" si="39"/>
        <v/>
      </c>
      <c r="AG185" s="1" t="str">
        <f>IF('Sch2a-Imp Price by ECM'!L186="","",'Sch2a-Imp Price by ECM'!L186)</f>
        <v/>
      </c>
    </row>
    <row r="186" spans="1:33" ht="17" thickBot="1">
      <c r="A186" s="290" t="str">
        <f>IF('Sch2a-Imp Price by ECM'!B187="","",'Sch2a-Imp Price by ECM'!B187)</f>
        <v/>
      </c>
      <c r="B186" s="71" t="str">
        <f>IF('Sch2a-Imp Price by ECM'!C187="","",'Sch2a-Imp Price by ECM'!C187)</f>
        <v/>
      </c>
      <c r="C186" s="120"/>
      <c r="D186" s="66"/>
      <c r="E186" s="66"/>
      <c r="F186" s="66"/>
      <c r="G186" s="66"/>
      <c r="H186" s="122"/>
      <c r="I186" s="66"/>
      <c r="J186" s="121"/>
      <c r="K186" s="121"/>
      <c r="L186" s="121"/>
      <c r="M186" s="116"/>
      <c r="N186" s="66"/>
      <c r="O186" s="121"/>
      <c r="P186" s="67"/>
      <c r="Q186" s="121"/>
      <c r="R186" s="67"/>
      <c r="S186" s="65"/>
      <c r="T186" s="67"/>
      <c r="U186" s="65"/>
      <c r="V186" s="64"/>
      <c r="W186" s="65"/>
      <c r="X186" s="161">
        <f t="shared" si="36"/>
        <v>0</v>
      </c>
      <c r="Y186" s="162">
        <f t="shared" si="37"/>
        <v>0</v>
      </c>
      <c r="Z186" s="67"/>
      <c r="AA186" s="65"/>
      <c r="AB186" s="65"/>
      <c r="AC186" s="65"/>
      <c r="AD186" s="123">
        <f t="shared" si="38"/>
        <v>0</v>
      </c>
      <c r="AE186" s="58" t="str">
        <f>'Sch2a-Imp Price by ECM'!K187</f>
        <v/>
      </c>
      <c r="AF186" s="291" t="str">
        <f t="shared" si="39"/>
        <v/>
      </c>
      <c r="AG186" s="1" t="str">
        <f>IF('Sch2a-Imp Price by ECM'!L187="","",'Sch2a-Imp Price by ECM'!L187)</f>
        <v/>
      </c>
    </row>
    <row r="187" spans="1:33" ht="17" thickBot="1">
      <c r="A187" s="290" t="str">
        <f>IF('Sch2a-Imp Price by ECM'!B188="","",'Sch2a-Imp Price by ECM'!B188)</f>
        <v/>
      </c>
      <c r="B187" s="71" t="str">
        <f>IF('Sch2a-Imp Price by ECM'!C188="","",'Sch2a-Imp Price by ECM'!C188)</f>
        <v/>
      </c>
      <c r="C187" s="120"/>
      <c r="D187" s="66"/>
      <c r="E187" s="66"/>
      <c r="F187" s="66"/>
      <c r="G187" s="66"/>
      <c r="H187" s="122"/>
      <c r="I187" s="66"/>
      <c r="J187" s="121"/>
      <c r="K187" s="121"/>
      <c r="L187" s="121"/>
      <c r="M187" s="116"/>
      <c r="N187" s="66"/>
      <c r="O187" s="121"/>
      <c r="P187" s="67"/>
      <c r="Q187" s="121"/>
      <c r="R187" s="67"/>
      <c r="S187" s="65"/>
      <c r="T187" s="67"/>
      <c r="U187" s="65"/>
      <c r="V187" s="64"/>
      <c r="W187" s="65"/>
      <c r="X187" s="161">
        <f t="shared" si="36"/>
        <v>0</v>
      </c>
      <c r="Y187" s="162">
        <f t="shared" si="37"/>
        <v>0</v>
      </c>
      <c r="Z187" s="67"/>
      <c r="AA187" s="65"/>
      <c r="AB187" s="65"/>
      <c r="AC187" s="65"/>
      <c r="AD187" s="123">
        <f t="shared" si="38"/>
        <v>0</v>
      </c>
      <c r="AE187" s="58" t="str">
        <f>'Sch2a-Imp Price by ECM'!K188</f>
        <v/>
      </c>
      <c r="AF187" s="291" t="str">
        <f t="shared" si="39"/>
        <v/>
      </c>
      <c r="AG187" s="1" t="str">
        <f>IF('Sch2a-Imp Price by ECM'!L188="","",'Sch2a-Imp Price by ECM'!L188)</f>
        <v/>
      </c>
    </row>
    <row r="188" spans="1:33" ht="17" thickBot="1">
      <c r="A188" s="290" t="str">
        <f>IF('Sch2a-Imp Price by ECM'!B189="","",'Sch2a-Imp Price by ECM'!B189)</f>
        <v/>
      </c>
      <c r="B188" s="71" t="str">
        <f>IF('Sch2a-Imp Price by ECM'!C189="","",'Sch2a-Imp Price by ECM'!C189)</f>
        <v/>
      </c>
      <c r="C188" s="120"/>
      <c r="D188" s="66"/>
      <c r="E188" s="66"/>
      <c r="F188" s="66"/>
      <c r="G188" s="66"/>
      <c r="H188" s="122"/>
      <c r="I188" s="66"/>
      <c r="J188" s="121"/>
      <c r="K188" s="121"/>
      <c r="L188" s="121"/>
      <c r="M188" s="116"/>
      <c r="N188" s="66"/>
      <c r="O188" s="121"/>
      <c r="P188" s="67"/>
      <c r="Q188" s="121"/>
      <c r="R188" s="67"/>
      <c r="S188" s="65"/>
      <c r="T188" s="67"/>
      <c r="U188" s="65"/>
      <c r="V188" s="64"/>
      <c r="W188" s="65"/>
      <c r="X188" s="161">
        <f t="shared" si="36"/>
        <v>0</v>
      </c>
      <c r="Y188" s="162">
        <f t="shared" si="37"/>
        <v>0</v>
      </c>
      <c r="Z188" s="67"/>
      <c r="AA188" s="65"/>
      <c r="AB188" s="65"/>
      <c r="AC188" s="65"/>
      <c r="AD188" s="123">
        <f t="shared" si="38"/>
        <v>0</v>
      </c>
      <c r="AE188" s="58" t="str">
        <f>'Sch2a-Imp Price by ECM'!K189</f>
        <v/>
      </c>
      <c r="AF188" s="291" t="str">
        <f t="shared" si="39"/>
        <v/>
      </c>
      <c r="AG188" s="1" t="str">
        <f>IF('Sch2a-Imp Price by ECM'!L189="","",'Sch2a-Imp Price by ECM'!L189)</f>
        <v/>
      </c>
    </row>
    <row r="189" spans="1:33" ht="17" thickBot="1">
      <c r="A189" s="290" t="str">
        <f>IF('Sch2a-Imp Price by ECM'!B190="","",'Sch2a-Imp Price by ECM'!B190)</f>
        <v/>
      </c>
      <c r="B189" s="71" t="str">
        <f>IF('Sch2a-Imp Price by ECM'!C190="","",'Sch2a-Imp Price by ECM'!C190)</f>
        <v/>
      </c>
      <c r="C189" s="120"/>
      <c r="D189" s="66"/>
      <c r="E189" s="66"/>
      <c r="F189" s="66"/>
      <c r="G189" s="66"/>
      <c r="H189" s="122"/>
      <c r="I189" s="66"/>
      <c r="J189" s="121"/>
      <c r="K189" s="121"/>
      <c r="L189" s="121"/>
      <c r="M189" s="116"/>
      <c r="N189" s="66"/>
      <c r="O189" s="121"/>
      <c r="P189" s="67"/>
      <c r="Q189" s="121"/>
      <c r="R189" s="67"/>
      <c r="S189" s="65"/>
      <c r="T189" s="67"/>
      <c r="U189" s="65"/>
      <c r="V189" s="64"/>
      <c r="W189" s="65"/>
      <c r="X189" s="161">
        <f t="shared" si="36"/>
        <v>0</v>
      </c>
      <c r="Y189" s="162">
        <f t="shared" si="37"/>
        <v>0</v>
      </c>
      <c r="Z189" s="67"/>
      <c r="AA189" s="65"/>
      <c r="AB189" s="65"/>
      <c r="AC189" s="65"/>
      <c r="AD189" s="123">
        <f t="shared" si="38"/>
        <v>0</v>
      </c>
      <c r="AE189" s="58" t="str">
        <f>'Sch2a-Imp Price by ECM'!K190</f>
        <v/>
      </c>
      <c r="AF189" s="291" t="str">
        <f t="shared" si="39"/>
        <v/>
      </c>
      <c r="AG189" s="1" t="str">
        <f>IF('Sch2a-Imp Price by ECM'!L190="","",'Sch2a-Imp Price by ECM'!L190)</f>
        <v/>
      </c>
    </row>
    <row r="190" spans="1:33" ht="17" thickBot="1">
      <c r="A190" s="290" t="str">
        <f>IF('Sch2a-Imp Price by ECM'!B191="","",'Sch2a-Imp Price by ECM'!B191)</f>
        <v/>
      </c>
      <c r="B190" s="71" t="str">
        <f>IF('Sch2a-Imp Price by ECM'!C191="","",'Sch2a-Imp Price by ECM'!C191)</f>
        <v/>
      </c>
      <c r="C190" s="120"/>
      <c r="D190" s="66"/>
      <c r="E190" s="66"/>
      <c r="F190" s="66"/>
      <c r="G190" s="66"/>
      <c r="H190" s="122"/>
      <c r="I190" s="66"/>
      <c r="J190" s="121"/>
      <c r="K190" s="121"/>
      <c r="L190" s="121"/>
      <c r="M190" s="116"/>
      <c r="N190" s="66"/>
      <c r="O190" s="121"/>
      <c r="P190" s="67"/>
      <c r="Q190" s="121"/>
      <c r="R190" s="67"/>
      <c r="S190" s="65"/>
      <c r="T190" s="67"/>
      <c r="U190" s="65"/>
      <c r="V190" s="64"/>
      <c r="W190" s="65"/>
      <c r="X190" s="161">
        <f t="shared" si="36"/>
        <v>0</v>
      </c>
      <c r="Y190" s="162">
        <f t="shared" si="37"/>
        <v>0</v>
      </c>
      <c r="Z190" s="67"/>
      <c r="AA190" s="65"/>
      <c r="AB190" s="65"/>
      <c r="AC190" s="65"/>
      <c r="AD190" s="123">
        <f t="shared" si="38"/>
        <v>0</v>
      </c>
      <c r="AE190" s="58" t="str">
        <f>'Sch2a-Imp Price by ECM'!K191</f>
        <v/>
      </c>
      <c r="AF190" s="291" t="str">
        <f t="shared" si="39"/>
        <v/>
      </c>
      <c r="AG190" s="1" t="str">
        <f>IF('Sch2a-Imp Price by ECM'!L191="","",'Sch2a-Imp Price by ECM'!L191)</f>
        <v/>
      </c>
    </row>
    <row r="191" spans="1:33" ht="17" thickBot="1">
      <c r="A191" s="290" t="str">
        <f>IF('Sch2a-Imp Price by ECM'!B192="","",'Sch2a-Imp Price by ECM'!B192)</f>
        <v/>
      </c>
      <c r="B191" s="71" t="str">
        <f>IF('Sch2a-Imp Price by ECM'!C192="","",'Sch2a-Imp Price by ECM'!C192)</f>
        <v/>
      </c>
      <c r="C191" s="120"/>
      <c r="D191" s="66"/>
      <c r="E191" s="66"/>
      <c r="F191" s="66"/>
      <c r="G191" s="66"/>
      <c r="H191" s="122"/>
      <c r="I191" s="66"/>
      <c r="J191" s="121"/>
      <c r="K191" s="121"/>
      <c r="L191" s="121"/>
      <c r="M191" s="116"/>
      <c r="N191" s="66"/>
      <c r="O191" s="121"/>
      <c r="P191" s="67"/>
      <c r="Q191" s="121"/>
      <c r="R191" s="67"/>
      <c r="S191" s="65"/>
      <c r="T191" s="67"/>
      <c r="U191" s="65"/>
      <c r="V191" s="64"/>
      <c r="W191" s="65"/>
      <c r="X191" s="161">
        <f t="shared" si="36"/>
        <v>0</v>
      </c>
      <c r="Y191" s="162">
        <f t="shared" si="37"/>
        <v>0</v>
      </c>
      <c r="Z191" s="67"/>
      <c r="AA191" s="65"/>
      <c r="AB191" s="65"/>
      <c r="AC191" s="65"/>
      <c r="AD191" s="123">
        <f t="shared" si="38"/>
        <v>0</v>
      </c>
      <c r="AE191" s="58" t="str">
        <f>'Sch2a-Imp Price by ECM'!K192</f>
        <v/>
      </c>
      <c r="AF191" s="291" t="str">
        <f t="shared" si="39"/>
        <v/>
      </c>
      <c r="AG191" s="1" t="str">
        <f>IF('Sch2a-Imp Price by ECM'!L192="","",'Sch2a-Imp Price by ECM'!L192)</f>
        <v/>
      </c>
    </row>
    <row r="192" spans="1:33" ht="17" thickBot="1">
      <c r="A192" s="290" t="str">
        <f>IF('Sch2a-Imp Price by ECM'!B193="","",'Sch2a-Imp Price by ECM'!B193)</f>
        <v/>
      </c>
      <c r="B192" s="71" t="str">
        <f>IF('Sch2a-Imp Price by ECM'!C193="","",'Sch2a-Imp Price by ECM'!C193)</f>
        <v/>
      </c>
      <c r="C192" s="120"/>
      <c r="D192" s="66"/>
      <c r="E192" s="66"/>
      <c r="F192" s="66"/>
      <c r="G192" s="66"/>
      <c r="H192" s="122"/>
      <c r="I192" s="66"/>
      <c r="J192" s="121"/>
      <c r="K192" s="121"/>
      <c r="L192" s="121"/>
      <c r="M192" s="116"/>
      <c r="N192" s="66"/>
      <c r="O192" s="121"/>
      <c r="P192" s="67"/>
      <c r="Q192" s="121"/>
      <c r="R192" s="67"/>
      <c r="S192" s="65"/>
      <c r="T192" s="67"/>
      <c r="U192" s="65"/>
      <c r="V192" s="64"/>
      <c r="W192" s="65"/>
      <c r="X192" s="161">
        <f t="shared" si="36"/>
        <v>0</v>
      </c>
      <c r="Y192" s="162">
        <f t="shared" si="37"/>
        <v>0</v>
      </c>
      <c r="Z192" s="67"/>
      <c r="AA192" s="65"/>
      <c r="AB192" s="65"/>
      <c r="AC192" s="65"/>
      <c r="AD192" s="123">
        <f t="shared" si="38"/>
        <v>0</v>
      </c>
      <c r="AE192" s="58" t="str">
        <f>'Sch2a-Imp Price by ECM'!K193</f>
        <v/>
      </c>
      <c r="AF192" s="291" t="str">
        <f t="shared" si="39"/>
        <v/>
      </c>
      <c r="AG192" s="1" t="str">
        <f>IF('Sch2a-Imp Price by ECM'!L193="","",'Sch2a-Imp Price by ECM'!L193)</f>
        <v/>
      </c>
    </row>
    <row r="193" spans="1:33" ht="17" thickBot="1">
      <c r="A193" s="290" t="str">
        <f>IF('Sch2a-Imp Price by ECM'!B194="","",'Sch2a-Imp Price by ECM'!B194)</f>
        <v/>
      </c>
      <c r="B193" s="71" t="str">
        <f>IF('Sch2a-Imp Price by ECM'!C194="","",'Sch2a-Imp Price by ECM'!C194)</f>
        <v/>
      </c>
      <c r="C193" s="120"/>
      <c r="D193" s="66"/>
      <c r="E193" s="66"/>
      <c r="F193" s="66"/>
      <c r="G193" s="66"/>
      <c r="H193" s="122"/>
      <c r="I193" s="66"/>
      <c r="J193" s="121"/>
      <c r="K193" s="121"/>
      <c r="L193" s="121"/>
      <c r="M193" s="116"/>
      <c r="N193" s="66"/>
      <c r="O193" s="121"/>
      <c r="P193" s="67"/>
      <c r="Q193" s="121"/>
      <c r="R193" s="67"/>
      <c r="S193" s="65"/>
      <c r="T193" s="67"/>
      <c r="U193" s="65"/>
      <c r="V193" s="64"/>
      <c r="W193" s="65"/>
      <c r="X193" s="161">
        <f t="shared" si="36"/>
        <v>0</v>
      </c>
      <c r="Y193" s="162">
        <f t="shared" si="37"/>
        <v>0</v>
      </c>
      <c r="Z193" s="67"/>
      <c r="AA193" s="65"/>
      <c r="AB193" s="65"/>
      <c r="AC193" s="65"/>
      <c r="AD193" s="123">
        <f t="shared" si="38"/>
        <v>0</v>
      </c>
      <c r="AE193" s="58" t="str">
        <f>'Sch2a-Imp Price by ECM'!K194</f>
        <v/>
      </c>
      <c r="AF193" s="291" t="str">
        <f t="shared" si="39"/>
        <v/>
      </c>
      <c r="AG193" s="1" t="str">
        <f>IF('Sch2a-Imp Price by ECM'!L194="","",'Sch2a-Imp Price by ECM'!L194)</f>
        <v/>
      </c>
    </row>
    <row r="194" spans="1:33" ht="17" thickBot="1">
      <c r="A194" s="290" t="str">
        <f>IF('Sch2a-Imp Price by ECM'!B195="","",'Sch2a-Imp Price by ECM'!B195)</f>
        <v/>
      </c>
      <c r="B194" s="71" t="str">
        <f>IF('Sch2a-Imp Price by ECM'!C195="","",'Sch2a-Imp Price by ECM'!C195)</f>
        <v/>
      </c>
      <c r="C194" s="120"/>
      <c r="D194" s="66"/>
      <c r="E194" s="66"/>
      <c r="F194" s="66"/>
      <c r="G194" s="66"/>
      <c r="H194" s="122"/>
      <c r="I194" s="66"/>
      <c r="J194" s="121"/>
      <c r="K194" s="121"/>
      <c r="L194" s="121"/>
      <c r="M194" s="116"/>
      <c r="N194" s="66"/>
      <c r="O194" s="121"/>
      <c r="P194" s="67"/>
      <c r="Q194" s="121"/>
      <c r="R194" s="67"/>
      <c r="S194" s="65"/>
      <c r="T194" s="67"/>
      <c r="U194" s="65"/>
      <c r="V194" s="64"/>
      <c r="W194" s="65"/>
      <c r="X194" s="161">
        <f t="shared" si="36"/>
        <v>0</v>
      </c>
      <c r="Y194" s="162">
        <f t="shared" si="37"/>
        <v>0</v>
      </c>
      <c r="Z194" s="67"/>
      <c r="AA194" s="65"/>
      <c r="AB194" s="65"/>
      <c r="AC194" s="65"/>
      <c r="AD194" s="123">
        <f t="shared" si="38"/>
        <v>0</v>
      </c>
      <c r="AE194" s="58" t="str">
        <f>'Sch2a-Imp Price by ECM'!K195</f>
        <v/>
      </c>
      <c r="AF194" s="291" t="str">
        <f t="shared" si="39"/>
        <v/>
      </c>
      <c r="AG194" s="1" t="str">
        <f>IF('Sch2a-Imp Price by ECM'!L195="","",'Sch2a-Imp Price by ECM'!L195)</f>
        <v/>
      </c>
    </row>
    <row r="195" spans="1:33" ht="17" thickBot="1">
      <c r="A195" s="290" t="str">
        <f>IF('Sch2a-Imp Price by ECM'!B196="","",'Sch2a-Imp Price by ECM'!B196)</f>
        <v/>
      </c>
      <c r="B195" s="71" t="str">
        <f>IF('Sch2a-Imp Price by ECM'!C196="","",'Sch2a-Imp Price by ECM'!C196)</f>
        <v/>
      </c>
      <c r="C195" s="120"/>
      <c r="D195" s="66"/>
      <c r="E195" s="66"/>
      <c r="F195" s="66"/>
      <c r="G195" s="66"/>
      <c r="H195" s="122"/>
      <c r="I195" s="66"/>
      <c r="J195" s="121"/>
      <c r="K195" s="121"/>
      <c r="L195" s="121"/>
      <c r="M195" s="116"/>
      <c r="N195" s="66"/>
      <c r="O195" s="121"/>
      <c r="P195" s="67"/>
      <c r="Q195" s="121"/>
      <c r="R195" s="67"/>
      <c r="S195" s="65"/>
      <c r="T195" s="67"/>
      <c r="U195" s="65"/>
      <c r="V195" s="64"/>
      <c r="W195" s="65"/>
      <c r="X195" s="161">
        <f t="shared" si="36"/>
        <v>0</v>
      </c>
      <c r="Y195" s="162">
        <f t="shared" si="37"/>
        <v>0</v>
      </c>
      <c r="Z195" s="67"/>
      <c r="AA195" s="65"/>
      <c r="AB195" s="65"/>
      <c r="AC195" s="65"/>
      <c r="AD195" s="123">
        <f t="shared" si="38"/>
        <v>0</v>
      </c>
      <c r="AE195" s="58" t="str">
        <f>'Sch2a-Imp Price by ECM'!K196</f>
        <v/>
      </c>
      <c r="AF195" s="291" t="str">
        <f t="shared" si="39"/>
        <v/>
      </c>
      <c r="AG195" s="1" t="str">
        <f>IF('Sch2a-Imp Price by ECM'!L196="","",'Sch2a-Imp Price by ECM'!L196)</f>
        <v/>
      </c>
    </row>
    <row r="196" spans="1:33" ht="17" thickBot="1">
      <c r="A196" s="290" t="str">
        <f>IF('Sch2a-Imp Price by ECM'!B197="","",'Sch2a-Imp Price by ECM'!B197)</f>
        <v/>
      </c>
      <c r="B196" s="71" t="str">
        <f>IF('Sch2a-Imp Price by ECM'!C197="","",'Sch2a-Imp Price by ECM'!C197)</f>
        <v/>
      </c>
      <c r="C196" s="120"/>
      <c r="D196" s="66"/>
      <c r="E196" s="66"/>
      <c r="F196" s="66"/>
      <c r="G196" s="66"/>
      <c r="H196" s="122"/>
      <c r="I196" s="66"/>
      <c r="J196" s="121"/>
      <c r="K196" s="121"/>
      <c r="L196" s="121"/>
      <c r="M196" s="116"/>
      <c r="N196" s="66"/>
      <c r="O196" s="121"/>
      <c r="P196" s="67"/>
      <c r="Q196" s="121"/>
      <c r="R196" s="67"/>
      <c r="S196" s="65"/>
      <c r="T196" s="67"/>
      <c r="U196" s="65"/>
      <c r="V196" s="64"/>
      <c r="W196" s="65"/>
      <c r="X196" s="161">
        <f t="shared" si="36"/>
        <v>0</v>
      </c>
      <c r="Y196" s="162">
        <f t="shared" si="37"/>
        <v>0</v>
      </c>
      <c r="Z196" s="67"/>
      <c r="AA196" s="65"/>
      <c r="AB196" s="65"/>
      <c r="AC196" s="65"/>
      <c r="AD196" s="123">
        <f t="shared" si="38"/>
        <v>0</v>
      </c>
      <c r="AE196" s="58" t="str">
        <f>'Sch2a-Imp Price by ECM'!K197</f>
        <v/>
      </c>
      <c r="AF196" s="291" t="str">
        <f t="shared" si="39"/>
        <v/>
      </c>
      <c r="AG196" s="1" t="str">
        <f>IF('Sch2a-Imp Price by ECM'!L197="","",'Sch2a-Imp Price by ECM'!L197)</f>
        <v/>
      </c>
    </row>
    <row r="197" spans="1:33" ht="17" thickBot="1">
      <c r="A197" s="290" t="str">
        <f>IF('Sch2a-Imp Price by ECM'!B198="","",'Sch2a-Imp Price by ECM'!B198)</f>
        <v/>
      </c>
      <c r="B197" s="71" t="str">
        <f>IF('Sch2a-Imp Price by ECM'!C198="","",'Sch2a-Imp Price by ECM'!C198)</f>
        <v/>
      </c>
      <c r="C197" s="120"/>
      <c r="D197" s="66"/>
      <c r="E197" s="66"/>
      <c r="F197" s="66"/>
      <c r="G197" s="66"/>
      <c r="H197" s="122"/>
      <c r="I197" s="66"/>
      <c r="J197" s="121"/>
      <c r="K197" s="121"/>
      <c r="L197" s="121"/>
      <c r="M197" s="116"/>
      <c r="N197" s="66"/>
      <c r="O197" s="121"/>
      <c r="P197" s="67"/>
      <c r="Q197" s="121"/>
      <c r="R197" s="67"/>
      <c r="S197" s="65"/>
      <c r="T197" s="67"/>
      <c r="U197" s="65"/>
      <c r="V197" s="64"/>
      <c r="W197" s="65"/>
      <c r="X197" s="161">
        <f t="shared" si="36"/>
        <v>0</v>
      </c>
      <c r="Y197" s="162">
        <f t="shared" si="37"/>
        <v>0</v>
      </c>
      <c r="Z197" s="67"/>
      <c r="AA197" s="65"/>
      <c r="AB197" s="65"/>
      <c r="AC197" s="65"/>
      <c r="AD197" s="123">
        <f t="shared" si="38"/>
        <v>0</v>
      </c>
      <c r="AE197" s="58" t="str">
        <f>'Sch2a-Imp Price by ECM'!K198</f>
        <v/>
      </c>
      <c r="AF197" s="291" t="str">
        <f t="shared" si="39"/>
        <v/>
      </c>
      <c r="AG197" s="1" t="str">
        <f>IF('Sch2a-Imp Price by ECM'!L198="","",'Sch2a-Imp Price by ECM'!L198)</f>
        <v/>
      </c>
    </row>
    <row r="198" spans="1:33" ht="17" thickBot="1">
      <c r="A198" s="290" t="str">
        <f>IF('Sch2a-Imp Price by ECM'!B199="","",'Sch2a-Imp Price by ECM'!B199)</f>
        <v/>
      </c>
      <c r="B198" s="71" t="str">
        <f>IF('Sch2a-Imp Price by ECM'!C199="","",'Sch2a-Imp Price by ECM'!C199)</f>
        <v/>
      </c>
      <c r="C198" s="120"/>
      <c r="D198" s="66"/>
      <c r="E198" s="66"/>
      <c r="F198" s="66"/>
      <c r="G198" s="66"/>
      <c r="H198" s="122"/>
      <c r="I198" s="66"/>
      <c r="J198" s="121"/>
      <c r="K198" s="121"/>
      <c r="L198" s="121"/>
      <c r="M198" s="122"/>
      <c r="N198" s="66"/>
      <c r="O198" s="121"/>
      <c r="P198" s="67"/>
      <c r="Q198" s="121"/>
      <c r="R198" s="67"/>
      <c r="S198" s="65"/>
      <c r="T198" s="67"/>
      <c r="U198" s="65"/>
      <c r="V198" s="64"/>
      <c r="W198" s="65"/>
      <c r="X198" s="161">
        <f t="shared" ref="X198:X218" si="40">(N198*3412/10^6)+R198+T198+V198</f>
        <v>0</v>
      </c>
      <c r="Y198" s="162">
        <f t="shared" ref="Y198:Y218" si="41">O198+Q198+U198+W198+S198</f>
        <v>0</v>
      </c>
      <c r="Z198" s="67"/>
      <c r="AA198" s="65"/>
      <c r="AB198" s="65"/>
      <c r="AC198" s="65"/>
      <c r="AD198" s="123">
        <f t="shared" ref="AD198:AD218" si="42">Y198+AA198+AB198+AC198</f>
        <v>0</v>
      </c>
      <c r="AE198" s="58" t="str">
        <f>'Sch2a-Imp Price by ECM'!K199</f>
        <v/>
      </c>
      <c r="AF198" s="291" t="str">
        <f t="shared" ref="AF198:AF218" si="43">IF(AD198=0,"",AE198/AD198)</f>
        <v/>
      </c>
      <c r="AG198" s="1" t="str">
        <f>IF('Sch2a-Imp Price by ECM'!L199="","",'Sch2a-Imp Price by ECM'!L199)</f>
        <v/>
      </c>
    </row>
    <row r="199" spans="1:33" ht="17" thickBot="1">
      <c r="A199" s="290" t="str">
        <f>IF('Sch2a-Imp Price by ECM'!B200="","",'Sch2a-Imp Price by ECM'!B200)</f>
        <v/>
      </c>
      <c r="B199" s="71" t="str">
        <f>IF('Sch2a-Imp Price by ECM'!C200="","",'Sch2a-Imp Price by ECM'!C200)</f>
        <v/>
      </c>
      <c r="C199" s="120"/>
      <c r="D199" s="66"/>
      <c r="E199" s="66"/>
      <c r="F199" s="66"/>
      <c r="G199" s="66"/>
      <c r="H199" s="122"/>
      <c r="I199" s="66"/>
      <c r="J199" s="121"/>
      <c r="K199" s="121"/>
      <c r="L199" s="121"/>
      <c r="M199" s="122"/>
      <c r="N199" s="66"/>
      <c r="O199" s="121"/>
      <c r="P199" s="67"/>
      <c r="Q199" s="121"/>
      <c r="R199" s="67"/>
      <c r="S199" s="65"/>
      <c r="T199" s="67"/>
      <c r="U199" s="65"/>
      <c r="V199" s="64"/>
      <c r="W199" s="65"/>
      <c r="X199" s="161">
        <f t="shared" si="40"/>
        <v>0</v>
      </c>
      <c r="Y199" s="162">
        <f t="shared" si="41"/>
        <v>0</v>
      </c>
      <c r="Z199" s="67"/>
      <c r="AA199" s="65"/>
      <c r="AB199" s="65"/>
      <c r="AC199" s="65"/>
      <c r="AD199" s="123">
        <f t="shared" si="42"/>
        <v>0</v>
      </c>
      <c r="AE199" s="58" t="str">
        <f>'Sch2a-Imp Price by ECM'!K200</f>
        <v/>
      </c>
      <c r="AF199" s="291" t="str">
        <f t="shared" si="43"/>
        <v/>
      </c>
      <c r="AG199" s="1" t="str">
        <f>IF('Sch2a-Imp Price by ECM'!L200="","",'Sch2a-Imp Price by ECM'!L200)</f>
        <v/>
      </c>
    </row>
    <row r="200" spans="1:33" ht="17" thickBot="1">
      <c r="A200" s="290" t="str">
        <f>IF('Sch2a-Imp Price by ECM'!B201="","",'Sch2a-Imp Price by ECM'!B201)</f>
        <v/>
      </c>
      <c r="B200" s="71" t="str">
        <f>IF('Sch2a-Imp Price by ECM'!C201="","",'Sch2a-Imp Price by ECM'!C201)</f>
        <v/>
      </c>
      <c r="C200" s="120"/>
      <c r="D200" s="66"/>
      <c r="E200" s="66"/>
      <c r="F200" s="66"/>
      <c r="G200" s="66"/>
      <c r="H200" s="122"/>
      <c r="I200" s="66"/>
      <c r="J200" s="121"/>
      <c r="K200" s="121"/>
      <c r="L200" s="121"/>
      <c r="M200" s="122"/>
      <c r="N200" s="66"/>
      <c r="O200" s="121"/>
      <c r="P200" s="67"/>
      <c r="Q200" s="121"/>
      <c r="R200" s="67"/>
      <c r="S200" s="65"/>
      <c r="T200" s="67"/>
      <c r="U200" s="65"/>
      <c r="V200" s="64"/>
      <c r="W200" s="65"/>
      <c r="X200" s="161">
        <f t="shared" si="40"/>
        <v>0</v>
      </c>
      <c r="Y200" s="162">
        <f t="shared" si="41"/>
        <v>0</v>
      </c>
      <c r="Z200" s="67"/>
      <c r="AA200" s="65"/>
      <c r="AB200" s="65"/>
      <c r="AC200" s="65"/>
      <c r="AD200" s="123">
        <f t="shared" si="42"/>
        <v>0</v>
      </c>
      <c r="AE200" s="58" t="str">
        <f>'Sch2a-Imp Price by ECM'!K201</f>
        <v/>
      </c>
      <c r="AF200" s="291" t="str">
        <f t="shared" si="43"/>
        <v/>
      </c>
      <c r="AG200" s="1" t="str">
        <f>IF('Sch2a-Imp Price by ECM'!L201="","",'Sch2a-Imp Price by ECM'!L201)</f>
        <v/>
      </c>
    </row>
    <row r="201" spans="1:33" ht="17" thickBot="1">
      <c r="A201" s="290" t="str">
        <f>IF('Sch2a-Imp Price by ECM'!B202="","",'Sch2a-Imp Price by ECM'!B202)</f>
        <v/>
      </c>
      <c r="B201" s="71" t="str">
        <f>IF('Sch2a-Imp Price by ECM'!C202="","",'Sch2a-Imp Price by ECM'!C202)</f>
        <v/>
      </c>
      <c r="C201" s="120"/>
      <c r="D201" s="66"/>
      <c r="E201" s="66"/>
      <c r="F201" s="66"/>
      <c r="G201" s="66"/>
      <c r="H201" s="122"/>
      <c r="I201" s="66"/>
      <c r="J201" s="121"/>
      <c r="K201" s="121"/>
      <c r="L201" s="121"/>
      <c r="M201" s="122"/>
      <c r="N201" s="66"/>
      <c r="O201" s="121"/>
      <c r="P201" s="67"/>
      <c r="Q201" s="121"/>
      <c r="R201" s="67"/>
      <c r="S201" s="65"/>
      <c r="T201" s="67"/>
      <c r="U201" s="65"/>
      <c r="V201" s="64"/>
      <c r="W201" s="65"/>
      <c r="X201" s="161">
        <f t="shared" si="40"/>
        <v>0</v>
      </c>
      <c r="Y201" s="162">
        <f t="shared" si="41"/>
        <v>0</v>
      </c>
      <c r="Z201" s="67"/>
      <c r="AA201" s="65"/>
      <c r="AB201" s="65"/>
      <c r="AC201" s="65"/>
      <c r="AD201" s="123">
        <f t="shared" si="42"/>
        <v>0</v>
      </c>
      <c r="AE201" s="58" t="str">
        <f>'Sch2a-Imp Price by ECM'!K202</f>
        <v/>
      </c>
      <c r="AF201" s="291" t="str">
        <f t="shared" si="43"/>
        <v/>
      </c>
      <c r="AG201" s="1" t="str">
        <f>IF('Sch2a-Imp Price by ECM'!L202="","",'Sch2a-Imp Price by ECM'!L202)</f>
        <v/>
      </c>
    </row>
    <row r="202" spans="1:33" ht="18" customHeight="1" thickBot="1">
      <c r="A202" s="290" t="str">
        <f>IF('Sch2a-Imp Price by ECM'!B203="","",'Sch2a-Imp Price by ECM'!B203)</f>
        <v/>
      </c>
      <c r="B202" s="71" t="str">
        <f>IF('Sch2a-Imp Price by ECM'!C203="","",'Sch2a-Imp Price by ECM'!C203)</f>
        <v/>
      </c>
      <c r="C202" s="120"/>
      <c r="D202" s="66"/>
      <c r="E202" s="66"/>
      <c r="F202" s="66"/>
      <c r="G202" s="66"/>
      <c r="H202" s="122"/>
      <c r="I202" s="66"/>
      <c r="J202" s="121"/>
      <c r="K202" s="121"/>
      <c r="L202" s="121"/>
      <c r="M202" s="122"/>
      <c r="N202" s="66"/>
      <c r="O202" s="121"/>
      <c r="P202" s="67"/>
      <c r="Q202" s="121"/>
      <c r="R202" s="67"/>
      <c r="S202" s="65"/>
      <c r="T202" s="67"/>
      <c r="U202" s="65"/>
      <c r="V202" s="64"/>
      <c r="W202" s="65"/>
      <c r="X202" s="161">
        <f t="shared" si="40"/>
        <v>0</v>
      </c>
      <c r="Y202" s="162">
        <f t="shared" si="41"/>
        <v>0</v>
      </c>
      <c r="Z202" s="67"/>
      <c r="AA202" s="65"/>
      <c r="AB202" s="65"/>
      <c r="AC202" s="65"/>
      <c r="AD202" s="123">
        <f t="shared" si="42"/>
        <v>0</v>
      </c>
      <c r="AE202" s="58" t="str">
        <f>'Sch2a-Imp Price by ECM'!K203</f>
        <v/>
      </c>
      <c r="AF202" s="291" t="str">
        <f t="shared" si="43"/>
        <v/>
      </c>
      <c r="AG202" s="1" t="str">
        <f>IF('Sch2a-Imp Price by ECM'!L203="","",'Sch2a-Imp Price by ECM'!L203)</f>
        <v/>
      </c>
    </row>
    <row r="203" spans="1:33" ht="17" thickBot="1">
      <c r="A203" s="290" t="str">
        <f>IF('Sch2a-Imp Price by ECM'!B204="","",'Sch2a-Imp Price by ECM'!B204)</f>
        <v/>
      </c>
      <c r="B203" s="71" t="str">
        <f>IF('Sch2a-Imp Price by ECM'!C204="","",'Sch2a-Imp Price by ECM'!C204)</f>
        <v/>
      </c>
      <c r="C203" s="120"/>
      <c r="D203" s="66"/>
      <c r="E203" s="66"/>
      <c r="F203" s="66"/>
      <c r="G203" s="66"/>
      <c r="H203" s="122"/>
      <c r="I203" s="66"/>
      <c r="J203" s="121"/>
      <c r="K203" s="121"/>
      <c r="L203" s="121"/>
      <c r="M203" s="122"/>
      <c r="N203" s="66"/>
      <c r="O203" s="121"/>
      <c r="P203" s="67"/>
      <c r="Q203" s="121"/>
      <c r="R203" s="67"/>
      <c r="S203" s="65"/>
      <c r="T203" s="67"/>
      <c r="U203" s="65"/>
      <c r="V203" s="64"/>
      <c r="W203" s="65"/>
      <c r="X203" s="161">
        <f t="shared" si="40"/>
        <v>0</v>
      </c>
      <c r="Y203" s="162">
        <f t="shared" si="41"/>
        <v>0</v>
      </c>
      <c r="Z203" s="67"/>
      <c r="AA203" s="65"/>
      <c r="AB203" s="65"/>
      <c r="AC203" s="65"/>
      <c r="AD203" s="123">
        <f t="shared" si="42"/>
        <v>0</v>
      </c>
      <c r="AE203" s="58" t="str">
        <f>'Sch2a-Imp Price by ECM'!K204</f>
        <v/>
      </c>
      <c r="AF203" s="291" t="str">
        <f t="shared" si="43"/>
        <v/>
      </c>
      <c r="AG203" s="1" t="str">
        <f>IF('Sch2a-Imp Price by ECM'!L204="","",'Sch2a-Imp Price by ECM'!L204)</f>
        <v/>
      </c>
    </row>
    <row r="204" spans="1:33" ht="17" thickBot="1">
      <c r="A204" s="290" t="str">
        <f>IF('Sch2a-Imp Price by ECM'!B205="","",'Sch2a-Imp Price by ECM'!B205)</f>
        <v/>
      </c>
      <c r="B204" s="71" t="str">
        <f>IF('Sch2a-Imp Price by ECM'!C205="","",'Sch2a-Imp Price by ECM'!C205)</f>
        <v/>
      </c>
      <c r="C204" s="120"/>
      <c r="D204" s="66"/>
      <c r="E204" s="66"/>
      <c r="F204" s="66"/>
      <c r="G204" s="66"/>
      <c r="H204" s="122"/>
      <c r="I204" s="66"/>
      <c r="J204" s="121"/>
      <c r="K204" s="121"/>
      <c r="L204" s="121"/>
      <c r="M204" s="122"/>
      <c r="N204" s="66"/>
      <c r="O204" s="121"/>
      <c r="P204" s="67"/>
      <c r="Q204" s="121"/>
      <c r="R204" s="67"/>
      <c r="S204" s="65"/>
      <c r="T204" s="67"/>
      <c r="U204" s="65"/>
      <c r="V204" s="64"/>
      <c r="W204" s="65"/>
      <c r="X204" s="161">
        <f t="shared" si="40"/>
        <v>0</v>
      </c>
      <c r="Y204" s="162">
        <f t="shared" si="41"/>
        <v>0</v>
      </c>
      <c r="Z204" s="67"/>
      <c r="AA204" s="65"/>
      <c r="AB204" s="65"/>
      <c r="AC204" s="65"/>
      <c r="AD204" s="123">
        <f t="shared" si="42"/>
        <v>0</v>
      </c>
      <c r="AE204" s="58" t="str">
        <f>'Sch2a-Imp Price by ECM'!K205</f>
        <v/>
      </c>
      <c r="AF204" s="291" t="str">
        <f t="shared" si="43"/>
        <v/>
      </c>
      <c r="AG204" s="1" t="str">
        <f>IF('Sch2a-Imp Price by ECM'!L205="","",'Sch2a-Imp Price by ECM'!L205)</f>
        <v/>
      </c>
    </row>
    <row r="205" spans="1:33" ht="17" thickBot="1">
      <c r="A205" s="290" t="str">
        <f>IF('Sch2a-Imp Price by ECM'!B206="","",'Sch2a-Imp Price by ECM'!B206)</f>
        <v/>
      </c>
      <c r="B205" s="71" t="str">
        <f>IF('Sch2a-Imp Price by ECM'!C206="","",'Sch2a-Imp Price by ECM'!C206)</f>
        <v/>
      </c>
      <c r="C205" s="120"/>
      <c r="D205" s="66"/>
      <c r="E205" s="66"/>
      <c r="F205" s="66"/>
      <c r="G205" s="66"/>
      <c r="H205" s="122"/>
      <c r="I205" s="66"/>
      <c r="J205" s="121"/>
      <c r="K205" s="121"/>
      <c r="L205" s="121"/>
      <c r="M205" s="116"/>
      <c r="N205" s="66"/>
      <c r="O205" s="121"/>
      <c r="P205" s="67"/>
      <c r="Q205" s="121"/>
      <c r="R205" s="67"/>
      <c r="S205" s="65"/>
      <c r="T205" s="67"/>
      <c r="U205" s="65"/>
      <c r="V205" s="64"/>
      <c r="W205" s="65"/>
      <c r="X205" s="161">
        <f t="shared" si="40"/>
        <v>0</v>
      </c>
      <c r="Y205" s="162">
        <f t="shared" si="41"/>
        <v>0</v>
      </c>
      <c r="Z205" s="67"/>
      <c r="AA205" s="65"/>
      <c r="AB205" s="65"/>
      <c r="AC205" s="65"/>
      <c r="AD205" s="123">
        <f t="shared" si="42"/>
        <v>0</v>
      </c>
      <c r="AE205" s="58" t="str">
        <f>'Sch2a-Imp Price by ECM'!K206</f>
        <v/>
      </c>
      <c r="AF205" s="291" t="str">
        <f t="shared" si="43"/>
        <v/>
      </c>
      <c r="AG205" s="1" t="str">
        <f>IF('Sch2a-Imp Price by ECM'!L206="","",'Sch2a-Imp Price by ECM'!L206)</f>
        <v/>
      </c>
    </row>
    <row r="206" spans="1:33" ht="17" thickBot="1">
      <c r="A206" s="290" t="str">
        <f>IF('Sch2a-Imp Price by ECM'!B207="","",'Sch2a-Imp Price by ECM'!B207)</f>
        <v/>
      </c>
      <c r="B206" s="71" t="str">
        <f>IF('Sch2a-Imp Price by ECM'!C207="","",'Sch2a-Imp Price by ECM'!C207)</f>
        <v/>
      </c>
      <c r="C206" s="120"/>
      <c r="D206" s="66"/>
      <c r="E206" s="66"/>
      <c r="F206" s="66"/>
      <c r="G206" s="66"/>
      <c r="H206" s="122"/>
      <c r="I206" s="66"/>
      <c r="J206" s="121"/>
      <c r="K206" s="121"/>
      <c r="L206" s="121"/>
      <c r="M206" s="116"/>
      <c r="N206" s="66"/>
      <c r="O206" s="121"/>
      <c r="P206" s="67"/>
      <c r="Q206" s="121"/>
      <c r="R206" s="67"/>
      <c r="S206" s="65"/>
      <c r="T206" s="67"/>
      <c r="U206" s="65"/>
      <c r="V206" s="64"/>
      <c r="W206" s="65"/>
      <c r="X206" s="161">
        <f t="shared" si="40"/>
        <v>0</v>
      </c>
      <c r="Y206" s="162">
        <f t="shared" si="41"/>
        <v>0</v>
      </c>
      <c r="Z206" s="67"/>
      <c r="AA206" s="65"/>
      <c r="AB206" s="65"/>
      <c r="AC206" s="65"/>
      <c r="AD206" s="123">
        <f t="shared" si="42"/>
        <v>0</v>
      </c>
      <c r="AE206" s="58" t="str">
        <f>'Sch2a-Imp Price by ECM'!K207</f>
        <v/>
      </c>
      <c r="AF206" s="291" t="str">
        <f t="shared" si="43"/>
        <v/>
      </c>
      <c r="AG206" s="1" t="str">
        <f>IF('Sch2a-Imp Price by ECM'!L207="","",'Sch2a-Imp Price by ECM'!L207)</f>
        <v/>
      </c>
    </row>
    <row r="207" spans="1:33" ht="17" thickBot="1">
      <c r="A207" s="290" t="str">
        <f>IF('Sch2a-Imp Price by ECM'!B208="","",'Sch2a-Imp Price by ECM'!B208)</f>
        <v/>
      </c>
      <c r="B207" s="71" t="str">
        <f>IF('Sch2a-Imp Price by ECM'!C208="","",'Sch2a-Imp Price by ECM'!C208)</f>
        <v/>
      </c>
      <c r="C207" s="120"/>
      <c r="D207" s="66"/>
      <c r="E207" s="66"/>
      <c r="F207" s="66"/>
      <c r="G207" s="66"/>
      <c r="H207" s="122"/>
      <c r="I207" s="66"/>
      <c r="J207" s="121"/>
      <c r="K207" s="121"/>
      <c r="L207" s="121"/>
      <c r="M207" s="116"/>
      <c r="N207" s="66"/>
      <c r="O207" s="121"/>
      <c r="P207" s="67"/>
      <c r="Q207" s="121"/>
      <c r="R207" s="67"/>
      <c r="S207" s="65"/>
      <c r="T207" s="67"/>
      <c r="U207" s="65"/>
      <c r="V207" s="64"/>
      <c r="W207" s="65"/>
      <c r="X207" s="161">
        <f t="shared" si="40"/>
        <v>0</v>
      </c>
      <c r="Y207" s="162">
        <f t="shared" si="41"/>
        <v>0</v>
      </c>
      <c r="Z207" s="67"/>
      <c r="AA207" s="65"/>
      <c r="AB207" s="65"/>
      <c r="AC207" s="65"/>
      <c r="AD207" s="123">
        <f t="shared" si="42"/>
        <v>0</v>
      </c>
      <c r="AE207" s="58" t="str">
        <f>'Sch2a-Imp Price by ECM'!K208</f>
        <v/>
      </c>
      <c r="AF207" s="291" t="str">
        <f t="shared" si="43"/>
        <v/>
      </c>
      <c r="AG207" s="1" t="str">
        <f>IF('Sch2a-Imp Price by ECM'!L208="","",'Sch2a-Imp Price by ECM'!L208)</f>
        <v/>
      </c>
    </row>
    <row r="208" spans="1:33" ht="17" thickBot="1">
      <c r="A208" s="290" t="str">
        <f>IF('Sch2a-Imp Price by ECM'!B209="","",'Sch2a-Imp Price by ECM'!B209)</f>
        <v/>
      </c>
      <c r="B208" s="71" t="str">
        <f>IF('Sch2a-Imp Price by ECM'!C209="","",'Sch2a-Imp Price by ECM'!C209)</f>
        <v/>
      </c>
      <c r="C208" s="120"/>
      <c r="D208" s="66"/>
      <c r="E208" s="66"/>
      <c r="F208" s="66"/>
      <c r="G208" s="66"/>
      <c r="H208" s="122"/>
      <c r="I208" s="66"/>
      <c r="J208" s="121"/>
      <c r="K208" s="121"/>
      <c r="L208" s="121"/>
      <c r="M208" s="116"/>
      <c r="N208" s="66"/>
      <c r="O208" s="121"/>
      <c r="P208" s="67"/>
      <c r="Q208" s="121"/>
      <c r="R208" s="67"/>
      <c r="S208" s="65"/>
      <c r="T208" s="67"/>
      <c r="U208" s="65"/>
      <c r="V208" s="64"/>
      <c r="W208" s="65"/>
      <c r="X208" s="161">
        <f t="shared" si="40"/>
        <v>0</v>
      </c>
      <c r="Y208" s="162">
        <f t="shared" si="41"/>
        <v>0</v>
      </c>
      <c r="Z208" s="67"/>
      <c r="AA208" s="65"/>
      <c r="AB208" s="65"/>
      <c r="AC208" s="65"/>
      <c r="AD208" s="123">
        <f t="shared" si="42"/>
        <v>0</v>
      </c>
      <c r="AE208" s="58" t="str">
        <f>'Sch2a-Imp Price by ECM'!K209</f>
        <v/>
      </c>
      <c r="AF208" s="291" t="str">
        <f t="shared" si="43"/>
        <v/>
      </c>
      <c r="AG208" s="1" t="str">
        <f>IF('Sch2a-Imp Price by ECM'!L209="","",'Sch2a-Imp Price by ECM'!L209)</f>
        <v/>
      </c>
    </row>
    <row r="209" spans="1:33" ht="17" thickBot="1">
      <c r="A209" s="290" t="str">
        <f>IF('Sch2a-Imp Price by ECM'!B210="","",'Sch2a-Imp Price by ECM'!B210)</f>
        <v/>
      </c>
      <c r="B209" s="71" t="str">
        <f>IF('Sch2a-Imp Price by ECM'!C210="","",'Sch2a-Imp Price by ECM'!C210)</f>
        <v/>
      </c>
      <c r="C209" s="120"/>
      <c r="D209" s="66"/>
      <c r="E209" s="66"/>
      <c r="F209" s="66"/>
      <c r="G209" s="66"/>
      <c r="H209" s="122"/>
      <c r="I209" s="66"/>
      <c r="J209" s="121"/>
      <c r="K209" s="121"/>
      <c r="L209" s="121"/>
      <c r="M209" s="116"/>
      <c r="N209" s="66"/>
      <c r="O209" s="121"/>
      <c r="P209" s="67"/>
      <c r="Q209" s="121"/>
      <c r="R209" s="67"/>
      <c r="S209" s="65"/>
      <c r="T209" s="67"/>
      <c r="U209" s="65"/>
      <c r="V209" s="64"/>
      <c r="W209" s="65"/>
      <c r="X209" s="161">
        <f t="shared" si="40"/>
        <v>0</v>
      </c>
      <c r="Y209" s="162">
        <f t="shared" si="41"/>
        <v>0</v>
      </c>
      <c r="Z209" s="67"/>
      <c r="AA209" s="65"/>
      <c r="AB209" s="65"/>
      <c r="AC209" s="65"/>
      <c r="AD209" s="123">
        <f t="shared" si="42"/>
        <v>0</v>
      </c>
      <c r="AE209" s="58" t="str">
        <f>'Sch2a-Imp Price by ECM'!K210</f>
        <v/>
      </c>
      <c r="AF209" s="291" t="str">
        <f t="shared" si="43"/>
        <v/>
      </c>
      <c r="AG209" s="1" t="str">
        <f>IF('Sch2a-Imp Price by ECM'!L210="","",'Sch2a-Imp Price by ECM'!L210)</f>
        <v/>
      </c>
    </row>
    <row r="210" spans="1:33" ht="17" thickBot="1">
      <c r="A210" s="290" t="str">
        <f>IF('Sch2a-Imp Price by ECM'!B211="","",'Sch2a-Imp Price by ECM'!B211)</f>
        <v/>
      </c>
      <c r="B210" s="71" t="str">
        <f>IF('Sch2a-Imp Price by ECM'!C211="","",'Sch2a-Imp Price by ECM'!C211)</f>
        <v/>
      </c>
      <c r="C210" s="120"/>
      <c r="D210" s="66"/>
      <c r="E210" s="66"/>
      <c r="F210" s="66"/>
      <c r="G210" s="66"/>
      <c r="H210" s="122"/>
      <c r="I210" s="66"/>
      <c r="J210" s="121"/>
      <c r="K210" s="121"/>
      <c r="L210" s="121"/>
      <c r="M210" s="116"/>
      <c r="N210" s="66"/>
      <c r="O210" s="121"/>
      <c r="P210" s="67"/>
      <c r="Q210" s="121"/>
      <c r="R210" s="67"/>
      <c r="S210" s="65"/>
      <c r="T210" s="67"/>
      <c r="U210" s="65"/>
      <c r="V210" s="64"/>
      <c r="W210" s="65"/>
      <c r="X210" s="161">
        <f t="shared" si="40"/>
        <v>0</v>
      </c>
      <c r="Y210" s="162">
        <f t="shared" si="41"/>
        <v>0</v>
      </c>
      <c r="Z210" s="67"/>
      <c r="AA210" s="65"/>
      <c r="AB210" s="65"/>
      <c r="AC210" s="65"/>
      <c r="AD210" s="123">
        <f t="shared" si="42"/>
        <v>0</v>
      </c>
      <c r="AE210" s="58" t="str">
        <f>'Sch2a-Imp Price by ECM'!K211</f>
        <v/>
      </c>
      <c r="AF210" s="291" t="str">
        <f t="shared" si="43"/>
        <v/>
      </c>
      <c r="AG210" s="1" t="str">
        <f>IF('Sch2a-Imp Price by ECM'!L211="","",'Sch2a-Imp Price by ECM'!L211)</f>
        <v/>
      </c>
    </row>
    <row r="211" spans="1:33" ht="17" thickBot="1">
      <c r="A211" s="290" t="str">
        <f>IF('Sch2a-Imp Price by ECM'!B212="","",'Sch2a-Imp Price by ECM'!B212)</f>
        <v/>
      </c>
      <c r="B211" s="71" t="str">
        <f>IF('Sch2a-Imp Price by ECM'!C212="","",'Sch2a-Imp Price by ECM'!C212)</f>
        <v/>
      </c>
      <c r="C211" s="120"/>
      <c r="D211" s="66"/>
      <c r="E211" s="66"/>
      <c r="F211" s="66"/>
      <c r="G211" s="66"/>
      <c r="H211" s="122"/>
      <c r="I211" s="66"/>
      <c r="J211" s="121"/>
      <c r="K211" s="121"/>
      <c r="L211" s="121"/>
      <c r="M211" s="116"/>
      <c r="N211" s="66"/>
      <c r="O211" s="121"/>
      <c r="P211" s="67"/>
      <c r="Q211" s="121"/>
      <c r="R211" s="67"/>
      <c r="S211" s="65"/>
      <c r="T211" s="67"/>
      <c r="U211" s="65"/>
      <c r="V211" s="64"/>
      <c r="W211" s="65"/>
      <c r="X211" s="161">
        <f t="shared" si="40"/>
        <v>0</v>
      </c>
      <c r="Y211" s="162">
        <f t="shared" si="41"/>
        <v>0</v>
      </c>
      <c r="Z211" s="67"/>
      <c r="AA211" s="65"/>
      <c r="AB211" s="65"/>
      <c r="AC211" s="65"/>
      <c r="AD211" s="123">
        <f t="shared" si="42"/>
        <v>0</v>
      </c>
      <c r="AE211" s="58" t="str">
        <f>'Sch2a-Imp Price by ECM'!K212</f>
        <v/>
      </c>
      <c r="AF211" s="291" t="str">
        <f t="shared" si="43"/>
        <v/>
      </c>
      <c r="AG211" s="1" t="str">
        <f>IF('Sch2a-Imp Price by ECM'!L212="","",'Sch2a-Imp Price by ECM'!L212)</f>
        <v/>
      </c>
    </row>
    <row r="212" spans="1:33" ht="17" thickBot="1">
      <c r="A212" s="290" t="str">
        <f>IF('Sch2a-Imp Price by ECM'!B213="","",'Sch2a-Imp Price by ECM'!B213)</f>
        <v/>
      </c>
      <c r="B212" s="71" t="str">
        <f>IF('Sch2a-Imp Price by ECM'!C213="","",'Sch2a-Imp Price by ECM'!C213)</f>
        <v/>
      </c>
      <c r="C212" s="120"/>
      <c r="D212" s="66"/>
      <c r="E212" s="66"/>
      <c r="F212" s="66"/>
      <c r="G212" s="66"/>
      <c r="H212" s="122"/>
      <c r="I212" s="66"/>
      <c r="J212" s="121"/>
      <c r="K212" s="121"/>
      <c r="L212" s="121"/>
      <c r="M212" s="116"/>
      <c r="N212" s="66"/>
      <c r="O212" s="121"/>
      <c r="P212" s="67"/>
      <c r="Q212" s="121"/>
      <c r="R212" s="67"/>
      <c r="S212" s="65"/>
      <c r="T212" s="67"/>
      <c r="U212" s="65"/>
      <c r="V212" s="64"/>
      <c r="W212" s="65"/>
      <c r="X212" s="161">
        <f t="shared" si="40"/>
        <v>0</v>
      </c>
      <c r="Y212" s="162">
        <f t="shared" si="41"/>
        <v>0</v>
      </c>
      <c r="Z212" s="67"/>
      <c r="AA212" s="65"/>
      <c r="AB212" s="65"/>
      <c r="AC212" s="65"/>
      <c r="AD212" s="123">
        <f t="shared" si="42"/>
        <v>0</v>
      </c>
      <c r="AE212" s="58" t="str">
        <f>'Sch2a-Imp Price by ECM'!K213</f>
        <v/>
      </c>
      <c r="AF212" s="291" t="str">
        <f t="shared" si="43"/>
        <v/>
      </c>
      <c r="AG212" s="1" t="str">
        <f>IF('Sch2a-Imp Price by ECM'!L213="","",'Sch2a-Imp Price by ECM'!L213)</f>
        <v/>
      </c>
    </row>
    <row r="213" spans="1:33" ht="17" thickBot="1">
      <c r="A213" s="290" t="str">
        <f>IF('Sch2a-Imp Price by ECM'!B214="","",'Sch2a-Imp Price by ECM'!B214)</f>
        <v/>
      </c>
      <c r="B213" s="71" t="str">
        <f>IF('Sch2a-Imp Price by ECM'!C214="","",'Sch2a-Imp Price by ECM'!C214)</f>
        <v/>
      </c>
      <c r="C213" s="120"/>
      <c r="D213" s="66"/>
      <c r="E213" s="66"/>
      <c r="F213" s="66"/>
      <c r="G213" s="66"/>
      <c r="H213" s="122"/>
      <c r="I213" s="66"/>
      <c r="J213" s="121"/>
      <c r="K213" s="121"/>
      <c r="L213" s="121"/>
      <c r="M213" s="116"/>
      <c r="N213" s="66"/>
      <c r="O213" s="121"/>
      <c r="P213" s="67"/>
      <c r="Q213" s="121"/>
      <c r="R213" s="67"/>
      <c r="S213" s="65"/>
      <c r="T213" s="67"/>
      <c r="U213" s="65"/>
      <c r="V213" s="64"/>
      <c r="W213" s="65"/>
      <c r="X213" s="161">
        <f t="shared" si="40"/>
        <v>0</v>
      </c>
      <c r="Y213" s="162">
        <f t="shared" si="41"/>
        <v>0</v>
      </c>
      <c r="Z213" s="67"/>
      <c r="AA213" s="65"/>
      <c r="AB213" s="65"/>
      <c r="AC213" s="65"/>
      <c r="AD213" s="123">
        <f t="shared" si="42"/>
        <v>0</v>
      </c>
      <c r="AE213" s="58" t="str">
        <f>'Sch2a-Imp Price by ECM'!K214</f>
        <v/>
      </c>
      <c r="AF213" s="291" t="str">
        <f t="shared" si="43"/>
        <v/>
      </c>
      <c r="AG213" s="1" t="str">
        <f>IF('Sch2a-Imp Price by ECM'!L214="","",'Sch2a-Imp Price by ECM'!L214)</f>
        <v/>
      </c>
    </row>
    <row r="214" spans="1:33" ht="17" thickBot="1">
      <c r="A214" s="290" t="str">
        <f>IF('Sch2a-Imp Price by ECM'!B215="","",'Sch2a-Imp Price by ECM'!B215)</f>
        <v/>
      </c>
      <c r="B214" s="71" t="str">
        <f>IF('Sch2a-Imp Price by ECM'!C215="","",'Sch2a-Imp Price by ECM'!C215)</f>
        <v/>
      </c>
      <c r="C214" s="120"/>
      <c r="D214" s="66"/>
      <c r="E214" s="66"/>
      <c r="F214" s="66"/>
      <c r="G214" s="66"/>
      <c r="H214" s="122"/>
      <c r="I214" s="66"/>
      <c r="J214" s="121"/>
      <c r="K214" s="121"/>
      <c r="L214" s="121"/>
      <c r="M214" s="116"/>
      <c r="N214" s="66"/>
      <c r="O214" s="121"/>
      <c r="P214" s="67"/>
      <c r="Q214" s="121"/>
      <c r="R214" s="67"/>
      <c r="S214" s="65"/>
      <c r="T214" s="67"/>
      <c r="U214" s="65"/>
      <c r="V214" s="64"/>
      <c r="W214" s="65"/>
      <c r="X214" s="161">
        <f t="shared" si="40"/>
        <v>0</v>
      </c>
      <c r="Y214" s="162">
        <f t="shared" si="41"/>
        <v>0</v>
      </c>
      <c r="Z214" s="67"/>
      <c r="AA214" s="65"/>
      <c r="AB214" s="65"/>
      <c r="AC214" s="65"/>
      <c r="AD214" s="123">
        <f t="shared" si="42"/>
        <v>0</v>
      </c>
      <c r="AE214" s="58" t="str">
        <f>'Sch2a-Imp Price by ECM'!K215</f>
        <v/>
      </c>
      <c r="AF214" s="291" t="str">
        <f t="shared" si="43"/>
        <v/>
      </c>
      <c r="AG214" s="1" t="str">
        <f>IF('Sch2a-Imp Price by ECM'!L215="","",'Sch2a-Imp Price by ECM'!L215)</f>
        <v/>
      </c>
    </row>
    <row r="215" spans="1:33" ht="17" thickBot="1">
      <c r="A215" s="290" t="str">
        <f>IF('Sch2a-Imp Price by ECM'!B216="","",'Sch2a-Imp Price by ECM'!B216)</f>
        <v/>
      </c>
      <c r="B215" s="71" t="str">
        <f>IF('Sch2a-Imp Price by ECM'!C216="","",'Sch2a-Imp Price by ECM'!C216)</f>
        <v/>
      </c>
      <c r="C215" s="120"/>
      <c r="D215" s="66"/>
      <c r="E215" s="66"/>
      <c r="F215" s="66"/>
      <c r="G215" s="66"/>
      <c r="H215" s="122"/>
      <c r="I215" s="66"/>
      <c r="J215" s="121"/>
      <c r="K215" s="121"/>
      <c r="L215" s="121"/>
      <c r="M215" s="116"/>
      <c r="N215" s="66"/>
      <c r="O215" s="121"/>
      <c r="P215" s="67"/>
      <c r="Q215" s="121"/>
      <c r="R215" s="67"/>
      <c r="S215" s="65"/>
      <c r="T215" s="67"/>
      <c r="U215" s="65"/>
      <c r="V215" s="64"/>
      <c r="W215" s="65"/>
      <c r="X215" s="161">
        <f t="shared" si="40"/>
        <v>0</v>
      </c>
      <c r="Y215" s="162">
        <f t="shared" si="41"/>
        <v>0</v>
      </c>
      <c r="Z215" s="67"/>
      <c r="AA215" s="65"/>
      <c r="AB215" s="65"/>
      <c r="AC215" s="65"/>
      <c r="AD215" s="123">
        <f t="shared" si="42"/>
        <v>0</v>
      </c>
      <c r="AE215" s="58" t="str">
        <f>'Sch2a-Imp Price by ECM'!K216</f>
        <v/>
      </c>
      <c r="AF215" s="291" t="str">
        <f t="shared" si="43"/>
        <v/>
      </c>
      <c r="AG215" s="1" t="str">
        <f>IF('Sch2a-Imp Price by ECM'!L216="","",'Sch2a-Imp Price by ECM'!L216)</f>
        <v/>
      </c>
    </row>
    <row r="216" spans="1:33" ht="17" thickBot="1">
      <c r="A216" s="290" t="str">
        <f>IF('Sch2a-Imp Price by ECM'!B217="","",'Sch2a-Imp Price by ECM'!B217)</f>
        <v/>
      </c>
      <c r="B216" s="71" t="str">
        <f>IF('Sch2a-Imp Price by ECM'!C217="","",'Sch2a-Imp Price by ECM'!C217)</f>
        <v/>
      </c>
      <c r="C216" s="120"/>
      <c r="D216" s="66"/>
      <c r="E216" s="66"/>
      <c r="F216" s="66"/>
      <c r="G216" s="66"/>
      <c r="H216" s="122"/>
      <c r="I216" s="66"/>
      <c r="J216" s="121"/>
      <c r="K216" s="121"/>
      <c r="L216" s="121"/>
      <c r="M216" s="116"/>
      <c r="N216" s="66"/>
      <c r="O216" s="121"/>
      <c r="P216" s="67"/>
      <c r="Q216" s="121"/>
      <c r="R216" s="67"/>
      <c r="S216" s="65"/>
      <c r="T216" s="67"/>
      <c r="U216" s="65"/>
      <c r="V216" s="64"/>
      <c r="W216" s="65"/>
      <c r="X216" s="161">
        <f t="shared" si="40"/>
        <v>0</v>
      </c>
      <c r="Y216" s="162">
        <f t="shared" si="41"/>
        <v>0</v>
      </c>
      <c r="Z216" s="67"/>
      <c r="AA216" s="65"/>
      <c r="AB216" s="65"/>
      <c r="AC216" s="65"/>
      <c r="AD216" s="123">
        <f t="shared" si="42"/>
        <v>0</v>
      </c>
      <c r="AE216" s="58" t="str">
        <f>'Sch2a-Imp Price by ECM'!K217</f>
        <v/>
      </c>
      <c r="AF216" s="291" t="str">
        <f t="shared" si="43"/>
        <v/>
      </c>
      <c r="AG216" s="1" t="str">
        <f>IF('Sch2a-Imp Price by ECM'!L217="","",'Sch2a-Imp Price by ECM'!L217)</f>
        <v/>
      </c>
    </row>
    <row r="217" spans="1:33" ht="17" thickBot="1">
      <c r="A217" s="290" t="str">
        <f>IF('Sch2a-Imp Price by ECM'!B218="","",'Sch2a-Imp Price by ECM'!B218)</f>
        <v/>
      </c>
      <c r="B217" s="71" t="str">
        <f>IF('Sch2a-Imp Price by ECM'!C218="","",'Sch2a-Imp Price by ECM'!C218)</f>
        <v/>
      </c>
      <c r="C217" s="120"/>
      <c r="D217" s="66"/>
      <c r="E217" s="66"/>
      <c r="F217" s="66"/>
      <c r="G217" s="66"/>
      <c r="H217" s="122"/>
      <c r="I217" s="66"/>
      <c r="J217" s="121"/>
      <c r="K217" s="121"/>
      <c r="L217" s="121"/>
      <c r="M217" s="116"/>
      <c r="N217" s="66"/>
      <c r="O217" s="121"/>
      <c r="P217" s="67"/>
      <c r="Q217" s="121"/>
      <c r="R217" s="67"/>
      <c r="S217" s="65"/>
      <c r="T217" s="67"/>
      <c r="U217" s="65"/>
      <c r="V217" s="64"/>
      <c r="W217" s="65"/>
      <c r="X217" s="161">
        <f t="shared" si="40"/>
        <v>0</v>
      </c>
      <c r="Y217" s="162">
        <f t="shared" si="41"/>
        <v>0</v>
      </c>
      <c r="Z217" s="67"/>
      <c r="AA217" s="65"/>
      <c r="AB217" s="65"/>
      <c r="AC217" s="65"/>
      <c r="AD217" s="123">
        <f t="shared" si="42"/>
        <v>0</v>
      </c>
      <c r="AE217" s="58" t="str">
        <f>'Sch2a-Imp Price by ECM'!K218</f>
        <v/>
      </c>
      <c r="AF217" s="291" t="str">
        <f t="shared" si="43"/>
        <v/>
      </c>
      <c r="AG217" s="1" t="str">
        <f>IF('Sch2a-Imp Price by ECM'!L218="","",'Sch2a-Imp Price by ECM'!L218)</f>
        <v/>
      </c>
    </row>
    <row r="218" spans="1:33" ht="17" thickBot="1">
      <c r="A218" s="290" t="str">
        <f>IF('Sch2a-Imp Price by ECM'!B219="","",'Sch2a-Imp Price by ECM'!B219)</f>
        <v/>
      </c>
      <c r="B218" s="71" t="str">
        <f>IF('Sch2a-Imp Price by ECM'!C219="","",'Sch2a-Imp Price by ECM'!C219)</f>
        <v/>
      </c>
      <c r="C218" s="120"/>
      <c r="D218" s="66"/>
      <c r="E218" s="66"/>
      <c r="F218" s="66"/>
      <c r="G218" s="66"/>
      <c r="H218" s="122"/>
      <c r="I218" s="66"/>
      <c r="J218" s="121"/>
      <c r="K218" s="121"/>
      <c r="L218" s="121"/>
      <c r="M218" s="116"/>
      <c r="N218" s="66"/>
      <c r="O218" s="121"/>
      <c r="P218" s="67"/>
      <c r="Q218" s="121"/>
      <c r="R218" s="67"/>
      <c r="S218" s="65"/>
      <c r="T218" s="67"/>
      <c r="U218" s="65"/>
      <c r="V218" s="64"/>
      <c r="W218" s="65"/>
      <c r="X218" s="161">
        <f t="shared" si="40"/>
        <v>0</v>
      </c>
      <c r="Y218" s="162">
        <f t="shared" si="41"/>
        <v>0</v>
      </c>
      <c r="Z218" s="67"/>
      <c r="AA218" s="65"/>
      <c r="AB218" s="65"/>
      <c r="AC218" s="65"/>
      <c r="AD218" s="123">
        <f t="shared" si="42"/>
        <v>0</v>
      </c>
      <c r="AE218" s="58" t="str">
        <f>'Sch2a-Imp Price by ECM'!K219</f>
        <v/>
      </c>
      <c r="AF218" s="291" t="str">
        <f t="shared" si="43"/>
        <v/>
      </c>
      <c r="AG218" s="1" t="str">
        <f>IF('Sch2a-Imp Price by ECM'!L219="","",'Sch2a-Imp Price by ECM'!L219)</f>
        <v/>
      </c>
    </row>
    <row r="219" spans="1:33" ht="17" thickBot="1">
      <c r="A219" s="290" t="str">
        <f>IF('Sch2a-Imp Price by ECM'!B220="","",'Sch2a-Imp Price by ECM'!B220)</f>
        <v/>
      </c>
      <c r="B219" s="71" t="str">
        <f>IF('Sch2a-Imp Price by ECM'!C220="","",'Sch2a-Imp Price by ECM'!C220)</f>
        <v/>
      </c>
      <c r="C219" s="120"/>
      <c r="D219" s="66"/>
      <c r="E219" s="66"/>
      <c r="F219" s="66"/>
      <c r="G219" s="66"/>
      <c r="H219" s="122"/>
      <c r="I219" s="66"/>
      <c r="J219" s="121"/>
      <c r="K219" s="121"/>
      <c r="L219" s="121"/>
      <c r="M219" s="122"/>
      <c r="N219" s="66"/>
      <c r="O219" s="121"/>
      <c r="P219" s="67"/>
      <c r="Q219" s="121"/>
      <c r="R219" s="67"/>
      <c r="S219" s="65"/>
      <c r="T219" s="67"/>
      <c r="U219" s="65"/>
      <c r="V219" s="64"/>
      <c r="W219" s="65"/>
      <c r="X219" s="161">
        <f t="shared" ref="X219:X239" si="44">(N219*3412/10^6)+R219+T219+V219</f>
        <v>0</v>
      </c>
      <c r="Y219" s="162">
        <f t="shared" ref="Y219:Y239" si="45">O219+Q219+U219+W219+S219</f>
        <v>0</v>
      </c>
      <c r="Z219" s="67"/>
      <c r="AA219" s="65"/>
      <c r="AB219" s="65"/>
      <c r="AC219" s="65"/>
      <c r="AD219" s="123">
        <f t="shared" ref="AD219:AD239" si="46">Y219+AA219+AB219+AC219</f>
        <v>0</v>
      </c>
      <c r="AE219" s="58" t="str">
        <f>'Sch2a-Imp Price by ECM'!K220</f>
        <v/>
      </c>
      <c r="AF219" s="291" t="str">
        <f t="shared" ref="AF219:AF239" si="47">IF(AD219=0,"",AE219/AD219)</f>
        <v/>
      </c>
      <c r="AG219" s="1" t="str">
        <f>IF('Sch2a-Imp Price by ECM'!L220="","",'Sch2a-Imp Price by ECM'!L220)</f>
        <v/>
      </c>
    </row>
    <row r="220" spans="1:33" ht="17" thickBot="1">
      <c r="A220" s="290" t="str">
        <f>IF('Sch2a-Imp Price by ECM'!B221="","",'Sch2a-Imp Price by ECM'!B221)</f>
        <v/>
      </c>
      <c r="B220" s="71" t="str">
        <f>IF('Sch2a-Imp Price by ECM'!C221="","",'Sch2a-Imp Price by ECM'!C221)</f>
        <v/>
      </c>
      <c r="C220" s="120"/>
      <c r="D220" s="66"/>
      <c r="E220" s="66"/>
      <c r="F220" s="66"/>
      <c r="G220" s="66"/>
      <c r="H220" s="122"/>
      <c r="I220" s="66"/>
      <c r="J220" s="121"/>
      <c r="K220" s="121"/>
      <c r="L220" s="121"/>
      <c r="M220" s="122"/>
      <c r="N220" s="66"/>
      <c r="O220" s="121"/>
      <c r="P220" s="67"/>
      <c r="Q220" s="121"/>
      <c r="R220" s="67"/>
      <c r="S220" s="65"/>
      <c r="T220" s="67"/>
      <c r="U220" s="65"/>
      <c r="V220" s="64"/>
      <c r="W220" s="65"/>
      <c r="X220" s="161">
        <f t="shared" si="44"/>
        <v>0</v>
      </c>
      <c r="Y220" s="162">
        <f t="shared" si="45"/>
        <v>0</v>
      </c>
      <c r="Z220" s="67"/>
      <c r="AA220" s="65"/>
      <c r="AB220" s="65"/>
      <c r="AC220" s="65"/>
      <c r="AD220" s="123">
        <f t="shared" si="46"/>
        <v>0</v>
      </c>
      <c r="AE220" s="58" t="str">
        <f>'Sch2a-Imp Price by ECM'!K221</f>
        <v/>
      </c>
      <c r="AF220" s="291" t="str">
        <f t="shared" si="47"/>
        <v/>
      </c>
      <c r="AG220" s="1" t="str">
        <f>IF('Sch2a-Imp Price by ECM'!L221="","",'Sch2a-Imp Price by ECM'!L221)</f>
        <v/>
      </c>
    </row>
    <row r="221" spans="1:33" ht="17" thickBot="1">
      <c r="A221" s="290" t="str">
        <f>IF('Sch2a-Imp Price by ECM'!B222="","",'Sch2a-Imp Price by ECM'!B222)</f>
        <v/>
      </c>
      <c r="B221" s="71" t="str">
        <f>IF('Sch2a-Imp Price by ECM'!C222="","",'Sch2a-Imp Price by ECM'!C222)</f>
        <v/>
      </c>
      <c r="C221" s="120"/>
      <c r="D221" s="66"/>
      <c r="E221" s="66"/>
      <c r="F221" s="66"/>
      <c r="G221" s="66"/>
      <c r="H221" s="122"/>
      <c r="I221" s="66"/>
      <c r="J221" s="121"/>
      <c r="K221" s="121"/>
      <c r="L221" s="121"/>
      <c r="M221" s="122"/>
      <c r="N221" s="66"/>
      <c r="O221" s="121"/>
      <c r="P221" s="67"/>
      <c r="Q221" s="121"/>
      <c r="R221" s="67"/>
      <c r="S221" s="65"/>
      <c r="T221" s="67"/>
      <c r="U221" s="65"/>
      <c r="V221" s="64"/>
      <c r="W221" s="65"/>
      <c r="X221" s="161">
        <f t="shared" si="44"/>
        <v>0</v>
      </c>
      <c r="Y221" s="162">
        <f t="shared" si="45"/>
        <v>0</v>
      </c>
      <c r="Z221" s="67"/>
      <c r="AA221" s="65"/>
      <c r="AB221" s="65"/>
      <c r="AC221" s="65"/>
      <c r="AD221" s="123">
        <f t="shared" si="46"/>
        <v>0</v>
      </c>
      <c r="AE221" s="58" t="str">
        <f>'Sch2a-Imp Price by ECM'!K222</f>
        <v/>
      </c>
      <c r="AF221" s="291" t="str">
        <f t="shared" si="47"/>
        <v/>
      </c>
      <c r="AG221" s="1" t="str">
        <f>IF('Sch2a-Imp Price by ECM'!L222="","",'Sch2a-Imp Price by ECM'!L222)</f>
        <v/>
      </c>
    </row>
    <row r="222" spans="1:33" ht="17" thickBot="1">
      <c r="A222" s="290" t="str">
        <f>IF('Sch2a-Imp Price by ECM'!B223="","",'Sch2a-Imp Price by ECM'!B223)</f>
        <v/>
      </c>
      <c r="B222" s="71" t="str">
        <f>IF('Sch2a-Imp Price by ECM'!C223="","",'Sch2a-Imp Price by ECM'!C223)</f>
        <v/>
      </c>
      <c r="C222" s="120"/>
      <c r="D222" s="66"/>
      <c r="E222" s="66"/>
      <c r="F222" s="66"/>
      <c r="G222" s="66"/>
      <c r="H222" s="122"/>
      <c r="I222" s="66"/>
      <c r="J222" s="121"/>
      <c r="K222" s="121"/>
      <c r="L222" s="121"/>
      <c r="M222" s="122"/>
      <c r="N222" s="66"/>
      <c r="O222" s="121"/>
      <c r="P222" s="67"/>
      <c r="Q222" s="121"/>
      <c r="R222" s="67"/>
      <c r="S222" s="65"/>
      <c r="T222" s="67"/>
      <c r="U222" s="65"/>
      <c r="V222" s="64"/>
      <c r="W222" s="65"/>
      <c r="X222" s="161">
        <f t="shared" si="44"/>
        <v>0</v>
      </c>
      <c r="Y222" s="162">
        <f t="shared" si="45"/>
        <v>0</v>
      </c>
      <c r="Z222" s="67"/>
      <c r="AA222" s="65"/>
      <c r="AB222" s="65"/>
      <c r="AC222" s="65"/>
      <c r="AD222" s="123">
        <f t="shared" si="46"/>
        <v>0</v>
      </c>
      <c r="AE222" s="58" t="str">
        <f>'Sch2a-Imp Price by ECM'!K223</f>
        <v/>
      </c>
      <c r="AF222" s="291" t="str">
        <f t="shared" si="47"/>
        <v/>
      </c>
      <c r="AG222" s="1" t="str">
        <f>IF('Sch2a-Imp Price by ECM'!L223="","",'Sch2a-Imp Price by ECM'!L223)</f>
        <v/>
      </c>
    </row>
    <row r="223" spans="1:33" ht="18" customHeight="1" thickBot="1">
      <c r="A223" s="290" t="str">
        <f>IF('Sch2a-Imp Price by ECM'!B224="","",'Sch2a-Imp Price by ECM'!B224)</f>
        <v/>
      </c>
      <c r="B223" s="71" t="str">
        <f>IF('Sch2a-Imp Price by ECM'!C224="","",'Sch2a-Imp Price by ECM'!C224)</f>
        <v/>
      </c>
      <c r="C223" s="120"/>
      <c r="D223" s="66"/>
      <c r="E223" s="66"/>
      <c r="F223" s="66"/>
      <c r="G223" s="66"/>
      <c r="H223" s="122"/>
      <c r="I223" s="66"/>
      <c r="J223" s="121"/>
      <c r="K223" s="121"/>
      <c r="L223" s="121"/>
      <c r="M223" s="122"/>
      <c r="N223" s="66"/>
      <c r="O223" s="121"/>
      <c r="P223" s="67"/>
      <c r="Q223" s="121"/>
      <c r="R223" s="67"/>
      <c r="S223" s="65"/>
      <c r="T223" s="67"/>
      <c r="U223" s="65"/>
      <c r="V223" s="64"/>
      <c r="W223" s="65"/>
      <c r="X223" s="161">
        <f t="shared" si="44"/>
        <v>0</v>
      </c>
      <c r="Y223" s="162">
        <f t="shared" si="45"/>
        <v>0</v>
      </c>
      <c r="Z223" s="67"/>
      <c r="AA223" s="65"/>
      <c r="AB223" s="65"/>
      <c r="AC223" s="65"/>
      <c r="AD223" s="123">
        <f t="shared" si="46"/>
        <v>0</v>
      </c>
      <c r="AE223" s="58" t="str">
        <f>'Sch2a-Imp Price by ECM'!K224</f>
        <v/>
      </c>
      <c r="AF223" s="291" t="str">
        <f t="shared" si="47"/>
        <v/>
      </c>
      <c r="AG223" s="1" t="str">
        <f>IF('Sch2a-Imp Price by ECM'!L224="","",'Sch2a-Imp Price by ECM'!L224)</f>
        <v/>
      </c>
    </row>
    <row r="224" spans="1:33" ht="17" thickBot="1">
      <c r="A224" s="290" t="str">
        <f>IF('Sch2a-Imp Price by ECM'!B225="","",'Sch2a-Imp Price by ECM'!B225)</f>
        <v/>
      </c>
      <c r="B224" s="71" t="str">
        <f>IF('Sch2a-Imp Price by ECM'!C225="","",'Sch2a-Imp Price by ECM'!C225)</f>
        <v/>
      </c>
      <c r="C224" s="120"/>
      <c r="D224" s="66"/>
      <c r="E224" s="66"/>
      <c r="F224" s="66"/>
      <c r="G224" s="66"/>
      <c r="H224" s="122"/>
      <c r="I224" s="66"/>
      <c r="J224" s="121"/>
      <c r="K224" s="121"/>
      <c r="L224" s="121"/>
      <c r="M224" s="122"/>
      <c r="N224" s="66"/>
      <c r="O224" s="121"/>
      <c r="P224" s="67"/>
      <c r="Q224" s="121"/>
      <c r="R224" s="67"/>
      <c r="S224" s="65"/>
      <c r="T224" s="67"/>
      <c r="U224" s="65"/>
      <c r="V224" s="64"/>
      <c r="W224" s="65"/>
      <c r="X224" s="161">
        <f t="shared" si="44"/>
        <v>0</v>
      </c>
      <c r="Y224" s="162">
        <f t="shared" si="45"/>
        <v>0</v>
      </c>
      <c r="Z224" s="67"/>
      <c r="AA224" s="65"/>
      <c r="AB224" s="65"/>
      <c r="AC224" s="65"/>
      <c r="AD224" s="123">
        <f t="shared" si="46"/>
        <v>0</v>
      </c>
      <c r="AE224" s="58" t="str">
        <f>'Sch2a-Imp Price by ECM'!K225</f>
        <v/>
      </c>
      <c r="AF224" s="291" t="str">
        <f t="shared" si="47"/>
        <v/>
      </c>
      <c r="AG224" s="1" t="str">
        <f>IF('Sch2a-Imp Price by ECM'!L225="","",'Sch2a-Imp Price by ECM'!L225)</f>
        <v/>
      </c>
    </row>
    <row r="225" spans="1:33" ht="17" thickBot="1">
      <c r="A225" s="290" t="str">
        <f>IF('Sch2a-Imp Price by ECM'!B226="","",'Sch2a-Imp Price by ECM'!B226)</f>
        <v/>
      </c>
      <c r="B225" s="71" t="str">
        <f>IF('Sch2a-Imp Price by ECM'!C226="","",'Sch2a-Imp Price by ECM'!C226)</f>
        <v/>
      </c>
      <c r="C225" s="120"/>
      <c r="D225" s="66"/>
      <c r="E225" s="66"/>
      <c r="F225" s="66"/>
      <c r="G225" s="66"/>
      <c r="H225" s="122"/>
      <c r="I225" s="66"/>
      <c r="J225" s="121"/>
      <c r="K225" s="121"/>
      <c r="L225" s="121"/>
      <c r="M225" s="122"/>
      <c r="N225" s="66"/>
      <c r="O225" s="121"/>
      <c r="P225" s="67"/>
      <c r="Q225" s="121"/>
      <c r="R225" s="67"/>
      <c r="S225" s="65"/>
      <c r="T225" s="67"/>
      <c r="U225" s="65"/>
      <c r="V225" s="64"/>
      <c r="W225" s="65"/>
      <c r="X225" s="161">
        <f t="shared" si="44"/>
        <v>0</v>
      </c>
      <c r="Y225" s="162">
        <f t="shared" si="45"/>
        <v>0</v>
      </c>
      <c r="Z225" s="67"/>
      <c r="AA225" s="65"/>
      <c r="AB225" s="65"/>
      <c r="AC225" s="65"/>
      <c r="AD225" s="123">
        <f t="shared" si="46"/>
        <v>0</v>
      </c>
      <c r="AE225" s="58" t="str">
        <f>'Sch2a-Imp Price by ECM'!K226</f>
        <v/>
      </c>
      <c r="AF225" s="291" t="str">
        <f t="shared" si="47"/>
        <v/>
      </c>
      <c r="AG225" s="1" t="str">
        <f>IF('Sch2a-Imp Price by ECM'!L226="","",'Sch2a-Imp Price by ECM'!L226)</f>
        <v/>
      </c>
    </row>
    <row r="226" spans="1:33" ht="17" thickBot="1">
      <c r="A226" s="290" t="str">
        <f>IF('Sch2a-Imp Price by ECM'!B227="","",'Sch2a-Imp Price by ECM'!B227)</f>
        <v/>
      </c>
      <c r="B226" s="71" t="str">
        <f>IF('Sch2a-Imp Price by ECM'!C227="","",'Sch2a-Imp Price by ECM'!C227)</f>
        <v/>
      </c>
      <c r="C226" s="120"/>
      <c r="D226" s="66"/>
      <c r="E226" s="66"/>
      <c r="F226" s="66"/>
      <c r="G226" s="66"/>
      <c r="H226" s="122"/>
      <c r="I226" s="66"/>
      <c r="J226" s="121"/>
      <c r="K226" s="121"/>
      <c r="L226" s="121"/>
      <c r="M226" s="116"/>
      <c r="N226" s="66"/>
      <c r="O226" s="121"/>
      <c r="P226" s="67"/>
      <c r="Q226" s="121"/>
      <c r="R226" s="67"/>
      <c r="S226" s="65"/>
      <c r="T226" s="67"/>
      <c r="U226" s="65"/>
      <c r="V226" s="64"/>
      <c r="W226" s="65"/>
      <c r="X226" s="161">
        <f t="shared" si="44"/>
        <v>0</v>
      </c>
      <c r="Y226" s="162">
        <f t="shared" si="45"/>
        <v>0</v>
      </c>
      <c r="Z226" s="67"/>
      <c r="AA226" s="65"/>
      <c r="AB226" s="65"/>
      <c r="AC226" s="65"/>
      <c r="AD226" s="123">
        <f t="shared" si="46"/>
        <v>0</v>
      </c>
      <c r="AE226" s="58" t="str">
        <f>'Sch2a-Imp Price by ECM'!K227</f>
        <v/>
      </c>
      <c r="AF226" s="291" t="str">
        <f t="shared" si="47"/>
        <v/>
      </c>
      <c r="AG226" s="1" t="str">
        <f>IF('Sch2a-Imp Price by ECM'!L227="","",'Sch2a-Imp Price by ECM'!L227)</f>
        <v/>
      </c>
    </row>
    <row r="227" spans="1:33" ht="17" thickBot="1">
      <c r="A227" s="290" t="str">
        <f>IF('Sch2a-Imp Price by ECM'!B228="","",'Sch2a-Imp Price by ECM'!B228)</f>
        <v/>
      </c>
      <c r="B227" s="71" t="str">
        <f>IF('Sch2a-Imp Price by ECM'!C228="","",'Sch2a-Imp Price by ECM'!C228)</f>
        <v/>
      </c>
      <c r="C227" s="120"/>
      <c r="D227" s="66"/>
      <c r="E227" s="66"/>
      <c r="F227" s="66"/>
      <c r="G227" s="66"/>
      <c r="H227" s="122"/>
      <c r="I227" s="66"/>
      <c r="J227" s="121"/>
      <c r="K227" s="121"/>
      <c r="L227" s="121"/>
      <c r="M227" s="116"/>
      <c r="N227" s="66"/>
      <c r="O227" s="121"/>
      <c r="P227" s="67"/>
      <c r="Q227" s="121"/>
      <c r="R227" s="67"/>
      <c r="S227" s="65"/>
      <c r="T227" s="67"/>
      <c r="U227" s="65"/>
      <c r="V227" s="64"/>
      <c r="W227" s="65"/>
      <c r="X227" s="161">
        <f t="shared" si="44"/>
        <v>0</v>
      </c>
      <c r="Y227" s="162">
        <f t="shared" si="45"/>
        <v>0</v>
      </c>
      <c r="Z227" s="67"/>
      <c r="AA227" s="65"/>
      <c r="AB227" s="65"/>
      <c r="AC227" s="65"/>
      <c r="AD227" s="123">
        <f t="shared" si="46"/>
        <v>0</v>
      </c>
      <c r="AE227" s="58" t="str">
        <f>'Sch2a-Imp Price by ECM'!K228</f>
        <v/>
      </c>
      <c r="AF227" s="291" t="str">
        <f t="shared" si="47"/>
        <v/>
      </c>
      <c r="AG227" s="1" t="str">
        <f>IF('Sch2a-Imp Price by ECM'!L228="","",'Sch2a-Imp Price by ECM'!L228)</f>
        <v/>
      </c>
    </row>
    <row r="228" spans="1:33" ht="17" thickBot="1">
      <c r="A228" s="290" t="str">
        <f>IF('Sch2a-Imp Price by ECM'!B229="","",'Sch2a-Imp Price by ECM'!B229)</f>
        <v/>
      </c>
      <c r="B228" s="71" t="str">
        <f>IF('Sch2a-Imp Price by ECM'!C229="","",'Sch2a-Imp Price by ECM'!C229)</f>
        <v/>
      </c>
      <c r="C228" s="120"/>
      <c r="D228" s="66"/>
      <c r="E228" s="66"/>
      <c r="F228" s="66"/>
      <c r="G228" s="66"/>
      <c r="H228" s="122"/>
      <c r="I228" s="66"/>
      <c r="J228" s="121"/>
      <c r="K228" s="121"/>
      <c r="L228" s="121"/>
      <c r="M228" s="116"/>
      <c r="N228" s="66"/>
      <c r="O228" s="121"/>
      <c r="P228" s="67"/>
      <c r="Q228" s="121"/>
      <c r="R228" s="67"/>
      <c r="S228" s="65"/>
      <c r="T228" s="67"/>
      <c r="U228" s="65"/>
      <c r="V228" s="64"/>
      <c r="W228" s="65"/>
      <c r="X228" s="161">
        <f t="shared" si="44"/>
        <v>0</v>
      </c>
      <c r="Y228" s="162">
        <f t="shared" si="45"/>
        <v>0</v>
      </c>
      <c r="Z228" s="67"/>
      <c r="AA228" s="65"/>
      <c r="AB228" s="65"/>
      <c r="AC228" s="65"/>
      <c r="AD228" s="123">
        <f t="shared" si="46"/>
        <v>0</v>
      </c>
      <c r="AE228" s="58" t="str">
        <f>'Sch2a-Imp Price by ECM'!K229</f>
        <v/>
      </c>
      <c r="AF228" s="291" t="str">
        <f t="shared" si="47"/>
        <v/>
      </c>
      <c r="AG228" s="1" t="str">
        <f>IF('Sch2a-Imp Price by ECM'!L229="","",'Sch2a-Imp Price by ECM'!L229)</f>
        <v/>
      </c>
    </row>
    <row r="229" spans="1:33" ht="17" thickBot="1">
      <c r="A229" s="290" t="str">
        <f>IF('Sch2a-Imp Price by ECM'!B230="","",'Sch2a-Imp Price by ECM'!B230)</f>
        <v/>
      </c>
      <c r="B229" s="71" t="str">
        <f>IF('Sch2a-Imp Price by ECM'!C230="","",'Sch2a-Imp Price by ECM'!C230)</f>
        <v/>
      </c>
      <c r="C229" s="120"/>
      <c r="D229" s="66"/>
      <c r="E229" s="66"/>
      <c r="F229" s="66"/>
      <c r="G229" s="66"/>
      <c r="H229" s="122"/>
      <c r="I229" s="66"/>
      <c r="J229" s="121"/>
      <c r="K229" s="121"/>
      <c r="L229" s="121"/>
      <c r="M229" s="116"/>
      <c r="N229" s="66"/>
      <c r="O229" s="121"/>
      <c r="P229" s="67"/>
      <c r="Q229" s="121"/>
      <c r="R229" s="67"/>
      <c r="S229" s="65"/>
      <c r="T229" s="67"/>
      <c r="U229" s="65"/>
      <c r="V229" s="64"/>
      <c r="W229" s="65"/>
      <c r="X229" s="161">
        <f t="shared" si="44"/>
        <v>0</v>
      </c>
      <c r="Y229" s="162">
        <f t="shared" si="45"/>
        <v>0</v>
      </c>
      <c r="Z229" s="67"/>
      <c r="AA229" s="65"/>
      <c r="AB229" s="65"/>
      <c r="AC229" s="65"/>
      <c r="AD229" s="123">
        <f t="shared" si="46"/>
        <v>0</v>
      </c>
      <c r="AE229" s="58" t="str">
        <f>'Sch2a-Imp Price by ECM'!K230</f>
        <v/>
      </c>
      <c r="AF229" s="291" t="str">
        <f t="shared" si="47"/>
        <v/>
      </c>
      <c r="AG229" s="1" t="str">
        <f>IF('Sch2a-Imp Price by ECM'!L230="","",'Sch2a-Imp Price by ECM'!L230)</f>
        <v/>
      </c>
    </row>
    <row r="230" spans="1:33" ht="17" thickBot="1">
      <c r="A230" s="290" t="str">
        <f>IF('Sch2a-Imp Price by ECM'!B231="","",'Sch2a-Imp Price by ECM'!B231)</f>
        <v/>
      </c>
      <c r="B230" s="71" t="str">
        <f>IF('Sch2a-Imp Price by ECM'!C231="","",'Sch2a-Imp Price by ECM'!C231)</f>
        <v/>
      </c>
      <c r="C230" s="120"/>
      <c r="D230" s="66"/>
      <c r="E230" s="66"/>
      <c r="F230" s="66"/>
      <c r="G230" s="66"/>
      <c r="H230" s="122"/>
      <c r="I230" s="66"/>
      <c r="J230" s="121"/>
      <c r="K230" s="121"/>
      <c r="L230" s="121"/>
      <c r="M230" s="116"/>
      <c r="N230" s="66"/>
      <c r="O230" s="121"/>
      <c r="P230" s="67"/>
      <c r="Q230" s="121"/>
      <c r="R230" s="67"/>
      <c r="S230" s="65"/>
      <c r="T230" s="67"/>
      <c r="U230" s="65"/>
      <c r="V230" s="64"/>
      <c r="W230" s="65"/>
      <c r="X230" s="161">
        <f t="shared" si="44"/>
        <v>0</v>
      </c>
      <c r="Y230" s="162">
        <f t="shared" si="45"/>
        <v>0</v>
      </c>
      <c r="Z230" s="67"/>
      <c r="AA230" s="65"/>
      <c r="AB230" s="65"/>
      <c r="AC230" s="65"/>
      <c r="AD230" s="123">
        <f t="shared" si="46"/>
        <v>0</v>
      </c>
      <c r="AE230" s="58" t="str">
        <f>'Sch2a-Imp Price by ECM'!K231</f>
        <v/>
      </c>
      <c r="AF230" s="291" t="str">
        <f t="shared" si="47"/>
        <v/>
      </c>
      <c r="AG230" s="1" t="str">
        <f>IF('Sch2a-Imp Price by ECM'!L231="","",'Sch2a-Imp Price by ECM'!L231)</f>
        <v/>
      </c>
    </row>
    <row r="231" spans="1:33" ht="17" thickBot="1">
      <c r="A231" s="290" t="str">
        <f>IF('Sch2a-Imp Price by ECM'!B232="","",'Sch2a-Imp Price by ECM'!B232)</f>
        <v/>
      </c>
      <c r="B231" s="71" t="str">
        <f>IF('Sch2a-Imp Price by ECM'!C232="","",'Sch2a-Imp Price by ECM'!C232)</f>
        <v/>
      </c>
      <c r="C231" s="120"/>
      <c r="D231" s="66"/>
      <c r="E231" s="66"/>
      <c r="F231" s="66"/>
      <c r="G231" s="66"/>
      <c r="H231" s="122"/>
      <c r="I231" s="66"/>
      <c r="J231" s="121"/>
      <c r="K231" s="121"/>
      <c r="L231" s="121"/>
      <c r="M231" s="116"/>
      <c r="N231" s="66"/>
      <c r="O231" s="121"/>
      <c r="P231" s="67"/>
      <c r="Q231" s="121"/>
      <c r="R231" s="67"/>
      <c r="S231" s="65"/>
      <c r="T231" s="67"/>
      <c r="U231" s="65"/>
      <c r="V231" s="64"/>
      <c r="W231" s="65"/>
      <c r="X231" s="161">
        <f t="shared" si="44"/>
        <v>0</v>
      </c>
      <c r="Y231" s="162">
        <f t="shared" si="45"/>
        <v>0</v>
      </c>
      <c r="Z231" s="67"/>
      <c r="AA231" s="65"/>
      <c r="AB231" s="65"/>
      <c r="AC231" s="65"/>
      <c r="AD231" s="123">
        <f t="shared" si="46"/>
        <v>0</v>
      </c>
      <c r="AE231" s="58" t="str">
        <f>'Sch2a-Imp Price by ECM'!K232</f>
        <v/>
      </c>
      <c r="AF231" s="291" t="str">
        <f t="shared" si="47"/>
        <v/>
      </c>
      <c r="AG231" s="1" t="str">
        <f>IF('Sch2a-Imp Price by ECM'!L232="","",'Sch2a-Imp Price by ECM'!L232)</f>
        <v/>
      </c>
    </row>
    <row r="232" spans="1:33" ht="17" thickBot="1">
      <c r="A232" s="290" t="str">
        <f>IF('Sch2a-Imp Price by ECM'!B233="","",'Sch2a-Imp Price by ECM'!B233)</f>
        <v/>
      </c>
      <c r="B232" s="71" t="str">
        <f>IF('Sch2a-Imp Price by ECM'!C233="","",'Sch2a-Imp Price by ECM'!C233)</f>
        <v/>
      </c>
      <c r="C232" s="120"/>
      <c r="D232" s="66"/>
      <c r="E232" s="66"/>
      <c r="F232" s="66"/>
      <c r="G232" s="66"/>
      <c r="H232" s="122"/>
      <c r="I232" s="66"/>
      <c r="J232" s="121"/>
      <c r="K232" s="121"/>
      <c r="L232" s="121"/>
      <c r="M232" s="116"/>
      <c r="N232" s="66"/>
      <c r="O232" s="121"/>
      <c r="P232" s="67"/>
      <c r="Q232" s="121"/>
      <c r="R232" s="67"/>
      <c r="S232" s="65"/>
      <c r="T232" s="67"/>
      <c r="U232" s="65"/>
      <c r="V232" s="64"/>
      <c r="W232" s="65"/>
      <c r="X232" s="161">
        <f t="shared" si="44"/>
        <v>0</v>
      </c>
      <c r="Y232" s="162">
        <f t="shared" si="45"/>
        <v>0</v>
      </c>
      <c r="Z232" s="67"/>
      <c r="AA232" s="65"/>
      <c r="AB232" s="65"/>
      <c r="AC232" s="65"/>
      <c r="AD232" s="123">
        <f t="shared" si="46"/>
        <v>0</v>
      </c>
      <c r="AE232" s="58" t="str">
        <f>'Sch2a-Imp Price by ECM'!K233</f>
        <v/>
      </c>
      <c r="AF232" s="291" t="str">
        <f t="shared" si="47"/>
        <v/>
      </c>
      <c r="AG232" s="1" t="str">
        <f>IF('Sch2a-Imp Price by ECM'!L233="","",'Sch2a-Imp Price by ECM'!L233)</f>
        <v/>
      </c>
    </row>
    <row r="233" spans="1:33" ht="17" thickBot="1">
      <c r="A233" s="290" t="str">
        <f>IF('Sch2a-Imp Price by ECM'!B234="","",'Sch2a-Imp Price by ECM'!B234)</f>
        <v/>
      </c>
      <c r="B233" s="71" t="str">
        <f>IF('Sch2a-Imp Price by ECM'!C234="","",'Sch2a-Imp Price by ECM'!C234)</f>
        <v/>
      </c>
      <c r="C233" s="120"/>
      <c r="D233" s="66"/>
      <c r="E233" s="66"/>
      <c r="F233" s="66"/>
      <c r="G233" s="66"/>
      <c r="H233" s="122"/>
      <c r="I233" s="66"/>
      <c r="J233" s="121"/>
      <c r="K233" s="121"/>
      <c r="L233" s="121"/>
      <c r="M233" s="116"/>
      <c r="N233" s="66"/>
      <c r="O233" s="121"/>
      <c r="P233" s="67"/>
      <c r="Q233" s="121"/>
      <c r="R233" s="67"/>
      <c r="S233" s="65"/>
      <c r="T233" s="67"/>
      <c r="U233" s="65"/>
      <c r="V233" s="64"/>
      <c r="W233" s="65"/>
      <c r="X233" s="161">
        <f t="shared" si="44"/>
        <v>0</v>
      </c>
      <c r="Y233" s="162">
        <f t="shared" si="45"/>
        <v>0</v>
      </c>
      <c r="Z233" s="67"/>
      <c r="AA233" s="65"/>
      <c r="AB233" s="65"/>
      <c r="AC233" s="65"/>
      <c r="AD233" s="123">
        <f t="shared" si="46"/>
        <v>0</v>
      </c>
      <c r="AE233" s="58" t="str">
        <f>'Sch2a-Imp Price by ECM'!K234</f>
        <v/>
      </c>
      <c r="AF233" s="291" t="str">
        <f t="shared" si="47"/>
        <v/>
      </c>
      <c r="AG233" s="1" t="str">
        <f>IF('Sch2a-Imp Price by ECM'!L234="","",'Sch2a-Imp Price by ECM'!L234)</f>
        <v/>
      </c>
    </row>
    <row r="234" spans="1:33" ht="17" thickBot="1">
      <c r="A234" s="290" t="str">
        <f>IF('Sch2a-Imp Price by ECM'!B235="","",'Sch2a-Imp Price by ECM'!B235)</f>
        <v/>
      </c>
      <c r="B234" s="71" t="str">
        <f>IF('Sch2a-Imp Price by ECM'!C235="","",'Sch2a-Imp Price by ECM'!C235)</f>
        <v/>
      </c>
      <c r="C234" s="120"/>
      <c r="D234" s="66"/>
      <c r="E234" s="66"/>
      <c r="F234" s="66"/>
      <c r="G234" s="66"/>
      <c r="H234" s="122"/>
      <c r="I234" s="66"/>
      <c r="J234" s="121"/>
      <c r="K234" s="121"/>
      <c r="L234" s="121"/>
      <c r="M234" s="116"/>
      <c r="N234" s="66"/>
      <c r="O234" s="121"/>
      <c r="P234" s="67"/>
      <c r="Q234" s="121"/>
      <c r="R234" s="67"/>
      <c r="S234" s="65"/>
      <c r="T234" s="67"/>
      <c r="U234" s="65"/>
      <c r="V234" s="64"/>
      <c r="W234" s="65"/>
      <c r="X234" s="161">
        <f t="shared" si="44"/>
        <v>0</v>
      </c>
      <c r="Y234" s="162">
        <f t="shared" si="45"/>
        <v>0</v>
      </c>
      <c r="Z234" s="67"/>
      <c r="AA234" s="65"/>
      <c r="AB234" s="65"/>
      <c r="AC234" s="65"/>
      <c r="AD234" s="123">
        <f t="shared" si="46"/>
        <v>0</v>
      </c>
      <c r="AE234" s="58" t="str">
        <f>'Sch2a-Imp Price by ECM'!K235</f>
        <v/>
      </c>
      <c r="AF234" s="291" t="str">
        <f t="shared" si="47"/>
        <v/>
      </c>
      <c r="AG234" s="1" t="str">
        <f>IF('Sch2a-Imp Price by ECM'!L235="","",'Sch2a-Imp Price by ECM'!L235)</f>
        <v/>
      </c>
    </row>
    <row r="235" spans="1:33" ht="17" thickBot="1">
      <c r="A235" s="290" t="str">
        <f>IF('Sch2a-Imp Price by ECM'!B236="","",'Sch2a-Imp Price by ECM'!B236)</f>
        <v/>
      </c>
      <c r="B235" s="71" t="str">
        <f>IF('Sch2a-Imp Price by ECM'!C236="","",'Sch2a-Imp Price by ECM'!C236)</f>
        <v/>
      </c>
      <c r="C235" s="120"/>
      <c r="D235" s="66"/>
      <c r="E235" s="66"/>
      <c r="F235" s="66"/>
      <c r="G235" s="66"/>
      <c r="H235" s="122"/>
      <c r="I235" s="66"/>
      <c r="J235" s="121"/>
      <c r="K235" s="121"/>
      <c r="L235" s="121"/>
      <c r="M235" s="116"/>
      <c r="N235" s="66"/>
      <c r="O235" s="121"/>
      <c r="P235" s="67"/>
      <c r="Q235" s="121"/>
      <c r="R235" s="67"/>
      <c r="S235" s="65"/>
      <c r="T235" s="67"/>
      <c r="U235" s="65"/>
      <c r="V235" s="64"/>
      <c r="W235" s="65"/>
      <c r="X235" s="161">
        <f t="shared" si="44"/>
        <v>0</v>
      </c>
      <c r="Y235" s="162">
        <f t="shared" si="45"/>
        <v>0</v>
      </c>
      <c r="Z235" s="67"/>
      <c r="AA235" s="65"/>
      <c r="AB235" s="65"/>
      <c r="AC235" s="65"/>
      <c r="AD235" s="123">
        <f t="shared" si="46"/>
        <v>0</v>
      </c>
      <c r="AE235" s="58" t="str">
        <f>'Sch2a-Imp Price by ECM'!K236</f>
        <v/>
      </c>
      <c r="AF235" s="291" t="str">
        <f t="shared" si="47"/>
        <v/>
      </c>
      <c r="AG235" s="1" t="str">
        <f>IF('Sch2a-Imp Price by ECM'!L236="","",'Sch2a-Imp Price by ECM'!L236)</f>
        <v/>
      </c>
    </row>
    <row r="236" spans="1:33" ht="17" thickBot="1">
      <c r="A236" s="290" t="str">
        <f>IF('Sch2a-Imp Price by ECM'!B237="","",'Sch2a-Imp Price by ECM'!B237)</f>
        <v/>
      </c>
      <c r="B236" s="71" t="str">
        <f>IF('Sch2a-Imp Price by ECM'!C237="","",'Sch2a-Imp Price by ECM'!C237)</f>
        <v/>
      </c>
      <c r="C236" s="120"/>
      <c r="D236" s="66"/>
      <c r="E236" s="66"/>
      <c r="F236" s="66"/>
      <c r="G236" s="66"/>
      <c r="H236" s="122"/>
      <c r="I236" s="66"/>
      <c r="J236" s="121"/>
      <c r="K236" s="121"/>
      <c r="L236" s="121"/>
      <c r="M236" s="116"/>
      <c r="N236" s="66"/>
      <c r="O236" s="121"/>
      <c r="P236" s="67"/>
      <c r="Q236" s="121"/>
      <c r="R236" s="67"/>
      <c r="S236" s="65"/>
      <c r="T236" s="67"/>
      <c r="U236" s="65"/>
      <c r="V236" s="64"/>
      <c r="W236" s="65"/>
      <c r="X236" s="161">
        <f t="shared" si="44"/>
        <v>0</v>
      </c>
      <c r="Y236" s="162">
        <f t="shared" si="45"/>
        <v>0</v>
      </c>
      <c r="Z236" s="67"/>
      <c r="AA236" s="65"/>
      <c r="AB236" s="65"/>
      <c r="AC236" s="65"/>
      <c r="AD236" s="123">
        <f t="shared" si="46"/>
        <v>0</v>
      </c>
      <c r="AE236" s="58" t="str">
        <f>'Sch2a-Imp Price by ECM'!K237</f>
        <v/>
      </c>
      <c r="AF236" s="291" t="str">
        <f t="shared" si="47"/>
        <v/>
      </c>
      <c r="AG236" s="1" t="str">
        <f>IF('Sch2a-Imp Price by ECM'!L237="","",'Sch2a-Imp Price by ECM'!L237)</f>
        <v/>
      </c>
    </row>
    <row r="237" spans="1:33" ht="17" thickBot="1">
      <c r="A237" s="290" t="str">
        <f>IF('Sch2a-Imp Price by ECM'!B238="","",'Sch2a-Imp Price by ECM'!B238)</f>
        <v/>
      </c>
      <c r="B237" s="71" t="str">
        <f>IF('Sch2a-Imp Price by ECM'!C238="","",'Sch2a-Imp Price by ECM'!C238)</f>
        <v/>
      </c>
      <c r="C237" s="120"/>
      <c r="D237" s="66"/>
      <c r="E237" s="66"/>
      <c r="F237" s="66"/>
      <c r="G237" s="66"/>
      <c r="H237" s="122"/>
      <c r="I237" s="66"/>
      <c r="J237" s="121"/>
      <c r="K237" s="121"/>
      <c r="L237" s="121"/>
      <c r="M237" s="116"/>
      <c r="N237" s="66"/>
      <c r="O237" s="121"/>
      <c r="P237" s="67"/>
      <c r="Q237" s="121"/>
      <c r="R237" s="67"/>
      <c r="S237" s="65"/>
      <c r="T237" s="67"/>
      <c r="U237" s="65"/>
      <c r="V237" s="64"/>
      <c r="W237" s="65"/>
      <c r="X237" s="161">
        <f t="shared" si="44"/>
        <v>0</v>
      </c>
      <c r="Y237" s="162">
        <f t="shared" si="45"/>
        <v>0</v>
      </c>
      <c r="Z237" s="67"/>
      <c r="AA237" s="65"/>
      <c r="AB237" s="65"/>
      <c r="AC237" s="65"/>
      <c r="AD237" s="123">
        <f t="shared" si="46"/>
        <v>0</v>
      </c>
      <c r="AE237" s="58" t="str">
        <f>'Sch2a-Imp Price by ECM'!K238</f>
        <v/>
      </c>
      <c r="AF237" s="291" t="str">
        <f t="shared" si="47"/>
        <v/>
      </c>
      <c r="AG237" s="1" t="str">
        <f>IF('Sch2a-Imp Price by ECM'!L238="","",'Sch2a-Imp Price by ECM'!L238)</f>
        <v/>
      </c>
    </row>
    <row r="238" spans="1:33" ht="17" thickBot="1">
      <c r="A238" s="290" t="str">
        <f>IF('Sch2a-Imp Price by ECM'!B239="","",'Sch2a-Imp Price by ECM'!B239)</f>
        <v/>
      </c>
      <c r="B238" s="71" t="str">
        <f>IF('Sch2a-Imp Price by ECM'!C239="","",'Sch2a-Imp Price by ECM'!C239)</f>
        <v/>
      </c>
      <c r="C238" s="120"/>
      <c r="D238" s="66"/>
      <c r="E238" s="66"/>
      <c r="F238" s="66"/>
      <c r="G238" s="66"/>
      <c r="H238" s="122"/>
      <c r="I238" s="66"/>
      <c r="J238" s="121"/>
      <c r="K238" s="121"/>
      <c r="L238" s="121"/>
      <c r="M238" s="116"/>
      <c r="N238" s="66"/>
      <c r="O238" s="121"/>
      <c r="P238" s="67"/>
      <c r="Q238" s="121"/>
      <c r="R238" s="67"/>
      <c r="S238" s="65"/>
      <c r="T238" s="67"/>
      <c r="U238" s="65"/>
      <c r="V238" s="64"/>
      <c r="W238" s="65"/>
      <c r="X238" s="161">
        <f t="shared" si="44"/>
        <v>0</v>
      </c>
      <c r="Y238" s="162">
        <f t="shared" si="45"/>
        <v>0</v>
      </c>
      <c r="Z238" s="67"/>
      <c r="AA238" s="65"/>
      <c r="AB238" s="65"/>
      <c r="AC238" s="65"/>
      <c r="AD238" s="123">
        <f t="shared" si="46"/>
        <v>0</v>
      </c>
      <c r="AE238" s="58" t="str">
        <f>'Sch2a-Imp Price by ECM'!K239</f>
        <v/>
      </c>
      <c r="AF238" s="291" t="str">
        <f t="shared" si="47"/>
        <v/>
      </c>
      <c r="AG238" s="1" t="str">
        <f>IF('Sch2a-Imp Price by ECM'!L239="","",'Sch2a-Imp Price by ECM'!L239)</f>
        <v/>
      </c>
    </row>
    <row r="239" spans="1:33" ht="17" thickBot="1">
      <c r="A239" s="290" t="str">
        <f>IF('Sch2a-Imp Price by ECM'!B240="","",'Sch2a-Imp Price by ECM'!B240)</f>
        <v/>
      </c>
      <c r="B239" s="71" t="str">
        <f>IF('Sch2a-Imp Price by ECM'!C240="","",'Sch2a-Imp Price by ECM'!C240)</f>
        <v/>
      </c>
      <c r="C239" s="120"/>
      <c r="D239" s="66"/>
      <c r="E239" s="66"/>
      <c r="F239" s="66"/>
      <c r="G239" s="66"/>
      <c r="H239" s="122"/>
      <c r="I239" s="66"/>
      <c r="J239" s="121"/>
      <c r="K239" s="121"/>
      <c r="L239" s="121"/>
      <c r="M239" s="116"/>
      <c r="N239" s="66"/>
      <c r="O239" s="121"/>
      <c r="P239" s="67"/>
      <c r="Q239" s="121"/>
      <c r="R239" s="67"/>
      <c r="S239" s="65"/>
      <c r="T239" s="67"/>
      <c r="U239" s="65"/>
      <c r="V239" s="64"/>
      <c r="W239" s="65"/>
      <c r="X239" s="161">
        <f t="shared" si="44"/>
        <v>0</v>
      </c>
      <c r="Y239" s="162">
        <f t="shared" si="45"/>
        <v>0</v>
      </c>
      <c r="Z239" s="67"/>
      <c r="AA239" s="65"/>
      <c r="AB239" s="65"/>
      <c r="AC239" s="65"/>
      <c r="AD239" s="123">
        <f t="shared" si="46"/>
        <v>0</v>
      </c>
      <c r="AE239" s="58" t="str">
        <f>'Sch2a-Imp Price by ECM'!K240</f>
        <v/>
      </c>
      <c r="AF239" s="291" t="str">
        <f t="shared" si="47"/>
        <v/>
      </c>
      <c r="AG239" s="1" t="str">
        <f>IF('Sch2a-Imp Price by ECM'!L240="","",'Sch2a-Imp Price by ECM'!L240)</f>
        <v/>
      </c>
    </row>
    <row r="240" spans="1:33" ht="17" thickBot="1">
      <c r="A240" s="290" t="str">
        <f>IF('Sch2a-Imp Price by ECM'!B241="","",'Sch2a-Imp Price by ECM'!B241)</f>
        <v/>
      </c>
      <c r="B240" s="71" t="str">
        <f>IF('Sch2a-Imp Price by ECM'!C241="","",'Sch2a-Imp Price by ECM'!C241)</f>
        <v/>
      </c>
      <c r="C240" s="120"/>
      <c r="D240" s="66"/>
      <c r="E240" s="66"/>
      <c r="F240" s="66"/>
      <c r="G240" s="66"/>
      <c r="H240" s="122"/>
      <c r="I240" s="66"/>
      <c r="J240" s="121"/>
      <c r="K240" s="121"/>
      <c r="L240" s="121"/>
      <c r="M240" s="122"/>
      <c r="N240" s="66"/>
      <c r="O240" s="121"/>
      <c r="P240" s="67"/>
      <c r="Q240" s="121"/>
      <c r="R240" s="67"/>
      <c r="S240" s="65"/>
      <c r="T240" s="67"/>
      <c r="U240" s="65"/>
      <c r="V240" s="64"/>
      <c r="W240" s="65"/>
      <c r="X240" s="161">
        <f t="shared" ref="X240:X257" si="48">(N240*3412/10^6)+R240+T240+V240</f>
        <v>0</v>
      </c>
      <c r="Y240" s="162">
        <f t="shared" ref="Y240:Y257" si="49">O240+Q240+U240+W240+S240</f>
        <v>0</v>
      </c>
      <c r="Z240" s="67"/>
      <c r="AA240" s="65"/>
      <c r="AB240" s="65"/>
      <c r="AC240" s="65"/>
      <c r="AD240" s="123">
        <f t="shared" ref="AD240:AD257" si="50">Y240+AA240+AB240+AC240</f>
        <v>0</v>
      </c>
      <c r="AE240" s="58" t="str">
        <f>'Sch2a-Imp Price by ECM'!K241</f>
        <v/>
      </c>
      <c r="AF240" s="291" t="str">
        <f t="shared" ref="AF240:AF257" si="51">IF(AD240=0,"",AE240/AD240)</f>
        <v/>
      </c>
      <c r="AG240" s="1" t="str">
        <f>IF('Sch2a-Imp Price by ECM'!L241="","",'Sch2a-Imp Price by ECM'!L241)</f>
        <v/>
      </c>
    </row>
    <row r="241" spans="1:33" ht="17" thickBot="1">
      <c r="A241" s="290" t="str">
        <f>IF('Sch2a-Imp Price by ECM'!B242="","",'Sch2a-Imp Price by ECM'!B242)</f>
        <v/>
      </c>
      <c r="B241" s="71" t="str">
        <f>IF('Sch2a-Imp Price by ECM'!C242="","",'Sch2a-Imp Price by ECM'!C242)</f>
        <v/>
      </c>
      <c r="C241" s="120"/>
      <c r="D241" s="66"/>
      <c r="E241" s="66"/>
      <c r="F241" s="66"/>
      <c r="G241" s="66"/>
      <c r="H241" s="122"/>
      <c r="I241" s="66"/>
      <c r="J241" s="121"/>
      <c r="K241" s="121"/>
      <c r="L241" s="121"/>
      <c r="M241" s="122"/>
      <c r="N241" s="66"/>
      <c r="O241" s="121"/>
      <c r="P241" s="67"/>
      <c r="Q241" s="121"/>
      <c r="R241" s="67"/>
      <c r="S241" s="65"/>
      <c r="T241" s="67"/>
      <c r="U241" s="65"/>
      <c r="V241" s="64"/>
      <c r="W241" s="65"/>
      <c r="X241" s="161">
        <f t="shared" si="48"/>
        <v>0</v>
      </c>
      <c r="Y241" s="162">
        <f t="shared" si="49"/>
        <v>0</v>
      </c>
      <c r="Z241" s="67"/>
      <c r="AA241" s="65"/>
      <c r="AB241" s="65"/>
      <c r="AC241" s="65"/>
      <c r="AD241" s="123">
        <f t="shared" si="50"/>
        <v>0</v>
      </c>
      <c r="AE241" s="58" t="str">
        <f>'Sch2a-Imp Price by ECM'!K242</f>
        <v/>
      </c>
      <c r="AF241" s="291" t="str">
        <f t="shared" si="51"/>
        <v/>
      </c>
      <c r="AG241" s="1" t="str">
        <f>IF('Sch2a-Imp Price by ECM'!L242="","",'Sch2a-Imp Price by ECM'!L242)</f>
        <v/>
      </c>
    </row>
    <row r="242" spans="1:33" ht="17" thickBot="1">
      <c r="A242" s="290" t="str">
        <f>IF('Sch2a-Imp Price by ECM'!B243="","",'Sch2a-Imp Price by ECM'!B243)</f>
        <v/>
      </c>
      <c r="B242" s="71" t="str">
        <f>IF('Sch2a-Imp Price by ECM'!C243="","",'Sch2a-Imp Price by ECM'!C243)</f>
        <v/>
      </c>
      <c r="C242" s="120"/>
      <c r="D242" s="66"/>
      <c r="E242" s="66"/>
      <c r="F242" s="66"/>
      <c r="G242" s="66"/>
      <c r="H242" s="122"/>
      <c r="I242" s="66"/>
      <c r="J242" s="121"/>
      <c r="K242" s="121"/>
      <c r="L242" s="121"/>
      <c r="M242" s="122"/>
      <c r="N242" s="66"/>
      <c r="O242" s="121"/>
      <c r="P242" s="67"/>
      <c r="Q242" s="121"/>
      <c r="R242" s="67"/>
      <c r="S242" s="65"/>
      <c r="T242" s="67"/>
      <c r="U242" s="65"/>
      <c r="V242" s="64"/>
      <c r="W242" s="65"/>
      <c r="X242" s="161">
        <f t="shared" si="48"/>
        <v>0</v>
      </c>
      <c r="Y242" s="162">
        <f t="shared" si="49"/>
        <v>0</v>
      </c>
      <c r="Z242" s="67"/>
      <c r="AA242" s="65"/>
      <c r="AB242" s="65"/>
      <c r="AC242" s="65"/>
      <c r="AD242" s="123">
        <f t="shared" si="50"/>
        <v>0</v>
      </c>
      <c r="AE242" s="58" t="str">
        <f>'Sch2a-Imp Price by ECM'!K243</f>
        <v/>
      </c>
      <c r="AF242" s="291" t="str">
        <f t="shared" si="51"/>
        <v/>
      </c>
      <c r="AG242" s="1" t="str">
        <f>IF('Sch2a-Imp Price by ECM'!L243="","",'Sch2a-Imp Price by ECM'!L243)</f>
        <v/>
      </c>
    </row>
    <row r="243" spans="1:33" ht="17" thickBot="1">
      <c r="A243" s="290" t="str">
        <f>IF('Sch2a-Imp Price by ECM'!B244="","",'Sch2a-Imp Price by ECM'!B244)</f>
        <v/>
      </c>
      <c r="B243" s="71" t="str">
        <f>IF('Sch2a-Imp Price by ECM'!C244="","",'Sch2a-Imp Price by ECM'!C244)</f>
        <v/>
      </c>
      <c r="C243" s="120"/>
      <c r="D243" s="66"/>
      <c r="E243" s="66"/>
      <c r="F243" s="66"/>
      <c r="G243" s="66"/>
      <c r="H243" s="122"/>
      <c r="I243" s="66"/>
      <c r="J243" s="121"/>
      <c r="K243" s="121"/>
      <c r="L243" s="121"/>
      <c r="M243" s="122"/>
      <c r="N243" s="66"/>
      <c r="O243" s="121"/>
      <c r="P243" s="67"/>
      <c r="Q243" s="121"/>
      <c r="R243" s="67"/>
      <c r="S243" s="65"/>
      <c r="T243" s="67"/>
      <c r="U243" s="65"/>
      <c r="V243" s="64"/>
      <c r="W243" s="65"/>
      <c r="X243" s="161">
        <f t="shared" si="48"/>
        <v>0</v>
      </c>
      <c r="Y243" s="162">
        <f t="shared" si="49"/>
        <v>0</v>
      </c>
      <c r="Z243" s="67"/>
      <c r="AA243" s="65"/>
      <c r="AB243" s="65"/>
      <c r="AC243" s="65"/>
      <c r="AD243" s="123">
        <f t="shared" si="50"/>
        <v>0</v>
      </c>
      <c r="AE243" s="58" t="str">
        <f>'Sch2a-Imp Price by ECM'!K244</f>
        <v/>
      </c>
      <c r="AF243" s="291" t="str">
        <f t="shared" si="51"/>
        <v/>
      </c>
      <c r="AG243" s="1" t="str">
        <f>IF('Sch2a-Imp Price by ECM'!L244="","",'Sch2a-Imp Price by ECM'!L244)</f>
        <v/>
      </c>
    </row>
    <row r="244" spans="1:33" ht="18" customHeight="1" thickBot="1">
      <c r="A244" s="290" t="str">
        <f>IF('Sch2a-Imp Price by ECM'!B245="","",'Sch2a-Imp Price by ECM'!B245)</f>
        <v/>
      </c>
      <c r="B244" s="71" t="str">
        <f>IF('Sch2a-Imp Price by ECM'!C245="","",'Sch2a-Imp Price by ECM'!C245)</f>
        <v/>
      </c>
      <c r="C244" s="120"/>
      <c r="D244" s="66"/>
      <c r="E244" s="66"/>
      <c r="F244" s="66"/>
      <c r="G244" s="66"/>
      <c r="H244" s="122"/>
      <c r="I244" s="66"/>
      <c r="J244" s="121"/>
      <c r="K244" s="121"/>
      <c r="L244" s="121"/>
      <c r="M244" s="122"/>
      <c r="N244" s="66"/>
      <c r="O244" s="121"/>
      <c r="P244" s="67"/>
      <c r="Q244" s="121"/>
      <c r="R244" s="67"/>
      <c r="S244" s="65"/>
      <c r="T244" s="67"/>
      <c r="U244" s="65"/>
      <c r="V244" s="64"/>
      <c r="W244" s="65"/>
      <c r="X244" s="161">
        <f t="shared" si="48"/>
        <v>0</v>
      </c>
      <c r="Y244" s="162">
        <f t="shared" si="49"/>
        <v>0</v>
      </c>
      <c r="Z244" s="67"/>
      <c r="AA244" s="65"/>
      <c r="AB244" s="65"/>
      <c r="AC244" s="65"/>
      <c r="AD244" s="123">
        <f t="shared" si="50"/>
        <v>0</v>
      </c>
      <c r="AE244" s="58" t="str">
        <f>'Sch2a-Imp Price by ECM'!K245</f>
        <v/>
      </c>
      <c r="AF244" s="291" t="str">
        <f t="shared" si="51"/>
        <v/>
      </c>
      <c r="AG244" s="1" t="str">
        <f>IF('Sch2a-Imp Price by ECM'!L245="","",'Sch2a-Imp Price by ECM'!L245)</f>
        <v/>
      </c>
    </row>
    <row r="245" spans="1:33" ht="17" thickBot="1">
      <c r="A245" s="290" t="str">
        <f>IF('Sch2a-Imp Price by ECM'!B246="","",'Sch2a-Imp Price by ECM'!B246)</f>
        <v/>
      </c>
      <c r="B245" s="71" t="str">
        <f>IF('Sch2a-Imp Price by ECM'!C246="","",'Sch2a-Imp Price by ECM'!C246)</f>
        <v/>
      </c>
      <c r="C245" s="120"/>
      <c r="D245" s="66"/>
      <c r="E245" s="66"/>
      <c r="F245" s="66"/>
      <c r="G245" s="66"/>
      <c r="H245" s="122"/>
      <c r="I245" s="66"/>
      <c r="J245" s="121"/>
      <c r="K245" s="121"/>
      <c r="L245" s="121"/>
      <c r="M245" s="122"/>
      <c r="N245" s="66"/>
      <c r="O245" s="121"/>
      <c r="P245" s="67"/>
      <c r="Q245" s="121"/>
      <c r="R245" s="67"/>
      <c r="S245" s="65"/>
      <c r="T245" s="67"/>
      <c r="U245" s="65"/>
      <c r="V245" s="64"/>
      <c r="W245" s="65"/>
      <c r="X245" s="161">
        <f t="shared" si="48"/>
        <v>0</v>
      </c>
      <c r="Y245" s="162">
        <f t="shared" si="49"/>
        <v>0</v>
      </c>
      <c r="Z245" s="67"/>
      <c r="AA245" s="65"/>
      <c r="AB245" s="65"/>
      <c r="AC245" s="65"/>
      <c r="AD245" s="123">
        <f t="shared" si="50"/>
        <v>0</v>
      </c>
      <c r="AE245" s="58" t="str">
        <f>'Sch2a-Imp Price by ECM'!K246</f>
        <v/>
      </c>
      <c r="AF245" s="291" t="str">
        <f t="shared" si="51"/>
        <v/>
      </c>
      <c r="AG245" s="1" t="str">
        <f>IF('Sch2a-Imp Price by ECM'!L246="","",'Sch2a-Imp Price by ECM'!L246)</f>
        <v/>
      </c>
    </row>
    <row r="246" spans="1:33" ht="17" thickBot="1">
      <c r="A246" s="290" t="str">
        <f>IF('Sch2a-Imp Price by ECM'!B247="","",'Sch2a-Imp Price by ECM'!B247)</f>
        <v/>
      </c>
      <c r="B246" s="71" t="str">
        <f>IF('Sch2a-Imp Price by ECM'!C247="","",'Sch2a-Imp Price by ECM'!C247)</f>
        <v/>
      </c>
      <c r="C246" s="120"/>
      <c r="D246" s="66"/>
      <c r="E246" s="66"/>
      <c r="F246" s="66"/>
      <c r="G246" s="66"/>
      <c r="H246" s="122"/>
      <c r="I246" s="66"/>
      <c r="J246" s="121"/>
      <c r="K246" s="121"/>
      <c r="L246" s="121"/>
      <c r="M246" s="122"/>
      <c r="N246" s="66"/>
      <c r="O246" s="121"/>
      <c r="P246" s="67"/>
      <c r="Q246" s="121"/>
      <c r="R246" s="67"/>
      <c r="S246" s="65"/>
      <c r="T246" s="67"/>
      <c r="U246" s="65"/>
      <c r="V246" s="64"/>
      <c r="W246" s="65"/>
      <c r="X246" s="161">
        <f t="shared" si="48"/>
        <v>0</v>
      </c>
      <c r="Y246" s="162">
        <f t="shared" si="49"/>
        <v>0</v>
      </c>
      <c r="Z246" s="67"/>
      <c r="AA246" s="65"/>
      <c r="AB246" s="65"/>
      <c r="AC246" s="65"/>
      <c r="AD246" s="123">
        <f t="shared" si="50"/>
        <v>0</v>
      </c>
      <c r="AE246" s="58" t="str">
        <f>'Sch2a-Imp Price by ECM'!K247</f>
        <v/>
      </c>
      <c r="AF246" s="291" t="str">
        <f t="shared" si="51"/>
        <v/>
      </c>
      <c r="AG246" s="1" t="str">
        <f>IF('Sch2a-Imp Price by ECM'!L247="","",'Sch2a-Imp Price by ECM'!L247)</f>
        <v/>
      </c>
    </row>
    <row r="247" spans="1:33" ht="17" thickBot="1">
      <c r="A247" s="290" t="str">
        <f>IF('Sch2a-Imp Price by ECM'!B248="","",'Sch2a-Imp Price by ECM'!B248)</f>
        <v/>
      </c>
      <c r="B247" s="71" t="str">
        <f>IF('Sch2a-Imp Price by ECM'!C248="","",'Sch2a-Imp Price by ECM'!C248)</f>
        <v/>
      </c>
      <c r="C247" s="120"/>
      <c r="D247" s="66"/>
      <c r="E247" s="66"/>
      <c r="F247" s="66"/>
      <c r="G247" s="66"/>
      <c r="H247" s="122"/>
      <c r="I247" s="66"/>
      <c r="J247" s="121"/>
      <c r="K247" s="121"/>
      <c r="L247" s="121"/>
      <c r="M247" s="116"/>
      <c r="N247" s="66"/>
      <c r="O247" s="121"/>
      <c r="P247" s="67"/>
      <c r="Q247" s="121"/>
      <c r="R247" s="67"/>
      <c r="S247" s="65"/>
      <c r="T247" s="67"/>
      <c r="U247" s="65"/>
      <c r="V247" s="64"/>
      <c r="W247" s="65"/>
      <c r="X247" s="161">
        <f t="shared" si="48"/>
        <v>0</v>
      </c>
      <c r="Y247" s="162">
        <f t="shared" si="49"/>
        <v>0</v>
      </c>
      <c r="Z247" s="67"/>
      <c r="AA247" s="65"/>
      <c r="AB247" s="65"/>
      <c r="AC247" s="65"/>
      <c r="AD247" s="123">
        <f t="shared" si="50"/>
        <v>0</v>
      </c>
      <c r="AE247" s="58" t="str">
        <f>'Sch2a-Imp Price by ECM'!K248</f>
        <v/>
      </c>
      <c r="AF247" s="291" t="str">
        <f t="shared" si="51"/>
        <v/>
      </c>
      <c r="AG247" s="1" t="str">
        <f>IF('Sch2a-Imp Price by ECM'!L248="","",'Sch2a-Imp Price by ECM'!L248)</f>
        <v/>
      </c>
    </row>
    <row r="248" spans="1:33" ht="17" thickBot="1">
      <c r="A248" s="290" t="str">
        <f>IF('Sch2a-Imp Price by ECM'!B249="","",'Sch2a-Imp Price by ECM'!B249)</f>
        <v/>
      </c>
      <c r="B248" s="71" t="str">
        <f>IF('Sch2a-Imp Price by ECM'!C249="","",'Sch2a-Imp Price by ECM'!C249)</f>
        <v/>
      </c>
      <c r="C248" s="120"/>
      <c r="D248" s="66"/>
      <c r="E248" s="66"/>
      <c r="F248" s="66"/>
      <c r="G248" s="66"/>
      <c r="H248" s="122"/>
      <c r="I248" s="66"/>
      <c r="J248" s="121"/>
      <c r="K248" s="121"/>
      <c r="L248" s="121"/>
      <c r="M248" s="116"/>
      <c r="N248" s="66"/>
      <c r="O248" s="121"/>
      <c r="P248" s="67"/>
      <c r="Q248" s="121"/>
      <c r="R248" s="67"/>
      <c r="S248" s="65"/>
      <c r="T248" s="67"/>
      <c r="U248" s="65"/>
      <c r="V248" s="64"/>
      <c r="W248" s="65"/>
      <c r="X248" s="161">
        <f t="shared" si="48"/>
        <v>0</v>
      </c>
      <c r="Y248" s="162">
        <f t="shared" si="49"/>
        <v>0</v>
      </c>
      <c r="Z248" s="67"/>
      <c r="AA248" s="65"/>
      <c r="AB248" s="65"/>
      <c r="AC248" s="65"/>
      <c r="AD248" s="123">
        <f t="shared" si="50"/>
        <v>0</v>
      </c>
      <c r="AE248" s="58" t="str">
        <f>'Sch2a-Imp Price by ECM'!K249</f>
        <v/>
      </c>
      <c r="AF248" s="291" t="str">
        <f t="shared" si="51"/>
        <v/>
      </c>
      <c r="AG248" s="1" t="str">
        <f>IF('Sch2a-Imp Price by ECM'!L249="","",'Sch2a-Imp Price by ECM'!L249)</f>
        <v/>
      </c>
    </row>
    <row r="249" spans="1:33" ht="17" thickBot="1">
      <c r="A249" s="290" t="str">
        <f>IF('Sch2a-Imp Price by ECM'!B250="","",'Sch2a-Imp Price by ECM'!B250)</f>
        <v/>
      </c>
      <c r="B249" s="71" t="str">
        <f>IF('Sch2a-Imp Price by ECM'!C250="","",'Sch2a-Imp Price by ECM'!C250)</f>
        <v/>
      </c>
      <c r="C249" s="120"/>
      <c r="D249" s="66"/>
      <c r="E249" s="66"/>
      <c r="F249" s="66"/>
      <c r="G249" s="66"/>
      <c r="H249" s="122"/>
      <c r="I249" s="66"/>
      <c r="J249" s="121"/>
      <c r="K249" s="121"/>
      <c r="L249" s="121"/>
      <c r="M249" s="116"/>
      <c r="N249" s="66"/>
      <c r="O249" s="121"/>
      <c r="P249" s="67"/>
      <c r="Q249" s="121"/>
      <c r="R249" s="67"/>
      <c r="S249" s="65"/>
      <c r="T249" s="67"/>
      <c r="U249" s="65"/>
      <c r="V249" s="64"/>
      <c r="W249" s="65"/>
      <c r="X249" s="161">
        <f t="shared" si="48"/>
        <v>0</v>
      </c>
      <c r="Y249" s="162">
        <f t="shared" si="49"/>
        <v>0</v>
      </c>
      <c r="Z249" s="67"/>
      <c r="AA249" s="65"/>
      <c r="AB249" s="65"/>
      <c r="AC249" s="65"/>
      <c r="AD249" s="123">
        <f t="shared" si="50"/>
        <v>0</v>
      </c>
      <c r="AE249" s="58" t="str">
        <f>'Sch2a-Imp Price by ECM'!K250</f>
        <v/>
      </c>
      <c r="AF249" s="291" t="str">
        <f t="shared" si="51"/>
        <v/>
      </c>
      <c r="AG249" s="1" t="str">
        <f>IF('Sch2a-Imp Price by ECM'!L250="","",'Sch2a-Imp Price by ECM'!L250)</f>
        <v/>
      </c>
    </row>
    <row r="250" spans="1:33" ht="17" thickBot="1">
      <c r="A250" s="290" t="str">
        <f>IF('Sch2a-Imp Price by ECM'!B251="","",'Sch2a-Imp Price by ECM'!B251)</f>
        <v/>
      </c>
      <c r="B250" s="71" t="str">
        <f>IF('Sch2a-Imp Price by ECM'!C251="","",'Sch2a-Imp Price by ECM'!C251)</f>
        <v/>
      </c>
      <c r="C250" s="120"/>
      <c r="D250" s="66"/>
      <c r="E250" s="66"/>
      <c r="F250" s="66"/>
      <c r="G250" s="66"/>
      <c r="H250" s="122"/>
      <c r="I250" s="66"/>
      <c r="J250" s="121"/>
      <c r="K250" s="121"/>
      <c r="L250" s="121"/>
      <c r="M250" s="116"/>
      <c r="N250" s="66"/>
      <c r="O250" s="121"/>
      <c r="P250" s="67"/>
      <c r="Q250" s="121"/>
      <c r="R250" s="67"/>
      <c r="S250" s="65"/>
      <c r="T250" s="67"/>
      <c r="U250" s="65"/>
      <c r="V250" s="64"/>
      <c r="W250" s="65"/>
      <c r="X250" s="161">
        <f t="shared" si="48"/>
        <v>0</v>
      </c>
      <c r="Y250" s="162">
        <f t="shared" si="49"/>
        <v>0</v>
      </c>
      <c r="Z250" s="67"/>
      <c r="AA250" s="65"/>
      <c r="AB250" s="65"/>
      <c r="AC250" s="65"/>
      <c r="AD250" s="123">
        <f t="shared" si="50"/>
        <v>0</v>
      </c>
      <c r="AE250" s="58" t="str">
        <f>'Sch2a-Imp Price by ECM'!K251</f>
        <v/>
      </c>
      <c r="AF250" s="291" t="str">
        <f t="shared" si="51"/>
        <v/>
      </c>
      <c r="AG250" s="1" t="str">
        <f>IF('Sch2a-Imp Price by ECM'!L251="","",'Sch2a-Imp Price by ECM'!L251)</f>
        <v/>
      </c>
    </row>
    <row r="251" spans="1:33" ht="17" thickBot="1">
      <c r="A251" s="290" t="str">
        <f>IF('Sch2a-Imp Price by ECM'!B252="","",'Sch2a-Imp Price by ECM'!B252)</f>
        <v/>
      </c>
      <c r="B251" s="71" t="str">
        <f>IF('Sch2a-Imp Price by ECM'!C252="","",'Sch2a-Imp Price by ECM'!C252)</f>
        <v/>
      </c>
      <c r="C251" s="120"/>
      <c r="D251" s="66"/>
      <c r="E251" s="66"/>
      <c r="F251" s="66"/>
      <c r="G251" s="66"/>
      <c r="H251" s="122"/>
      <c r="I251" s="66"/>
      <c r="J251" s="121"/>
      <c r="K251" s="121"/>
      <c r="L251" s="121"/>
      <c r="M251" s="116"/>
      <c r="N251" s="66"/>
      <c r="O251" s="121"/>
      <c r="P251" s="67"/>
      <c r="Q251" s="121"/>
      <c r="R251" s="67"/>
      <c r="S251" s="65"/>
      <c r="T251" s="67"/>
      <c r="U251" s="65"/>
      <c r="V251" s="64"/>
      <c r="W251" s="65"/>
      <c r="X251" s="161">
        <f t="shared" si="48"/>
        <v>0</v>
      </c>
      <c r="Y251" s="162">
        <f t="shared" si="49"/>
        <v>0</v>
      </c>
      <c r="Z251" s="67"/>
      <c r="AA251" s="65"/>
      <c r="AB251" s="65"/>
      <c r="AC251" s="65"/>
      <c r="AD251" s="123">
        <f t="shared" si="50"/>
        <v>0</v>
      </c>
      <c r="AE251" s="58" t="str">
        <f>'Sch2a-Imp Price by ECM'!K252</f>
        <v/>
      </c>
      <c r="AF251" s="291" t="str">
        <f t="shared" si="51"/>
        <v/>
      </c>
      <c r="AG251" s="1" t="str">
        <f>IF('Sch2a-Imp Price by ECM'!L252="","",'Sch2a-Imp Price by ECM'!L252)</f>
        <v/>
      </c>
    </row>
    <row r="252" spans="1:33" ht="17" thickBot="1">
      <c r="A252" s="290" t="str">
        <f>IF('Sch2a-Imp Price by ECM'!B253="","",'Sch2a-Imp Price by ECM'!B253)</f>
        <v/>
      </c>
      <c r="B252" s="71" t="str">
        <f>IF('Sch2a-Imp Price by ECM'!C253="","",'Sch2a-Imp Price by ECM'!C253)</f>
        <v/>
      </c>
      <c r="C252" s="120"/>
      <c r="D252" s="66"/>
      <c r="E252" s="66"/>
      <c r="F252" s="66"/>
      <c r="G252" s="66"/>
      <c r="H252" s="122"/>
      <c r="I252" s="66"/>
      <c r="J252" s="121"/>
      <c r="K252" s="121"/>
      <c r="L252" s="121"/>
      <c r="M252" s="116"/>
      <c r="N252" s="66"/>
      <c r="O252" s="121"/>
      <c r="P252" s="67"/>
      <c r="Q252" s="121"/>
      <c r="R252" s="67"/>
      <c r="S252" s="65"/>
      <c r="T252" s="67"/>
      <c r="U252" s="65"/>
      <c r="V252" s="64"/>
      <c r="W252" s="65"/>
      <c r="X252" s="161">
        <f t="shared" si="48"/>
        <v>0</v>
      </c>
      <c r="Y252" s="162">
        <f t="shared" si="49"/>
        <v>0</v>
      </c>
      <c r="Z252" s="67"/>
      <c r="AA252" s="65"/>
      <c r="AB252" s="65"/>
      <c r="AC252" s="65"/>
      <c r="AD252" s="123">
        <f t="shared" si="50"/>
        <v>0</v>
      </c>
      <c r="AE252" s="58" t="str">
        <f>'Sch2a-Imp Price by ECM'!K253</f>
        <v/>
      </c>
      <c r="AF252" s="291" t="str">
        <f t="shared" si="51"/>
        <v/>
      </c>
      <c r="AG252" s="1" t="str">
        <f>IF('Sch2a-Imp Price by ECM'!L253="","",'Sch2a-Imp Price by ECM'!L253)</f>
        <v/>
      </c>
    </row>
    <row r="253" spans="1:33" ht="17" thickBot="1">
      <c r="A253" s="290" t="str">
        <f>IF('Sch2a-Imp Price by ECM'!B254="","",'Sch2a-Imp Price by ECM'!B254)</f>
        <v/>
      </c>
      <c r="B253" s="71" t="str">
        <f>IF('Sch2a-Imp Price by ECM'!C254="","",'Sch2a-Imp Price by ECM'!C254)</f>
        <v/>
      </c>
      <c r="C253" s="120"/>
      <c r="D253" s="66"/>
      <c r="E253" s="66"/>
      <c r="F253" s="66"/>
      <c r="G253" s="66"/>
      <c r="H253" s="122"/>
      <c r="I253" s="66"/>
      <c r="J253" s="121"/>
      <c r="K253" s="121"/>
      <c r="L253" s="121"/>
      <c r="M253" s="116"/>
      <c r="N253" s="66"/>
      <c r="O253" s="121"/>
      <c r="P253" s="67"/>
      <c r="Q253" s="121"/>
      <c r="R253" s="67"/>
      <c r="S253" s="65"/>
      <c r="T253" s="67"/>
      <c r="U253" s="65"/>
      <c r="V253" s="64"/>
      <c r="W253" s="65"/>
      <c r="X253" s="161">
        <f t="shared" si="48"/>
        <v>0</v>
      </c>
      <c r="Y253" s="162">
        <f t="shared" si="49"/>
        <v>0</v>
      </c>
      <c r="Z253" s="67"/>
      <c r="AA253" s="65"/>
      <c r="AB253" s="65"/>
      <c r="AC253" s="65"/>
      <c r="AD253" s="123">
        <f t="shared" si="50"/>
        <v>0</v>
      </c>
      <c r="AE253" s="58" t="str">
        <f>'Sch2a-Imp Price by ECM'!K254</f>
        <v/>
      </c>
      <c r="AF253" s="291" t="str">
        <f t="shared" si="51"/>
        <v/>
      </c>
      <c r="AG253" s="1" t="str">
        <f>IF('Sch2a-Imp Price by ECM'!L254="","",'Sch2a-Imp Price by ECM'!L254)</f>
        <v/>
      </c>
    </row>
    <row r="254" spans="1:33" ht="17" thickBot="1">
      <c r="A254" s="290" t="str">
        <f>IF('Sch2a-Imp Price by ECM'!B255="","",'Sch2a-Imp Price by ECM'!B255)</f>
        <v/>
      </c>
      <c r="B254" s="71" t="str">
        <f>IF('Sch2a-Imp Price by ECM'!C255="","",'Sch2a-Imp Price by ECM'!C255)</f>
        <v/>
      </c>
      <c r="C254" s="120"/>
      <c r="D254" s="66"/>
      <c r="E254" s="66"/>
      <c r="F254" s="66"/>
      <c r="G254" s="66"/>
      <c r="H254" s="122"/>
      <c r="I254" s="66"/>
      <c r="J254" s="121"/>
      <c r="K254" s="121"/>
      <c r="L254" s="121"/>
      <c r="M254" s="116"/>
      <c r="N254" s="66"/>
      <c r="O254" s="121"/>
      <c r="P254" s="67"/>
      <c r="Q254" s="121"/>
      <c r="R254" s="67"/>
      <c r="S254" s="65"/>
      <c r="T254" s="67"/>
      <c r="U254" s="65"/>
      <c r="V254" s="64"/>
      <c r="W254" s="65"/>
      <c r="X254" s="161">
        <f t="shared" si="48"/>
        <v>0</v>
      </c>
      <c r="Y254" s="162">
        <f t="shared" si="49"/>
        <v>0</v>
      </c>
      <c r="Z254" s="67"/>
      <c r="AA254" s="65"/>
      <c r="AB254" s="65"/>
      <c r="AC254" s="65"/>
      <c r="AD254" s="123">
        <f t="shared" si="50"/>
        <v>0</v>
      </c>
      <c r="AE254" s="58" t="str">
        <f>'Sch2a-Imp Price by ECM'!K255</f>
        <v/>
      </c>
      <c r="AF254" s="291" t="str">
        <f t="shared" si="51"/>
        <v/>
      </c>
      <c r="AG254" s="1" t="str">
        <f>IF('Sch2a-Imp Price by ECM'!L255="","",'Sch2a-Imp Price by ECM'!L255)</f>
        <v/>
      </c>
    </row>
    <row r="255" spans="1:33" ht="17" thickBot="1">
      <c r="A255" s="290" t="str">
        <f>IF('Sch2a-Imp Price by ECM'!B256="","",'Sch2a-Imp Price by ECM'!B256)</f>
        <v/>
      </c>
      <c r="B255" s="71" t="str">
        <f>IF('Sch2a-Imp Price by ECM'!C256="","",'Sch2a-Imp Price by ECM'!C256)</f>
        <v/>
      </c>
      <c r="C255" s="120"/>
      <c r="D255" s="66"/>
      <c r="E255" s="66"/>
      <c r="F255" s="66"/>
      <c r="G255" s="66"/>
      <c r="H255" s="122"/>
      <c r="I255" s="66"/>
      <c r="J255" s="121"/>
      <c r="K255" s="121"/>
      <c r="L255" s="121"/>
      <c r="M255" s="116"/>
      <c r="N255" s="66"/>
      <c r="O255" s="121"/>
      <c r="P255" s="67"/>
      <c r="Q255" s="121"/>
      <c r="R255" s="67"/>
      <c r="S255" s="65"/>
      <c r="T255" s="67"/>
      <c r="U255" s="65"/>
      <c r="V255" s="64"/>
      <c r="W255" s="65"/>
      <c r="X255" s="161">
        <f t="shared" si="48"/>
        <v>0</v>
      </c>
      <c r="Y255" s="162">
        <f t="shared" si="49"/>
        <v>0</v>
      </c>
      <c r="Z255" s="67"/>
      <c r="AA255" s="65"/>
      <c r="AB255" s="65"/>
      <c r="AC255" s="65"/>
      <c r="AD255" s="123">
        <f t="shared" si="50"/>
        <v>0</v>
      </c>
      <c r="AE255" s="58" t="str">
        <f>'Sch2a-Imp Price by ECM'!K256</f>
        <v/>
      </c>
      <c r="AF255" s="291" t="str">
        <f t="shared" si="51"/>
        <v/>
      </c>
      <c r="AG255" s="1" t="str">
        <f>IF('Sch2a-Imp Price by ECM'!L256="","",'Sch2a-Imp Price by ECM'!L256)</f>
        <v/>
      </c>
    </row>
    <row r="256" spans="1:33" ht="17" thickBot="1">
      <c r="A256" s="290" t="str">
        <f>IF('Sch2a-Imp Price by ECM'!B257="","",'Sch2a-Imp Price by ECM'!B257)</f>
        <v/>
      </c>
      <c r="B256" s="71" t="str">
        <f>IF('Sch2a-Imp Price by ECM'!C257="","",'Sch2a-Imp Price by ECM'!C257)</f>
        <v/>
      </c>
      <c r="C256" s="120"/>
      <c r="D256" s="66"/>
      <c r="E256" s="66"/>
      <c r="F256" s="66"/>
      <c r="G256" s="66"/>
      <c r="H256" s="122"/>
      <c r="I256" s="66"/>
      <c r="J256" s="121"/>
      <c r="K256" s="121"/>
      <c r="L256" s="121"/>
      <c r="M256" s="116"/>
      <c r="N256" s="66"/>
      <c r="O256" s="121"/>
      <c r="P256" s="67"/>
      <c r="Q256" s="121"/>
      <c r="R256" s="67"/>
      <c r="S256" s="65"/>
      <c r="T256" s="67"/>
      <c r="U256" s="65"/>
      <c r="V256" s="64"/>
      <c r="W256" s="65"/>
      <c r="X256" s="161">
        <f t="shared" si="48"/>
        <v>0</v>
      </c>
      <c r="Y256" s="162">
        <f t="shared" si="49"/>
        <v>0</v>
      </c>
      <c r="Z256" s="67"/>
      <c r="AA256" s="65"/>
      <c r="AB256" s="65"/>
      <c r="AC256" s="65"/>
      <c r="AD256" s="123">
        <f t="shared" si="50"/>
        <v>0</v>
      </c>
      <c r="AE256" s="58" t="str">
        <f>'Sch2a-Imp Price by ECM'!K257</f>
        <v/>
      </c>
      <c r="AF256" s="291" t="str">
        <f t="shared" si="51"/>
        <v/>
      </c>
      <c r="AG256" s="1" t="str">
        <f>IF('Sch2a-Imp Price by ECM'!L257="","",'Sch2a-Imp Price by ECM'!L257)</f>
        <v/>
      </c>
    </row>
    <row r="257" spans="1:33" ht="17" thickBot="1">
      <c r="A257" s="290" t="str">
        <f>IF('Sch2a-Imp Price by ECM'!B258="","",'Sch2a-Imp Price by ECM'!B258)</f>
        <v/>
      </c>
      <c r="B257" s="71" t="str">
        <f>IF('Sch2a-Imp Price by ECM'!C258="","",'Sch2a-Imp Price by ECM'!C258)</f>
        <v/>
      </c>
      <c r="C257" s="120"/>
      <c r="D257" s="66"/>
      <c r="E257" s="66"/>
      <c r="F257" s="66"/>
      <c r="G257" s="66"/>
      <c r="H257" s="122"/>
      <c r="I257" s="66"/>
      <c r="J257" s="121"/>
      <c r="K257" s="121"/>
      <c r="L257" s="121"/>
      <c r="M257" s="116"/>
      <c r="N257" s="66"/>
      <c r="O257" s="121"/>
      <c r="P257" s="67"/>
      <c r="Q257" s="121"/>
      <c r="R257" s="67"/>
      <c r="S257" s="65"/>
      <c r="T257" s="67"/>
      <c r="U257" s="65"/>
      <c r="V257" s="64"/>
      <c r="W257" s="65"/>
      <c r="X257" s="161">
        <f t="shared" si="48"/>
        <v>0</v>
      </c>
      <c r="Y257" s="162">
        <f t="shared" si="49"/>
        <v>0</v>
      </c>
      <c r="Z257" s="67"/>
      <c r="AA257" s="65"/>
      <c r="AB257" s="65"/>
      <c r="AC257" s="65"/>
      <c r="AD257" s="123">
        <f t="shared" si="50"/>
        <v>0</v>
      </c>
      <c r="AE257" s="58" t="str">
        <f>'Sch2a-Imp Price by ECM'!K258</f>
        <v/>
      </c>
      <c r="AF257" s="291" t="str">
        <f t="shared" si="51"/>
        <v/>
      </c>
      <c r="AG257" s="1" t="str">
        <f>IF('Sch2a-Imp Price by ECM'!L258="","",'Sch2a-Imp Price by ECM'!L258)</f>
        <v/>
      </c>
    </row>
    <row r="258" spans="1:33" ht="17" thickBot="1">
      <c r="A258" s="451" t="s">
        <v>62</v>
      </c>
      <c r="B258" s="451"/>
      <c r="C258" s="452"/>
      <c r="D258" s="167">
        <f t="shared" ref="D258:L258" si="52">SUM(D8:D257)</f>
        <v>0</v>
      </c>
      <c r="E258" s="167">
        <f t="shared" si="52"/>
        <v>0</v>
      </c>
      <c r="F258" s="167">
        <f t="shared" si="52"/>
        <v>0</v>
      </c>
      <c r="G258" s="167">
        <f t="shared" si="52"/>
        <v>0</v>
      </c>
      <c r="H258" s="167">
        <f t="shared" si="52"/>
        <v>0</v>
      </c>
      <c r="I258" s="167">
        <f t="shared" si="52"/>
        <v>0</v>
      </c>
      <c r="J258" s="168">
        <f t="shared" si="52"/>
        <v>0</v>
      </c>
      <c r="K258" s="168">
        <f t="shared" si="52"/>
        <v>0</v>
      </c>
      <c r="L258" s="168">
        <f t="shared" si="52"/>
        <v>0</v>
      </c>
      <c r="M258" s="9"/>
      <c r="N258" s="167">
        <f t="shared" ref="N258:Z258" si="53">SUM(N8:N257)</f>
        <v>0</v>
      </c>
      <c r="O258" s="168">
        <f t="shared" si="53"/>
        <v>0</v>
      </c>
      <c r="P258" s="167">
        <f t="shared" si="53"/>
        <v>0</v>
      </c>
      <c r="Q258" s="168">
        <f t="shared" si="53"/>
        <v>0</v>
      </c>
      <c r="R258" s="167">
        <f t="shared" si="53"/>
        <v>0</v>
      </c>
      <c r="S258" s="168">
        <f t="shared" si="53"/>
        <v>0</v>
      </c>
      <c r="T258" s="167">
        <f t="shared" si="53"/>
        <v>0</v>
      </c>
      <c r="U258" s="168">
        <f t="shared" si="53"/>
        <v>0</v>
      </c>
      <c r="V258" s="167">
        <f t="shared" si="53"/>
        <v>0</v>
      </c>
      <c r="W258" s="168">
        <f t="shared" si="53"/>
        <v>0</v>
      </c>
      <c r="X258" s="167">
        <f>IF(SUM(X8:X257)=0,SUM((N258*3412/10^6),P258,R258,T258,V258),SUM(X8:X257))</f>
        <v>0</v>
      </c>
      <c r="Y258" s="168">
        <f>IF(SUM(Y8:Y257)=0,SUM(O258,Q258,S258,U258,W258),SUM(Y8:Y257))</f>
        <v>0</v>
      </c>
      <c r="Z258" s="167">
        <f t="shared" si="53"/>
        <v>0</v>
      </c>
      <c r="AA258" s="168">
        <f>SUM(AA8:AA257)</f>
        <v>0</v>
      </c>
      <c r="AB258" s="168">
        <f t="shared" ref="AB258:AD258" si="54">SUM(AB8:AB257)</f>
        <v>0</v>
      </c>
      <c r="AC258" s="168">
        <f t="shared" si="54"/>
        <v>0</v>
      </c>
      <c r="AD258" s="168">
        <f t="shared" si="54"/>
        <v>0</v>
      </c>
      <c r="AE258" s="56">
        <f>'Sch2a-Imp Price by ECM'!K259</f>
        <v>0</v>
      </c>
      <c r="AF258" s="292" t="str">
        <f>IF(AD258=0,"",AE258/AD258)</f>
        <v/>
      </c>
    </row>
    <row r="259" spans="1:33" ht="17" thickBot="1">
      <c r="A259" s="293"/>
      <c r="B259" s="43"/>
      <c r="C259" s="43"/>
      <c r="D259" s="44"/>
      <c r="E259" s="44"/>
      <c r="F259" s="45"/>
      <c r="G259" s="46"/>
      <c r="H259" s="46"/>
      <c r="I259" s="47"/>
      <c r="J259" s="47"/>
      <c r="K259" s="44"/>
      <c r="L259" s="45"/>
      <c r="M259" s="48"/>
      <c r="N259" s="44"/>
      <c r="O259" s="45"/>
      <c r="P259" s="45"/>
      <c r="Q259" s="44"/>
      <c r="R259" s="45"/>
      <c r="S259" s="45"/>
      <c r="T259" s="45"/>
      <c r="U259" s="10"/>
      <c r="V259" s="49"/>
      <c r="W259" s="49"/>
      <c r="X259" s="49"/>
      <c r="Y259" s="49"/>
      <c r="Z259" s="49"/>
      <c r="AA259" s="49"/>
      <c r="AB259" s="49"/>
      <c r="AC259" s="49"/>
      <c r="AD259" s="49"/>
      <c r="AE259" s="49"/>
      <c r="AF259" s="49"/>
    </row>
    <row r="260" spans="1:33">
      <c r="A260" s="445" t="s">
        <v>15</v>
      </c>
      <c r="B260" s="445"/>
      <c r="C260" s="445"/>
      <c r="D260" s="445"/>
      <c r="E260" s="445"/>
      <c r="F260" s="445"/>
      <c r="G260" s="445"/>
      <c r="H260" s="445"/>
      <c r="I260" s="445"/>
      <c r="J260" s="445"/>
      <c r="K260" s="445"/>
      <c r="L260" s="445"/>
      <c r="M260" s="445"/>
      <c r="N260" s="445"/>
      <c r="O260" s="445"/>
      <c r="P260" s="445"/>
      <c r="Q260" s="445"/>
      <c r="R260" s="445"/>
      <c r="S260" s="445"/>
      <c r="T260" s="445"/>
      <c r="U260" s="445"/>
      <c r="V260" s="445"/>
      <c r="W260" s="445"/>
      <c r="X260" s="445"/>
      <c r="Y260" s="445"/>
      <c r="Z260" s="445"/>
      <c r="AA260" s="445"/>
      <c r="AB260" s="445"/>
      <c r="AC260" s="445"/>
      <c r="AD260" s="445"/>
      <c r="AE260" s="445"/>
      <c r="AF260" s="445"/>
    </row>
    <row r="261" spans="1:33" ht="16" customHeight="1">
      <c r="A261" s="444" t="s">
        <v>169</v>
      </c>
      <c r="B261" s="444"/>
      <c r="C261" s="444"/>
      <c r="D261" s="444"/>
      <c r="E261" s="444"/>
      <c r="F261" s="444"/>
      <c r="G261" s="444"/>
      <c r="H261" s="444"/>
      <c r="I261" s="444"/>
      <c r="J261" s="444"/>
      <c r="K261" s="444"/>
      <c r="L261" s="444"/>
      <c r="M261" s="444"/>
      <c r="N261" s="444"/>
      <c r="O261" s="444"/>
      <c r="P261" s="444"/>
      <c r="Q261" s="444"/>
      <c r="R261" s="444"/>
      <c r="S261" s="444"/>
      <c r="T261" s="444"/>
      <c r="U261" s="444"/>
      <c r="V261" s="444"/>
      <c r="W261" s="444"/>
      <c r="X261" s="444"/>
      <c r="Y261" s="444"/>
      <c r="Z261" s="444"/>
      <c r="AA261" s="444"/>
      <c r="AB261" s="444"/>
      <c r="AC261" s="444"/>
      <c r="AD261" s="444"/>
      <c r="AE261" s="444"/>
      <c r="AF261" s="444"/>
    </row>
    <row r="262" spans="1:33" ht="17" customHeight="1">
      <c r="A262" s="443" t="str">
        <f>IF('Summary Schedule'!C4="Direct-Funded", "(2) User should enter an average monthly kW reduction figure. Demand savings can (and usually do) vary by season and in their conversion rate to dollar savings.", "(2) At least one of the savings fields is required to compute the contract term.")</f>
        <v>(2) At least one of the savings fields is required to compute the contract term.</v>
      </c>
      <c r="B262" s="443"/>
      <c r="C262" s="443"/>
      <c r="D262" s="443"/>
      <c r="E262" s="443"/>
      <c r="F262" s="443"/>
      <c r="G262" s="443"/>
      <c r="H262" s="443"/>
      <c r="I262" s="443"/>
      <c r="J262" s="443"/>
      <c r="K262" s="443"/>
      <c r="L262" s="443"/>
      <c r="M262" s="443"/>
      <c r="N262" s="443"/>
      <c r="O262" s="443"/>
      <c r="P262" s="443"/>
      <c r="Q262" s="443"/>
      <c r="R262" s="443"/>
      <c r="S262" s="443"/>
      <c r="T262" s="443"/>
      <c r="U262" s="443"/>
      <c r="V262" s="443"/>
      <c r="W262" s="443"/>
      <c r="X262" s="443"/>
      <c r="Y262" s="443"/>
      <c r="Z262" s="443"/>
      <c r="AA262" s="443"/>
      <c r="AB262" s="443"/>
      <c r="AC262" s="443"/>
      <c r="AD262" s="443"/>
      <c r="AE262" s="443"/>
      <c r="AF262" s="443"/>
    </row>
    <row r="263" spans="1:33" ht="17" customHeight="1">
      <c r="A263" s="444" t="str">
        <f>IF('Summary Schedule'!C4="Direct-Funded", "", "(3) User should enter an average monthly kW reduction figure. Demand savings can (and usually do) vary by season and in their conversion rate to dollar savings.")</f>
        <v>(3) User should enter an average monthly kW reduction figure. Demand savings can (and usually do) vary by season and in their conversion rate to dollar savings.</v>
      </c>
      <c r="B263" s="444"/>
      <c r="C263" s="444"/>
      <c r="D263" s="444"/>
      <c r="E263" s="444"/>
      <c r="F263" s="444"/>
      <c r="G263" s="444"/>
      <c r="H263" s="444"/>
      <c r="I263" s="444"/>
      <c r="J263" s="444"/>
      <c r="K263" s="444"/>
      <c r="L263" s="444"/>
      <c r="M263" s="444"/>
      <c r="N263" s="444"/>
      <c r="O263" s="444"/>
      <c r="P263" s="444"/>
      <c r="Q263" s="444"/>
      <c r="R263" s="444"/>
      <c r="S263" s="444"/>
      <c r="T263" s="444"/>
      <c r="U263" s="444"/>
      <c r="V263" s="444"/>
      <c r="W263" s="444"/>
      <c r="X263" s="444"/>
      <c r="Y263" s="444"/>
      <c r="Z263" s="444"/>
      <c r="AA263" s="444"/>
      <c r="AB263" s="444"/>
      <c r="AC263" s="444"/>
      <c r="AD263" s="444"/>
      <c r="AE263" s="444"/>
      <c r="AF263" s="444"/>
    </row>
    <row r="264" spans="1:33" ht="17" customHeight="1">
      <c r="A264" s="450" t="str">
        <f>IF('Summary Schedule'!C4="Direct-Funded", "", "(4) All estimated cost savings numbers reported in this schedule are assumed to have already incorporated the Implementation start through first year escalation rates reported in the Annual Escalation Rates schedule.")</f>
        <v>(4) All estimated cost savings numbers reported in this schedule are assumed to have already incorporated the Implementation start through first year escalation rates reported in the Annual Escalation Rates schedule.</v>
      </c>
      <c r="B264" s="450"/>
      <c r="C264" s="450"/>
      <c r="D264" s="450"/>
      <c r="E264" s="450"/>
      <c r="F264" s="450"/>
      <c r="G264" s="450"/>
      <c r="H264" s="450"/>
      <c r="I264" s="450"/>
      <c r="J264" s="450"/>
      <c r="K264" s="450"/>
      <c r="L264" s="450"/>
      <c r="M264" s="450"/>
      <c r="N264" s="450"/>
      <c r="O264" s="450"/>
      <c r="P264" s="450"/>
      <c r="Q264" s="450"/>
      <c r="R264" s="450"/>
      <c r="S264" s="450"/>
      <c r="T264" s="450"/>
      <c r="U264" s="450"/>
      <c r="V264" s="450"/>
      <c r="W264" s="450"/>
      <c r="X264" s="450"/>
      <c r="Y264" s="450"/>
      <c r="Z264" s="450"/>
      <c r="AA264" s="450"/>
      <c r="AB264" s="450"/>
      <c r="AC264" s="450"/>
      <c r="AD264" s="450"/>
      <c r="AE264" s="450"/>
      <c r="AF264" s="450"/>
    </row>
    <row r="265" spans="1:33" ht="17" thickBot="1">
      <c r="A265" s="453"/>
      <c r="B265" s="453"/>
      <c r="C265" s="453"/>
      <c r="D265" s="453"/>
      <c r="E265" s="453"/>
      <c r="F265" s="453"/>
      <c r="G265" s="453"/>
      <c r="H265" s="453"/>
      <c r="I265" s="453"/>
      <c r="J265" s="453"/>
      <c r="K265" s="453"/>
      <c r="L265" s="453"/>
      <c r="M265" s="453"/>
      <c r="N265" s="453"/>
      <c r="O265" s="453"/>
      <c r="P265" s="453"/>
      <c r="Q265" s="453"/>
      <c r="R265" s="453"/>
      <c r="S265" s="453"/>
      <c r="T265" s="453"/>
      <c r="U265" s="453"/>
      <c r="V265" s="453"/>
      <c r="W265" s="453"/>
      <c r="X265" s="453"/>
      <c r="Y265" s="453"/>
      <c r="Z265" s="453"/>
      <c r="AA265" s="453"/>
      <c r="AB265" s="453"/>
      <c r="AC265" s="453"/>
      <c r="AD265" s="453"/>
      <c r="AE265" s="453"/>
      <c r="AF265" s="453"/>
    </row>
    <row r="266" spans="1:33" ht="16" customHeight="1">
      <c r="A266" s="445" t="s">
        <v>130</v>
      </c>
      <c r="B266" s="445"/>
      <c r="C266" s="445"/>
      <c r="D266" s="445"/>
      <c r="E266" s="445"/>
      <c r="F266" s="445"/>
      <c r="G266" s="445"/>
      <c r="H266" s="445"/>
      <c r="I266" s="445"/>
      <c r="J266" s="445"/>
      <c r="K266" s="445"/>
      <c r="L266" s="445"/>
      <c r="M266" s="445"/>
      <c r="N266" s="445"/>
      <c r="O266" s="445"/>
      <c r="P266" s="445"/>
      <c r="Q266" s="445"/>
      <c r="R266" s="445"/>
      <c r="S266" s="445"/>
      <c r="T266" s="445"/>
      <c r="U266" s="445"/>
      <c r="V266" s="445"/>
      <c r="W266" s="445"/>
      <c r="X266" s="445"/>
      <c r="Y266" s="445"/>
      <c r="Z266" s="445"/>
      <c r="AA266" s="445"/>
      <c r="AB266" s="445"/>
      <c r="AC266" s="445"/>
      <c r="AD266" s="445"/>
      <c r="AE266" s="445"/>
      <c r="AF266" s="445"/>
    </row>
    <row r="267" spans="1:33" ht="70" customHeight="1">
      <c r="A267" s="449"/>
      <c r="B267" s="449"/>
      <c r="C267" s="449"/>
      <c r="D267" s="449"/>
      <c r="E267" s="449"/>
      <c r="F267" s="449"/>
      <c r="G267" s="449"/>
      <c r="H267" s="449"/>
      <c r="I267" s="449"/>
      <c r="J267" s="449"/>
      <c r="K267" s="449"/>
      <c r="L267" s="449"/>
      <c r="M267" s="449"/>
      <c r="N267" s="449"/>
      <c r="O267" s="449"/>
      <c r="P267" s="449"/>
      <c r="Q267" s="449"/>
      <c r="R267" s="449"/>
      <c r="S267" s="449"/>
      <c r="T267" s="449"/>
      <c r="U267" s="449"/>
      <c r="V267" s="449"/>
      <c r="W267" s="449"/>
      <c r="X267" s="449"/>
      <c r="Y267" s="449"/>
      <c r="Z267" s="449"/>
      <c r="AA267" s="449"/>
      <c r="AB267" s="449"/>
      <c r="AC267" s="449"/>
      <c r="AD267" s="449"/>
      <c r="AE267" s="449"/>
      <c r="AF267" s="449"/>
    </row>
    <row r="268" spans="1:33">
      <c r="A268" s="164" t="str">
        <f>'Sch3-Perf Period Cash Flow'!A31</f>
        <v>0710020</v>
      </c>
    </row>
    <row r="269" spans="1:33">
      <c r="A269" s="1" t="str">
        <f>'Sch3-Perf Period Cash Flow'!A32</f>
        <v>3.0.15.n</v>
      </c>
    </row>
  </sheetData>
  <sheetProtection algorithmName="SHA-512" hashValue="8k0OvsOBcv+tGeNa2doyh0I+1DHlA3a6UQoJrjAMZUpisTyXNGlHa+1o1Y0/ilEhB4GUjFzW/50Wjm/2Otjzcg==" saltValue="DqckQhI+JlY/8/P7vXykIA==" spinCount="100000" sheet="1" objects="1" scenarios="1"/>
  <mergeCells count="16">
    <mergeCell ref="A267:AF267"/>
    <mergeCell ref="A260:AF260"/>
    <mergeCell ref="A261:AF261"/>
    <mergeCell ref="A264:AF264"/>
    <mergeCell ref="A258:C258"/>
    <mergeCell ref="A265:AF265"/>
    <mergeCell ref="D4:M4"/>
    <mergeCell ref="A262:AF262"/>
    <mergeCell ref="A263:AF263"/>
    <mergeCell ref="A266:AF266"/>
    <mergeCell ref="A1:AF1"/>
    <mergeCell ref="A2:AF2"/>
    <mergeCell ref="A5:A6"/>
    <mergeCell ref="B5:B6"/>
    <mergeCell ref="C5:C6"/>
    <mergeCell ref="A4:C4"/>
  </mergeCells>
  <dataValidations count="4">
    <dataValidation type="list" allowBlank="1" showInputMessage="1" showErrorMessage="1" sqref="M8:M257" xr:uid="{00000000-0002-0000-0800-000000000000}">
      <formula1>"Capital Costs, Pollution Costs, Other Costs"</formula1>
    </dataValidation>
    <dataValidation type="whole" allowBlank="1" showInputMessage="1" showErrorMessage="1" error="Please enter a valid value" sqref="D8:L257" xr:uid="{00000000-0002-0000-0800-000001000000}">
      <formula1>0</formula1>
      <formula2>1000000000</formula2>
    </dataValidation>
    <dataValidation type="whole" allowBlank="1" showInputMessage="1" showErrorMessage="1" error="Please enter a valid value" sqref="Z8:AC257" xr:uid="{00000000-0002-0000-0800-000002000000}">
      <formula1>-100000000000</formula1>
      <formula2>1000000000</formula2>
    </dataValidation>
    <dataValidation type="whole" allowBlank="1" showInputMessage="1" showErrorMessage="1" error="Please enter a valid value" sqref="N8:W257" xr:uid="{00000000-0002-0000-0800-000003000000}">
      <formula1>-1000000000</formula1>
      <formula2>1000000000</formula2>
    </dataValidation>
  </dataValidations>
  <pageMargins left="0.75" right="0.75" top="1" bottom="1" header="0.5" footer="0.5"/>
  <pageSetup scale="24" fitToHeight="0" orientation="landscape"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expression" priority="1" id="{7D8E21DC-803E-B249-950A-2C132FB4A705}">
            <xm:f>'Summary Schedule'!$C$4="Direct-Funded"</xm:f>
            <x14:dxf>
              <fill>
                <patternFill patternType="mediumGray">
                  <bgColor theme="0"/>
                </patternFill>
              </fill>
              <border>
                <left style="thin">
                  <color auto="1"/>
                </left>
                <right style="thin">
                  <color auto="1"/>
                </right>
                <top style="thin">
                  <color auto="1"/>
                </top>
                <bottom style="thin">
                  <color auto="1"/>
                </bottom>
                <vertical/>
                <horizontal/>
              </border>
            </x14:dxf>
          </x14:cfRule>
          <xm:sqref>B7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5000000}">
          <x14:formula1>
            <xm:f>ECM!$D$2:$D$9</xm:f>
          </x14:formula1>
          <xm:sqref>C8:C257</xm:sqref>
        </x14:dataValidation>
        <x14:dataValidation type="list" allowBlank="1" showInputMessage="1" showErrorMessage="1" xr:uid="{5EB257FA-8830-F940-87FF-B4F57472EED0}">
          <x14:formula1>
            <xm:f>ECM!$G$3:$G$11</xm:f>
          </x14:formula1>
          <xm:sqref>G5</xm:sqref>
        </x14:dataValidation>
        <x14:dataValidation type="list" allowBlank="1" showInputMessage="1" showErrorMessage="1" xr:uid="{2E00C2AF-55FC-4140-890C-1D5B1EA360B3}">
          <x14:formula1>
            <xm:f>ECM!$H$3:$H$11</xm:f>
          </x14:formula1>
          <xm:sqref>H5</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Template Guide</vt:lpstr>
      <vt:lpstr>Summary Schedule</vt:lpstr>
      <vt:lpstr>Annual Escalation Rates</vt:lpstr>
      <vt:lpstr>Sch1-Ann Cost Sav &amp; Pymts</vt:lpstr>
      <vt:lpstr>Sch1u-Ann Cost Sav &amp; Pymts-UESC</vt:lpstr>
      <vt:lpstr>Sch2a-Imp Price by ECM</vt:lpstr>
      <vt:lpstr>Sch2b-Project Imp Pricing</vt:lpstr>
      <vt:lpstr>Sch3-Perf Period Cash Flow</vt:lpstr>
      <vt:lpstr>Sch4-Cost Savings by ECM</vt:lpstr>
      <vt:lpstr>Sch5-Cancellation Ceilings</vt:lpstr>
      <vt:lpstr>ECM</vt:lpstr>
      <vt:lpstr>Scratch Sheet-1</vt:lpstr>
      <vt:lpstr>Scratch Sheet-2</vt:lpstr>
      <vt:lpstr>Scratch Sheet-3</vt:lpstr>
      <vt:lpstr>Scratch Sheet-4</vt:lpstr>
      <vt:lpstr>Scratch Sheet-5</vt:lpstr>
      <vt:lpstr>MnV</vt:lpstr>
      <vt:lpstr>PA</vt:lpstr>
    </vt:vector>
  </TitlesOfParts>
  <Manager/>
  <Company>LBNL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Shankar Earni</dc:creator>
  <cp:keywords/>
  <dc:description>3.0.15.n</dc:description>
  <cp:lastModifiedBy>Shankar Earni</cp:lastModifiedBy>
  <cp:lastPrinted>2016-04-07T17:50:34Z</cp:lastPrinted>
  <dcterms:created xsi:type="dcterms:W3CDTF">2013-07-10T19:01:35Z</dcterms:created>
  <dcterms:modified xsi:type="dcterms:W3CDTF">2020-07-10T06:07:32Z</dcterms:modified>
  <cp:category>3.0.15.n, 07102020</cp:category>
</cp:coreProperties>
</file>